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60" windowHeight="5070"/>
  </bookViews>
  <sheets>
    <sheet name="SIM-DAIAM" sheetId="1" r:id="rId1"/>
  </sheets>
  <definedNames>
    <definedName name="_xlnm.Print_Area" localSheetId="0">'SIM-DAIAM'!$A$1:$AF$31</definedName>
  </definedNames>
  <calcPr calcId="124519"/>
</workbook>
</file>

<file path=xl/calcChain.xml><?xml version="1.0" encoding="utf-8"?>
<calcChain xmlns="http://schemas.openxmlformats.org/spreadsheetml/2006/main">
  <c r="AD29" i="1"/>
  <c r="AC29"/>
  <c r="AC24"/>
  <c r="AD31"/>
  <c r="AC31"/>
  <c r="AD28"/>
  <c r="AC28"/>
  <c r="AC16" l="1"/>
  <c r="AB29"/>
  <c r="AA29"/>
  <c r="AA19"/>
  <c r="AA18"/>
  <c r="AA24"/>
  <c r="AB31"/>
  <c r="AA31"/>
  <c r="AB28"/>
  <c r="AA28"/>
  <c r="AA16" l="1"/>
  <c r="Z29"/>
  <c r="Y29"/>
  <c r="Y18"/>
  <c r="Z31"/>
  <c r="Y31"/>
  <c r="Y24"/>
  <c r="Y19"/>
  <c r="Z28"/>
  <c r="Y28"/>
  <c r="Z27"/>
  <c r="Y27"/>
  <c r="Y16"/>
  <c r="W16" l="1"/>
  <c r="W18"/>
  <c r="W24"/>
  <c r="X28"/>
  <c r="W28"/>
  <c r="X31"/>
  <c r="W31"/>
  <c r="X29" l="1"/>
  <c r="W29"/>
  <c r="W19"/>
  <c r="X27"/>
  <c r="W27"/>
  <c r="U16"/>
  <c r="V31"/>
  <c r="U31"/>
  <c r="U24"/>
  <c r="V28"/>
  <c r="U28"/>
  <c r="U19" l="1"/>
  <c r="U18"/>
  <c r="V29"/>
  <c r="U29"/>
  <c r="S27"/>
  <c r="T29"/>
  <c r="S29"/>
  <c r="T28"/>
  <c r="S28"/>
  <c r="S19"/>
  <c r="S18"/>
  <c r="S15"/>
  <c r="T31"/>
  <c r="S31"/>
  <c r="S24"/>
  <c r="S16"/>
  <c r="R31"/>
  <c r="Q31"/>
  <c r="Q24"/>
  <c r="Q19"/>
  <c r="Q18"/>
  <c r="Q16"/>
  <c r="Q15"/>
  <c r="R29"/>
  <c r="Q29"/>
  <c r="R28"/>
  <c r="Q28"/>
  <c r="Q27"/>
  <c r="R27"/>
  <c r="O31"/>
  <c r="P29"/>
  <c r="O29"/>
  <c r="P28"/>
  <c r="O28"/>
  <c r="O19"/>
  <c r="O18"/>
  <c r="O16"/>
  <c r="P31"/>
  <c r="P27"/>
  <c r="O27"/>
  <c r="O15" l="1"/>
  <c r="M24"/>
  <c r="N31"/>
  <c r="M18"/>
  <c r="M16"/>
  <c r="M31"/>
  <c r="M19"/>
  <c r="N29"/>
  <c r="M29"/>
  <c r="M21"/>
  <c r="N28"/>
  <c r="M28"/>
  <c r="M15"/>
  <c r="M27"/>
  <c r="N27"/>
  <c r="L31"/>
  <c r="K31"/>
  <c r="K18"/>
  <c r="K19"/>
  <c r="K24"/>
  <c r="L29"/>
  <c r="K29"/>
  <c r="L28"/>
  <c r="K28"/>
  <c r="I19"/>
  <c r="I18"/>
  <c r="J31"/>
  <c r="I31"/>
  <c r="J29"/>
  <c r="I29"/>
  <c r="J28"/>
  <c r="I28"/>
  <c r="I24"/>
  <c r="I16"/>
  <c r="H16" s="1"/>
  <c r="L37"/>
  <c r="AE34"/>
  <c r="AC34"/>
  <c r="AA34"/>
  <c r="Y34"/>
  <c r="W34"/>
  <c r="U34"/>
  <c r="S34"/>
  <c r="Q34"/>
  <c r="AE33"/>
  <c r="AC33"/>
  <c r="AA33"/>
  <c r="Y33"/>
  <c r="W33"/>
  <c r="U33"/>
  <c r="S33"/>
  <c r="Q33"/>
  <c r="O33"/>
  <c r="H30"/>
  <c r="H25"/>
  <c r="H23"/>
  <c r="H22"/>
  <c r="H21"/>
  <c r="H20"/>
  <c r="H19"/>
  <c r="H17"/>
  <c r="H15"/>
  <c r="H35" s="1"/>
  <c r="J38" l="1"/>
  <c r="I33"/>
  <c r="H18"/>
  <c r="M33"/>
  <c r="H26"/>
  <c r="H38"/>
  <c r="H24"/>
  <c r="H34" s="1"/>
  <c r="H41" s="1"/>
  <c r="M34"/>
  <c r="H31"/>
  <c r="H33" s="1"/>
  <c r="J37"/>
  <c r="O34"/>
  <c r="K33"/>
  <c r="H37"/>
  <c r="K34"/>
  <c r="L38"/>
  <c r="H29"/>
  <c r="H28"/>
  <c r="I34"/>
</calcChain>
</file>

<file path=xl/sharedStrings.xml><?xml version="1.0" encoding="utf-8"?>
<sst xmlns="http://schemas.openxmlformats.org/spreadsheetml/2006/main" count="143" uniqueCount="79">
  <si>
    <t>COORDINACIÓN:</t>
  </si>
  <si>
    <t>PROGRAMAS</t>
  </si>
  <si>
    <t>JEFATURA Y ÁREA:</t>
  </si>
  <si>
    <t>INCLUSIÓN</t>
  </si>
  <si>
    <t>PROGRAMA OPERATIVO</t>
  </si>
  <si>
    <t>ATENCIÓN INTEGRAL A LOS ADULTO MAYORES</t>
  </si>
  <si>
    <t>SUB-PROGRAMA OPERATIVO</t>
  </si>
  <si>
    <t>OBJETIVO:</t>
  </si>
  <si>
    <t>Promover el envejecimiento activo saludable y responsable a través de actividades formativas, deportivas y culturales, ademas de contribuir al desarrollo personal, familiar y social de los adultos mayores, ofreciendo un espacio de formación, orientación, recreación, interacción, alimentación, prevención de enfermedades (autocuidado) y/o rehabilitación; promoviendo con ello, el logro de una mejor calidad de vida, con apoyo  de la familia y la sociedad en conjunto.</t>
  </si>
  <si>
    <t>Concepto</t>
  </si>
  <si>
    <t>Unidad de Medida</t>
  </si>
  <si>
    <t>Fórmula</t>
  </si>
  <si>
    <t>Temporalidad</t>
  </si>
  <si>
    <t>Evidencias de Evaluación</t>
  </si>
  <si>
    <t>Acumulado 2017</t>
  </si>
  <si>
    <t>Avance Enero</t>
  </si>
  <si>
    <t>Avance Febrero</t>
  </si>
  <si>
    <t>Avance Marzo</t>
  </si>
  <si>
    <t>Avance Abril</t>
  </si>
  <si>
    <t>Avance Mayo</t>
  </si>
  <si>
    <t>Avance Junio</t>
  </si>
  <si>
    <t>Avance   Julio</t>
  </si>
  <si>
    <t>Avance Agosto</t>
  </si>
  <si>
    <t>Avance Septiembre</t>
  </si>
  <si>
    <t>Avance Octubre</t>
  </si>
  <si>
    <t>Avance Noviembre</t>
  </si>
  <si>
    <t>Avance Diciembre</t>
  </si>
  <si>
    <t>Apoyo</t>
  </si>
  <si>
    <t>Número de raciones alimenticias otorgadas</t>
  </si>
  <si>
    <t>Raciones</t>
  </si>
  <si>
    <t>Suma mensual</t>
  </si>
  <si>
    <t>Mensual</t>
  </si>
  <si>
    <t>Listas de asistencia</t>
  </si>
  <si>
    <t>Servicios</t>
  </si>
  <si>
    <t>Número de campamentos y paseos realizados</t>
  </si>
  <si>
    <t>Campamentos</t>
  </si>
  <si>
    <t>Fotografías/  cronograma</t>
  </si>
  <si>
    <t>Eventos culturales deportivos y recreativos</t>
  </si>
  <si>
    <t>Eventos</t>
  </si>
  <si>
    <t>Fotografías/  cronograma de eventos</t>
  </si>
  <si>
    <t>Número de canalizaciones y derivaciones (atención 1era. vez)</t>
  </si>
  <si>
    <t>Canalización y derivación</t>
  </si>
  <si>
    <t>Informes internos</t>
  </si>
  <si>
    <t>Número de intervención de trabajo social (casos)</t>
  </si>
  <si>
    <t>Intervención</t>
  </si>
  <si>
    <t>Número de intervención psicológica</t>
  </si>
  <si>
    <t>Informes</t>
  </si>
  <si>
    <t>Número de Credenciales entregadas.</t>
  </si>
  <si>
    <t>Credenciales</t>
  </si>
  <si>
    <t>Número de Expo ventas en beneficio de los adultos mayores</t>
  </si>
  <si>
    <t>Expoventas</t>
  </si>
  <si>
    <t>Control interno</t>
  </si>
  <si>
    <t>Número de servicio de Transporte para Adulto Mayor</t>
  </si>
  <si>
    <t>Traslados</t>
  </si>
  <si>
    <t>Número de sesiones de talleres ocupacionales y productivos</t>
  </si>
  <si>
    <t>Sesiones</t>
  </si>
  <si>
    <t>Informes/Listas asistencia</t>
  </si>
  <si>
    <t>No. Total de Grupos grupos de la tercera edad.</t>
  </si>
  <si>
    <t>Grupos</t>
  </si>
  <si>
    <t>Máximo anual</t>
  </si>
  <si>
    <t>Anual</t>
  </si>
  <si>
    <t>Padrón</t>
  </si>
  <si>
    <t>Personas atendidas y/o beneficiadas</t>
  </si>
  <si>
    <t>Número de adultos mayores (nuevo registro)</t>
  </si>
  <si>
    <t>Personas</t>
  </si>
  <si>
    <t>AMM</t>
  </si>
  <si>
    <t>AMH</t>
  </si>
  <si>
    <t>Total de adultos mayores en padrón de las casas de día</t>
  </si>
  <si>
    <t>Total de adultos mayores en los grupos pertenecientes al padrón del DIF</t>
  </si>
  <si>
    <t>Total de personas asistentes a eventos deportivos y recreativos</t>
  </si>
  <si>
    <t>Fotografías</t>
  </si>
  <si>
    <t>Total de personas atendidas con servicios (población abierta)</t>
  </si>
  <si>
    <t>ADULTOS MAYORES</t>
  </si>
  <si>
    <t>ADULTAS MAYORES MUJERES</t>
  </si>
  <si>
    <t>SERVICIOS</t>
  </si>
  <si>
    <t>ADULTOS MAYORES HOMBRES</t>
  </si>
  <si>
    <t>RACIONES</t>
  </si>
  <si>
    <t>ADULTOS M.M.</t>
  </si>
  <si>
    <t>ADULTOS M.H.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</si>
</sst>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B8B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48">
    <xf numFmtId="0" fontId="0" fillId="0" borderId="0"/>
    <xf numFmtId="0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0" fontId="15" fillId="4" borderId="14" applyNumberFormat="0" applyFont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93">
    <xf numFmtId="0" fontId="0" fillId="0" borderId="0" xfId="0"/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Protection="1"/>
    <xf numFmtId="0" fontId="7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Protection="1"/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5" fillId="0" borderId="2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4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vertical="center"/>
    </xf>
    <xf numFmtId="0" fontId="9" fillId="0" borderId="1" xfId="0" applyFont="1" applyFill="1" applyBorder="1" applyAlignment="1" applyProtection="1">
      <alignment vertical="center" wrapText="1"/>
    </xf>
    <xf numFmtId="0" fontId="9" fillId="0" borderId="4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vertical="center"/>
    </xf>
    <xf numFmtId="3" fontId="6" fillId="3" borderId="1" xfId="0" applyNumberFormat="1" applyFont="1" applyFill="1" applyBorder="1" applyAlignment="1" applyProtection="1">
      <alignment horizontal="right" vertical="center" wrapText="1"/>
    </xf>
    <xf numFmtId="0" fontId="11" fillId="0" borderId="1" xfId="0" applyFont="1" applyFill="1" applyBorder="1" applyAlignment="1" applyProtection="1">
      <alignment horizontal="right" vertical="center" wrapText="1"/>
    </xf>
    <xf numFmtId="0" fontId="0" fillId="0" borderId="0" xfId="0" applyFill="1"/>
    <xf numFmtId="0" fontId="9" fillId="0" borderId="5" xfId="0" applyFont="1" applyFill="1" applyBorder="1" applyAlignment="1" applyProtection="1">
      <alignment vertical="center" wrapText="1"/>
    </xf>
    <xf numFmtId="0" fontId="9" fillId="0" borderId="7" xfId="0" applyFont="1" applyFill="1" applyBorder="1" applyAlignment="1" applyProtection="1">
      <alignment vertical="center" wrapText="1"/>
    </xf>
    <xf numFmtId="0" fontId="9" fillId="0" borderId="5" xfId="0" applyFont="1" applyFill="1" applyBorder="1" applyAlignment="1" applyProtection="1">
      <alignment vertical="center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13" fillId="0" borderId="1" xfId="0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Fill="1" applyBorder="1" applyAlignment="1" applyProtection="1">
      <alignment horizontal="right" vertical="center" wrapText="1"/>
      <protection locked="0"/>
    </xf>
    <xf numFmtId="0" fontId="6" fillId="0" borderId="8" xfId="0" applyFont="1" applyFill="1" applyBorder="1" applyAlignment="1" applyProtection="1">
      <alignment vertical="center" wrapText="1"/>
      <protection locked="0"/>
    </xf>
    <xf numFmtId="3" fontId="11" fillId="3" borderId="8" xfId="0" applyNumberFormat="1" applyFont="1" applyFill="1" applyBorder="1" applyAlignment="1" applyProtection="1">
      <alignment horizontal="right" vertical="center" wrapText="1"/>
    </xf>
    <xf numFmtId="0" fontId="11" fillId="0" borderId="8" xfId="0" applyFont="1" applyFill="1" applyBorder="1" applyAlignment="1" applyProtection="1">
      <alignment horizontal="right" vertical="center" wrapText="1"/>
    </xf>
    <xf numFmtId="0" fontId="6" fillId="0" borderId="1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3" fontId="6" fillId="0" borderId="0" xfId="0" applyNumberFormat="1" applyFont="1" applyProtection="1"/>
    <xf numFmtId="0" fontId="6" fillId="0" borderId="0" xfId="0" applyFont="1" applyAlignment="1" applyProtection="1">
      <alignment horizontal="center"/>
    </xf>
    <xf numFmtId="0" fontId="9" fillId="0" borderId="0" xfId="0" applyFont="1" applyProtection="1"/>
    <xf numFmtId="3" fontId="12" fillId="0" borderId="0" xfId="0" applyNumberFormat="1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4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vertical="center" wrapText="1"/>
    </xf>
    <xf numFmtId="0" fontId="9" fillId="0" borderId="4" xfId="0" applyFont="1" applyBorder="1" applyAlignment="1" applyProtection="1">
      <alignment vertical="center" wrapText="1"/>
    </xf>
    <xf numFmtId="0" fontId="6" fillId="0" borderId="2" xfId="0" applyFont="1" applyFill="1" applyBorder="1" applyAlignment="1" applyProtection="1">
      <alignment horizontal="right" vertical="center" wrapText="1"/>
      <protection locked="0"/>
    </xf>
    <xf numFmtId="0" fontId="6" fillId="0" borderId="4" xfId="0" applyFont="1" applyFill="1" applyBorder="1" applyAlignment="1" applyProtection="1">
      <alignment horizontal="right" vertical="center" wrapText="1"/>
      <protection locked="0"/>
    </xf>
    <xf numFmtId="0" fontId="6" fillId="0" borderId="5" xfId="0" applyFont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0" fontId="9" fillId="0" borderId="3" xfId="0" applyFont="1" applyFill="1" applyBorder="1" applyAlignment="1" applyProtection="1">
      <alignment vertical="center" wrapText="1"/>
    </xf>
    <xf numFmtId="0" fontId="9" fillId="0" borderId="4" xfId="0" applyFont="1" applyFill="1" applyBorder="1" applyAlignment="1" applyProtection="1">
      <alignment vertical="center" wrapText="1"/>
    </xf>
    <xf numFmtId="0" fontId="9" fillId="0" borderId="3" xfId="0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/>
    </xf>
    <xf numFmtId="3" fontId="6" fillId="3" borderId="5" xfId="0" applyNumberFormat="1" applyFont="1" applyFill="1" applyBorder="1" applyAlignment="1" applyProtection="1">
      <alignment horizontal="right" vertical="center" wrapText="1"/>
    </xf>
    <xf numFmtId="3" fontId="6" fillId="3" borderId="8" xfId="0" applyNumberFormat="1" applyFont="1" applyFill="1" applyBorder="1" applyAlignment="1" applyProtection="1">
      <alignment horizontal="right" vertical="center"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5" xfId="0" applyFont="1" applyFill="1" applyBorder="1" applyAlignment="1" applyProtection="1">
      <alignment horizontal="right" vertical="center" wrapText="1"/>
    </xf>
    <xf numFmtId="0" fontId="11" fillId="0" borderId="8" xfId="0" applyFont="1" applyFill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center"/>
      <protection locked="0"/>
    </xf>
  </cellXfs>
  <cellStyles count="648">
    <cellStyle name="Millares 2" xfId="1"/>
    <cellStyle name="Millares 3" xfId="2"/>
    <cellStyle name="Normal" xfId="0" builtinId="0"/>
    <cellStyle name="Normal 2" xfId="3"/>
    <cellStyle name="Normal 3" xfId="4"/>
    <cellStyle name="Normal 5" xfId="5"/>
    <cellStyle name="Normal 6" xfId="6"/>
    <cellStyle name="Notas 2" xfId="7"/>
    <cellStyle name="Notas 2 10" xfId="8"/>
    <cellStyle name="Notas 2 10 2" xfId="9"/>
    <cellStyle name="Notas 2 10 3" xfId="10"/>
    <cellStyle name="Notas 2 10 4" xfId="11"/>
    <cellStyle name="Notas 2 10 5" xfId="12"/>
    <cellStyle name="Notas 2 11" xfId="13"/>
    <cellStyle name="Notas 2 11 2" xfId="14"/>
    <cellStyle name="Notas 2 11 3" xfId="15"/>
    <cellStyle name="Notas 2 11 4" xfId="16"/>
    <cellStyle name="Notas 2 11 5" xfId="17"/>
    <cellStyle name="Notas 2 12" xfId="18"/>
    <cellStyle name="Notas 2 12 2" xfId="19"/>
    <cellStyle name="Notas 2 12 3" xfId="20"/>
    <cellStyle name="Notas 2 12 4" xfId="21"/>
    <cellStyle name="Notas 2 13" xfId="22"/>
    <cellStyle name="Notas 2 13 2" xfId="23"/>
    <cellStyle name="Notas 2 13 3" xfId="24"/>
    <cellStyle name="Notas 2 13 4" xfId="25"/>
    <cellStyle name="Notas 2 14" xfId="26"/>
    <cellStyle name="Notas 2 14 2" xfId="27"/>
    <cellStyle name="Notas 2 14 3" xfId="28"/>
    <cellStyle name="Notas 2 14 4" xfId="29"/>
    <cellStyle name="Notas 2 15" xfId="30"/>
    <cellStyle name="Notas 2 15 2" xfId="31"/>
    <cellStyle name="Notas 2 15 3" xfId="32"/>
    <cellStyle name="Notas 2 15 4" xfId="33"/>
    <cellStyle name="Notas 2 16" xfId="34"/>
    <cellStyle name="Notas 2 16 2" xfId="35"/>
    <cellStyle name="Notas 2 16 3" xfId="36"/>
    <cellStyle name="Notas 2 16 4" xfId="37"/>
    <cellStyle name="Notas 2 17" xfId="38"/>
    <cellStyle name="Notas 2 18" xfId="39"/>
    <cellStyle name="Notas 2 19" xfId="40"/>
    <cellStyle name="Notas 2 2" xfId="41"/>
    <cellStyle name="Notas 2 2 2" xfId="42"/>
    <cellStyle name="Notas 2 2 3" xfId="43"/>
    <cellStyle name="Notas 2 2 4" xfId="44"/>
    <cellStyle name="Notas 2 2 5" xfId="45"/>
    <cellStyle name="Notas 2 20" xfId="46"/>
    <cellStyle name="Notas 2 21" xfId="47"/>
    <cellStyle name="Notas 2 22" xfId="48"/>
    <cellStyle name="Notas 2 23" xfId="49"/>
    <cellStyle name="Notas 2 24" xfId="50"/>
    <cellStyle name="Notas 2 25" xfId="51"/>
    <cellStyle name="Notas 2 26" xfId="52"/>
    <cellStyle name="Notas 2 27" xfId="53"/>
    <cellStyle name="Notas 2 28" xfId="54"/>
    <cellStyle name="Notas 2 29" xfId="55"/>
    <cellStyle name="Notas 2 3" xfId="56"/>
    <cellStyle name="Notas 2 3 2" xfId="57"/>
    <cellStyle name="Notas 2 3 3" xfId="58"/>
    <cellStyle name="Notas 2 3 4" xfId="59"/>
    <cellStyle name="Notas 2 3 5" xfId="60"/>
    <cellStyle name="Notas 2 30" xfId="61"/>
    <cellStyle name="Notas 2 31" xfId="62"/>
    <cellStyle name="Notas 2 32" xfId="63"/>
    <cellStyle name="Notas 2 33" xfId="64"/>
    <cellStyle name="Notas 2 34" xfId="65"/>
    <cellStyle name="Notas 2 35" xfId="66"/>
    <cellStyle name="Notas 2 36" xfId="67"/>
    <cellStyle name="Notas 2 4" xfId="68"/>
    <cellStyle name="Notas 2 4 2" xfId="69"/>
    <cellStyle name="Notas 2 4 3" xfId="70"/>
    <cellStyle name="Notas 2 4 4" xfId="71"/>
    <cellStyle name="Notas 2 4 5" xfId="72"/>
    <cellStyle name="Notas 2 5" xfId="73"/>
    <cellStyle name="Notas 2 5 2" xfId="74"/>
    <cellStyle name="Notas 2 5 3" xfId="75"/>
    <cellStyle name="Notas 2 5 4" xfId="76"/>
    <cellStyle name="Notas 2 5 5" xfId="77"/>
    <cellStyle name="Notas 2 6" xfId="78"/>
    <cellStyle name="Notas 2 6 2" xfId="79"/>
    <cellStyle name="Notas 2 6 3" xfId="80"/>
    <cellStyle name="Notas 2 6 4" xfId="81"/>
    <cellStyle name="Notas 2 6 5" xfId="82"/>
    <cellStyle name="Notas 2 7" xfId="83"/>
    <cellStyle name="Notas 2 7 2" xfId="84"/>
    <cellStyle name="Notas 2 7 3" xfId="85"/>
    <cellStyle name="Notas 2 7 4" xfId="86"/>
    <cellStyle name="Notas 2 7 5" xfId="87"/>
    <cellStyle name="Notas 2 8" xfId="88"/>
    <cellStyle name="Notas 2 8 2" xfId="89"/>
    <cellStyle name="Notas 2 8 3" xfId="90"/>
    <cellStyle name="Notas 2 8 4" xfId="91"/>
    <cellStyle name="Notas 2 8 5" xfId="92"/>
    <cellStyle name="Notas 2 9" xfId="93"/>
    <cellStyle name="Notas 2 9 2" xfId="94"/>
    <cellStyle name="Notas 2 9 3" xfId="95"/>
    <cellStyle name="Notas 2 9 4" xfId="96"/>
    <cellStyle name="Notas 2 9 5" xfId="97"/>
    <cellStyle name="Notas 3" xfId="98"/>
    <cellStyle name="Notas 3 10" xfId="99"/>
    <cellStyle name="Notas 3 10 2" xfId="100"/>
    <cellStyle name="Notas 3 10 3" xfId="101"/>
    <cellStyle name="Notas 3 10 4" xfId="102"/>
    <cellStyle name="Notas 3 10 5" xfId="103"/>
    <cellStyle name="Notas 3 11" xfId="104"/>
    <cellStyle name="Notas 3 11 2" xfId="105"/>
    <cellStyle name="Notas 3 11 3" xfId="106"/>
    <cellStyle name="Notas 3 11 4" xfId="107"/>
    <cellStyle name="Notas 3 11 5" xfId="108"/>
    <cellStyle name="Notas 3 12" xfId="109"/>
    <cellStyle name="Notas 3 12 2" xfId="110"/>
    <cellStyle name="Notas 3 12 3" xfId="111"/>
    <cellStyle name="Notas 3 12 4" xfId="112"/>
    <cellStyle name="Notas 3 13" xfId="113"/>
    <cellStyle name="Notas 3 13 2" xfId="114"/>
    <cellStyle name="Notas 3 13 3" xfId="115"/>
    <cellStyle name="Notas 3 13 4" xfId="116"/>
    <cellStyle name="Notas 3 14" xfId="117"/>
    <cellStyle name="Notas 3 14 2" xfId="118"/>
    <cellStyle name="Notas 3 14 3" xfId="119"/>
    <cellStyle name="Notas 3 14 4" xfId="120"/>
    <cellStyle name="Notas 3 15" xfId="121"/>
    <cellStyle name="Notas 3 15 2" xfId="122"/>
    <cellStyle name="Notas 3 15 3" xfId="123"/>
    <cellStyle name="Notas 3 15 4" xfId="124"/>
    <cellStyle name="Notas 3 16" xfId="125"/>
    <cellStyle name="Notas 3 16 2" xfId="126"/>
    <cellStyle name="Notas 3 16 3" xfId="127"/>
    <cellStyle name="Notas 3 16 4" xfId="128"/>
    <cellStyle name="Notas 3 17" xfId="129"/>
    <cellStyle name="Notas 3 18" xfId="130"/>
    <cellStyle name="Notas 3 19" xfId="131"/>
    <cellStyle name="Notas 3 2" xfId="132"/>
    <cellStyle name="Notas 3 2 2" xfId="133"/>
    <cellStyle name="Notas 3 2 3" xfId="134"/>
    <cellStyle name="Notas 3 2 4" xfId="135"/>
    <cellStyle name="Notas 3 2 5" xfId="136"/>
    <cellStyle name="Notas 3 20" xfId="137"/>
    <cellStyle name="Notas 3 21" xfId="138"/>
    <cellStyle name="Notas 3 22" xfId="139"/>
    <cellStyle name="Notas 3 23" xfId="140"/>
    <cellStyle name="Notas 3 24" xfId="141"/>
    <cellStyle name="Notas 3 25" xfId="142"/>
    <cellStyle name="Notas 3 26" xfId="143"/>
    <cellStyle name="Notas 3 27" xfId="144"/>
    <cellStyle name="Notas 3 28" xfId="145"/>
    <cellStyle name="Notas 3 29" xfId="146"/>
    <cellStyle name="Notas 3 3" xfId="147"/>
    <cellStyle name="Notas 3 3 2" xfId="148"/>
    <cellStyle name="Notas 3 3 3" xfId="149"/>
    <cellStyle name="Notas 3 3 4" xfId="150"/>
    <cellStyle name="Notas 3 3 5" xfId="151"/>
    <cellStyle name="Notas 3 30" xfId="152"/>
    <cellStyle name="Notas 3 31" xfId="153"/>
    <cellStyle name="Notas 3 32" xfId="154"/>
    <cellStyle name="Notas 3 33" xfId="155"/>
    <cellStyle name="Notas 3 34" xfId="156"/>
    <cellStyle name="Notas 3 35" xfId="157"/>
    <cellStyle name="Notas 3 36" xfId="158"/>
    <cellStyle name="Notas 3 4" xfId="159"/>
    <cellStyle name="Notas 3 4 2" xfId="160"/>
    <cellStyle name="Notas 3 4 3" xfId="161"/>
    <cellStyle name="Notas 3 4 4" xfId="162"/>
    <cellStyle name="Notas 3 4 5" xfId="163"/>
    <cellStyle name="Notas 3 5" xfId="164"/>
    <cellStyle name="Notas 3 5 2" xfId="165"/>
    <cellStyle name="Notas 3 5 3" xfId="166"/>
    <cellStyle name="Notas 3 5 4" xfId="167"/>
    <cellStyle name="Notas 3 5 5" xfId="168"/>
    <cellStyle name="Notas 3 6" xfId="169"/>
    <cellStyle name="Notas 3 6 2" xfId="170"/>
    <cellStyle name="Notas 3 6 3" xfId="171"/>
    <cellStyle name="Notas 3 6 4" xfId="172"/>
    <cellStyle name="Notas 3 6 5" xfId="173"/>
    <cellStyle name="Notas 3 7" xfId="174"/>
    <cellStyle name="Notas 3 7 2" xfId="175"/>
    <cellStyle name="Notas 3 7 3" xfId="176"/>
    <cellStyle name="Notas 3 7 4" xfId="177"/>
    <cellStyle name="Notas 3 7 5" xfId="178"/>
    <cellStyle name="Notas 3 8" xfId="179"/>
    <cellStyle name="Notas 3 8 2" xfId="180"/>
    <cellStyle name="Notas 3 8 3" xfId="181"/>
    <cellStyle name="Notas 3 8 4" xfId="182"/>
    <cellStyle name="Notas 3 8 5" xfId="183"/>
    <cellStyle name="Notas 3 9" xfId="184"/>
    <cellStyle name="Notas 3 9 2" xfId="185"/>
    <cellStyle name="Notas 3 9 3" xfId="186"/>
    <cellStyle name="Notas 3 9 4" xfId="187"/>
    <cellStyle name="Notas 3 9 5" xfId="188"/>
    <cellStyle name="Notas 4" xfId="189"/>
    <cellStyle name="Notas 4 10" xfId="190"/>
    <cellStyle name="Notas 4 10 2" xfId="191"/>
    <cellStyle name="Notas 4 10 3" xfId="192"/>
    <cellStyle name="Notas 4 10 4" xfId="193"/>
    <cellStyle name="Notas 4 10 5" xfId="194"/>
    <cellStyle name="Notas 4 11" xfId="195"/>
    <cellStyle name="Notas 4 11 2" xfId="196"/>
    <cellStyle name="Notas 4 11 3" xfId="197"/>
    <cellStyle name="Notas 4 11 4" xfId="198"/>
    <cellStyle name="Notas 4 11 5" xfId="199"/>
    <cellStyle name="Notas 4 12" xfId="200"/>
    <cellStyle name="Notas 4 12 2" xfId="201"/>
    <cellStyle name="Notas 4 12 3" xfId="202"/>
    <cellStyle name="Notas 4 12 4" xfId="203"/>
    <cellStyle name="Notas 4 13" xfId="204"/>
    <cellStyle name="Notas 4 13 2" xfId="205"/>
    <cellStyle name="Notas 4 13 3" xfId="206"/>
    <cellStyle name="Notas 4 13 4" xfId="207"/>
    <cellStyle name="Notas 4 14" xfId="208"/>
    <cellStyle name="Notas 4 14 2" xfId="209"/>
    <cellStyle name="Notas 4 14 3" xfId="210"/>
    <cellStyle name="Notas 4 14 4" xfId="211"/>
    <cellStyle name="Notas 4 15" xfId="212"/>
    <cellStyle name="Notas 4 15 2" xfId="213"/>
    <cellStyle name="Notas 4 15 3" xfId="214"/>
    <cellStyle name="Notas 4 15 4" xfId="215"/>
    <cellStyle name="Notas 4 16" xfId="216"/>
    <cellStyle name="Notas 4 16 2" xfId="217"/>
    <cellStyle name="Notas 4 16 3" xfId="218"/>
    <cellStyle name="Notas 4 16 4" xfId="219"/>
    <cellStyle name="Notas 4 17" xfId="220"/>
    <cellStyle name="Notas 4 18" xfId="221"/>
    <cellStyle name="Notas 4 19" xfId="222"/>
    <cellStyle name="Notas 4 2" xfId="223"/>
    <cellStyle name="Notas 4 2 2" xfId="224"/>
    <cellStyle name="Notas 4 2 3" xfId="225"/>
    <cellStyle name="Notas 4 2 4" xfId="226"/>
    <cellStyle name="Notas 4 2 5" xfId="227"/>
    <cellStyle name="Notas 4 20" xfId="228"/>
    <cellStyle name="Notas 4 21" xfId="229"/>
    <cellStyle name="Notas 4 22" xfId="230"/>
    <cellStyle name="Notas 4 23" xfId="231"/>
    <cellStyle name="Notas 4 24" xfId="232"/>
    <cellStyle name="Notas 4 25" xfId="233"/>
    <cellStyle name="Notas 4 26" xfId="234"/>
    <cellStyle name="Notas 4 27" xfId="235"/>
    <cellStyle name="Notas 4 28" xfId="236"/>
    <cellStyle name="Notas 4 29" xfId="237"/>
    <cellStyle name="Notas 4 3" xfId="238"/>
    <cellStyle name="Notas 4 3 2" xfId="239"/>
    <cellStyle name="Notas 4 3 3" xfId="240"/>
    <cellStyle name="Notas 4 3 4" xfId="241"/>
    <cellStyle name="Notas 4 3 5" xfId="242"/>
    <cellStyle name="Notas 4 30" xfId="243"/>
    <cellStyle name="Notas 4 31" xfId="244"/>
    <cellStyle name="Notas 4 32" xfId="245"/>
    <cellStyle name="Notas 4 33" xfId="246"/>
    <cellStyle name="Notas 4 34" xfId="247"/>
    <cellStyle name="Notas 4 35" xfId="248"/>
    <cellStyle name="Notas 4 36" xfId="249"/>
    <cellStyle name="Notas 4 4" xfId="250"/>
    <cellStyle name="Notas 4 4 2" xfId="251"/>
    <cellStyle name="Notas 4 4 3" xfId="252"/>
    <cellStyle name="Notas 4 4 4" xfId="253"/>
    <cellStyle name="Notas 4 4 5" xfId="254"/>
    <cellStyle name="Notas 4 5" xfId="255"/>
    <cellStyle name="Notas 4 5 2" xfId="256"/>
    <cellStyle name="Notas 4 5 3" xfId="257"/>
    <cellStyle name="Notas 4 5 4" xfId="258"/>
    <cellStyle name="Notas 4 5 5" xfId="259"/>
    <cellStyle name="Notas 4 6" xfId="260"/>
    <cellStyle name="Notas 4 6 2" xfId="261"/>
    <cellStyle name="Notas 4 6 3" xfId="262"/>
    <cellStyle name="Notas 4 6 4" xfId="263"/>
    <cellStyle name="Notas 4 6 5" xfId="264"/>
    <cellStyle name="Notas 4 7" xfId="265"/>
    <cellStyle name="Notas 4 7 2" xfId="266"/>
    <cellStyle name="Notas 4 7 3" xfId="267"/>
    <cellStyle name="Notas 4 7 4" xfId="268"/>
    <cellStyle name="Notas 4 7 5" xfId="269"/>
    <cellStyle name="Notas 4 8" xfId="270"/>
    <cellStyle name="Notas 4 8 2" xfId="271"/>
    <cellStyle name="Notas 4 8 3" xfId="272"/>
    <cellStyle name="Notas 4 8 4" xfId="273"/>
    <cellStyle name="Notas 4 8 5" xfId="274"/>
    <cellStyle name="Notas 4 9" xfId="275"/>
    <cellStyle name="Notas 4 9 2" xfId="276"/>
    <cellStyle name="Notas 4 9 3" xfId="277"/>
    <cellStyle name="Notas 4 9 4" xfId="278"/>
    <cellStyle name="Notas 4 9 5" xfId="279"/>
    <cellStyle name="Notas 5" xfId="280"/>
    <cellStyle name="Notas 5 10" xfId="281"/>
    <cellStyle name="Notas 5 10 2" xfId="282"/>
    <cellStyle name="Notas 5 10 3" xfId="283"/>
    <cellStyle name="Notas 5 10 4" xfId="284"/>
    <cellStyle name="Notas 5 10 5" xfId="285"/>
    <cellStyle name="Notas 5 11" xfId="286"/>
    <cellStyle name="Notas 5 11 2" xfId="287"/>
    <cellStyle name="Notas 5 11 3" xfId="288"/>
    <cellStyle name="Notas 5 11 4" xfId="289"/>
    <cellStyle name="Notas 5 11 5" xfId="290"/>
    <cellStyle name="Notas 5 12" xfId="291"/>
    <cellStyle name="Notas 5 12 2" xfId="292"/>
    <cellStyle name="Notas 5 12 3" xfId="293"/>
    <cellStyle name="Notas 5 12 4" xfId="294"/>
    <cellStyle name="Notas 5 13" xfId="295"/>
    <cellStyle name="Notas 5 13 2" xfId="296"/>
    <cellStyle name="Notas 5 13 3" xfId="297"/>
    <cellStyle name="Notas 5 13 4" xfId="298"/>
    <cellStyle name="Notas 5 14" xfId="299"/>
    <cellStyle name="Notas 5 14 2" xfId="300"/>
    <cellStyle name="Notas 5 14 3" xfId="301"/>
    <cellStyle name="Notas 5 14 4" xfId="302"/>
    <cellStyle name="Notas 5 15" xfId="303"/>
    <cellStyle name="Notas 5 15 2" xfId="304"/>
    <cellStyle name="Notas 5 15 3" xfId="305"/>
    <cellStyle name="Notas 5 15 4" xfId="306"/>
    <cellStyle name="Notas 5 16" xfId="307"/>
    <cellStyle name="Notas 5 16 2" xfId="308"/>
    <cellStyle name="Notas 5 16 3" xfId="309"/>
    <cellStyle name="Notas 5 16 4" xfId="310"/>
    <cellStyle name="Notas 5 17" xfId="311"/>
    <cellStyle name="Notas 5 18" xfId="312"/>
    <cellStyle name="Notas 5 19" xfId="313"/>
    <cellStyle name="Notas 5 2" xfId="314"/>
    <cellStyle name="Notas 5 2 2" xfId="315"/>
    <cellStyle name="Notas 5 2 3" xfId="316"/>
    <cellStyle name="Notas 5 2 4" xfId="317"/>
    <cellStyle name="Notas 5 2 5" xfId="318"/>
    <cellStyle name="Notas 5 20" xfId="319"/>
    <cellStyle name="Notas 5 21" xfId="320"/>
    <cellStyle name="Notas 5 22" xfId="321"/>
    <cellStyle name="Notas 5 23" xfId="322"/>
    <cellStyle name="Notas 5 24" xfId="323"/>
    <cellStyle name="Notas 5 25" xfId="324"/>
    <cellStyle name="Notas 5 26" xfId="325"/>
    <cellStyle name="Notas 5 27" xfId="326"/>
    <cellStyle name="Notas 5 28" xfId="327"/>
    <cellStyle name="Notas 5 29" xfId="328"/>
    <cellStyle name="Notas 5 3" xfId="329"/>
    <cellStyle name="Notas 5 3 2" xfId="330"/>
    <cellStyle name="Notas 5 3 3" xfId="331"/>
    <cellStyle name="Notas 5 3 4" xfId="332"/>
    <cellStyle name="Notas 5 3 5" xfId="333"/>
    <cellStyle name="Notas 5 30" xfId="334"/>
    <cellStyle name="Notas 5 31" xfId="335"/>
    <cellStyle name="Notas 5 32" xfId="336"/>
    <cellStyle name="Notas 5 33" xfId="337"/>
    <cellStyle name="Notas 5 34" xfId="338"/>
    <cellStyle name="Notas 5 35" xfId="339"/>
    <cellStyle name="Notas 5 36" xfId="340"/>
    <cellStyle name="Notas 5 4" xfId="341"/>
    <cellStyle name="Notas 5 4 2" xfId="342"/>
    <cellStyle name="Notas 5 4 3" xfId="343"/>
    <cellStyle name="Notas 5 4 4" xfId="344"/>
    <cellStyle name="Notas 5 4 5" xfId="345"/>
    <cellStyle name="Notas 5 5" xfId="346"/>
    <cellStyle name="Notas 5 5 2" xfId="347"/>
    <cellStyle name="Notas 5 5 3" xfId="348"/>
    <cellStyle name="Notas 5 5 4" xfId="349"/>
    <cellStyle name="Notas 5 5 5" xfId="350"/>
    <cellStyle name="Notas 5 6" xfId="351"/>
    <cellStyle name="Notas 5 6 2" xfId="352"/>
    <cellStyle name="Notas 5 6 3" xfId="353"/>
    <cellStyle name="Notas 5 6 4" xfId="354"/>
    <cellStyle name="Notas 5 6 5" xfId="355"/>
    <cellStyle name="Notas 5 7" xfId="356"/>
    <cellStyle name="Notas 5 7 2" xfId="357"/>
    <cellStyle name="Notas 5 7 3" xfId="358"/>
    <cellStyle name="Notas 5 7 4" xfId="359"/>
    <cellStyle name="Notas 5 7 5" xfId="360"/>
    <cellStyle name="Notas 5 8" xfId="361"/>
    <cellStyle name="Notas 5 8 2" xfId="362"/>
    <cellStyle name="Notas 5 8 3" xfId="363"/>
    <cellStyle name="Notas 5 8 4" xfId="364"/>
    <cellStyle name="Notas 5 8 5" xfId="365"/>
    <cellStyle name="Notas 5 9" xfId="366"/>
    <cellStyle name="Notas 5 9 2" xfId="367"/>
    <cellStyle name="Notas 5 9 3" xfId="368"/>
    <cellStyle name="Notas 5 9 4" xfId="369"/>
    <cellStyle name="Notas 5 9 5" xfId="370"/>
    <cellStyle name="Notas 6" xfId="371"/>
    <cellStyle name="Notas 6 10" xfId="372"/>
    <cellStyle name="Notas 6 10 2" xfId="373"/>
    <cellStyle name="Notas 6 10 3" xfId="374"/>
    <cellStyle name="Notas 6 10 4" xfId="375"/>
    <cellStyle name="Notas 6 10 5" xfId="376"/>
    <cellStyle name="Notas 6 11" xfId="377"/>
    <cellStyle name="Notas 6 11 2" xfId="378"/>
    <cellStyle name="Notas 6 11 3" xfId="379"/>
    <cellStyle name="Notas 6 11 4" xfId="380"/>
    <cellStyle name="Notas 6 11 5" xfId="381"/>
    <cellStyle name="Notas 6 12" xfId="382"/>
    <cellStyle name="Notas 6 12 2" xfId="383"/>
    <cellStyle name="Notas 6 12 3" xfId="384"/>
    <cellStyle name="Notas 6 12 4" xfId="385"/>
    <cellStyle name="Notas 6 13" xfId="386"/>
    <cellStyle name="Notas 6 13 2" xfId="387"/>
    <cellStyle name="Notas 6 13 3" xfId="388"/>
    <cellStyle name="Notas 6 13 4" xfId="389"/>
    <cellStyle name="Notas 6 14" xfId="390"/>
    <cellStyle name="Notas 6 14 2" xfId="391"/>
    <cellStyle name="Notas 6 14 3" xfId="392"/>
    <cellStyle name="Notas 6 14 4" xfId="393"/>
    <cellStyle name="Notas 6 15" xfId="394"/>
    <cellStyle name="Notas 6 15 2" xfId="395"/>
    <cellStyle name="Notas 6 15 3" xfId="396"/>
    <cellStyle name="Notas 6 15 4" xfId="397"/>
    <cellStyle name="Notas 6 16" xfId="398"/>
    <cellStyle name="Notas 6 16 2" xfId="399"/>
    <cellStyle name="Notas 6 16 3" xfId="400"/>
    <cellStyle name="Notas 6 16 4" xfId="401"/>
    <cellStyle name="Notas 6 17" xfId="402"/>
    <cellStyle name="Notas 6 18" xfId="403"/>
    <cellStyle name="Notas 6 19" xfId="404"/>
    <cellStyle name="Notas 6 2" xfId="405"/>
    <cellStyle name="Notas 6 2 2" xfId="406"/>
    <cellStyle name="Notas 6 2 3" xfId="407"/>
    <cellStyle name="Notas 6 2 4" xfId="408"/>
    <cellStyle name="Notas 6 2 5" xfId="409"/>
    <cellStyle name="Notas 6 20" xfId="410"/>
    <cellStyle name="Notas 6 21" xfId="411"/>
    <cellStyle name="Notas 6 22" xfId="412"/>
    <cellStyle name="Notas 6 23" xfId="413"/>
    <cellStyle name="Notas 6 24" xfId="414"/>
    <cellStyle name="Notas 6 25" xfId="415"/>
    <cellStyle name="Notas 6 26" xfId="416"/>
    <cellStyle name="Notas 6 27" xfId="417"/>
    <cellStyle name="Notas 6 28" xfId="418"/>
    <cellStyle name="Notas 6 29" xfId="419"/>
    <cellStyle name="Notas 6 3" xfId="420"/>
    <cellStyle name="Notas 6 3 2" xfId="421"/>
    <cellStyle name="Notas 6 3 3" xfId="422"/>
    <cellStyle name="Notas 6 3 4" xfId="423"/>
    <cellStyle name="Notas 6 3 5" xfId="424"/>
    <cellStyle name="Notas 6 30" xfId="425"/>
    <cellStyle name="Notas 6 31" xfId="426"/>
    <cellStyle name="Notas 6 32" xfId="427"/>
    <cellStyle name="Notas 6 33" xfId="428"/>
    <cellStyle name="Notas 6 34" xfId="429"/>
    <cellStyle name="Notas 6 35" xfId="430"/>
    <cellStyle name="Notas 6 36" xfId="431"/>
    <cellStyle name="Notas 6 4" xfId="432"/>
    <cellStyle name="Notas 6 4 2" xfId="433"/>
    <cellStyle name="Notas 6 4 3" xfId="434"/>
    <cellStyle name="Notas 6 4 4" xfId="435"/>
    <cellStyle name="Notas 6 4 5" xfId="436"/>
    <cellStyle name="Notas 6 5" xfId="437"/>
    <cellStyle name="Notas 6 5 2" xfId="438"/>
    <cellStyle name="Notas 6 5 3" xfId="439"/>
    <cellStyle name="Notas 6 5 4" xfId="440"/>
    <cellStyle name="Notas 6 5 5" xfId="441"/>
    <cellStyle name="Notas 6 6" xfId="442"/>
    <cellStyle name="Notas 6 6 2" xfId="443"/>
    <cellStyle name="Notas 6 6 3" xfId="444"/>
    <cellStyle name="Notas 6 6 4" xfId="445"/>
    <cellStyle name="Notas 6 6 5" xfId="446"/>
    <cellStyle name="Notas 6 7" xfId="447"/>
    <cellStyle name="Notas 6 7 2" xfId="448"/>
    <cellStyle name="Notas 6 7 3" xfId="449"/>
    <cellStyle name="Notas 6 7 4" xfId="450"/>
    <cellStyle name="Notas 6 7 5" xfId="451"/>
    <cellStyle name="Notas 6 8" xfId="452"/>
    <cellStyle name="Notas 6 8 2" xfId="453"/>
    <cellStyle name="Notas 6 8 3" xfId="454"/>
    <cellStyle name="Notas 6 8 4" xfId="455"/>
    <cellStyle name="Notas 6 8 5" xfId="456"/>
    <cellStyle name="Notas 6 9" xfId="457"/>
    <cellStyle name="Notas 6 9 2" xfId="458"/>
    <cellStyle name="Notas 6 9 3" xfId="459"/>
    <cellStyle name="Notas 6 9 4" xfId="460"/>
    <cellStyle name="Notas 6 9 5" xfId="461"/>
    <cellStyle name="Notas 7" xfId="462"/>
    <cellStyle name="Notas 7 10" xfId="463"/>
    <cellStyle name="Notas 7 10 2" xfId="464"/>
    <cellStyle name="Notas 7 10 3" xfId="465"/>
    <cellStyle name="Notas 7 10 4" xfId="466"/>
    <cellStyle name="Notas 7 10 5" xfId="467"/>
    <cellStyle name="Notas 7 11" xfId="468"/>
    <cellStyle name="Notas 7 11 2" xfId="469"/>
    <cellStyle name="Notas 7 11 3" xfId="470"/>
    <cellStyle name="Notas 7 11 4" xfId="471"/>
    <cellStyle name="Notas 7 11 5" xfId="472"/>
    <cellStyle name="Notas 7 12" xfId="473"/>
    <cellStyle name="Notas 7 12 2" xfId="474"/>
    <cellStyle name="Notas 7 12 3" xfId="475"/>
    <cellStyle name="Notas 7 12 4" xfId="476"/>
    <cellStyle name="Notas 7 13" xfId="477"/>
    <cellStyle name="Notas 7 13 2" xfId="478"/>
    <cellStyle name="Notas 7 13 3" xfId="479"/>
    <cellStyle name="Notas 7 13 4" xfId="480"/>
    <cellStyle name="Notas 7 14" xfId="481"/>
    <cellStyle name="Notas 7 14 2" xfId="482"/>
    <cellStyle name="Notas 7 14 3" xfId="483"/>
    <cellStyle name="Notas 7 14 4" xfId="484"/>
    <cellStyle name="Notas 7 15" xfId="485"/>
    <cellStyle name="Notas 7 15 2" xfId="486"/>
    <cellStyle name="Notas 7 15 3" xfId="487"/>
    <cellStyle name="Notas 7 15 4" xfId="488"/>
    <cellStyle name="Notas 7 16" xfId="489"/>
    <cellStyle name="Notas 7 16 2" xfId="490"/>
    <cellStyle name="Notas 7 16 3" xfId="491"/>
    <cellStyle name="Notas 7 16 4" xfId="492"/>
    <cellStyle name="Notas 7 17" xfId="493"/>
    <cellStyle name="Notas 7 18" xfId="494"/>
    <cellStyle name="Notas 7 19" xfId="495"/>
    <cellStyle name="Notas 7 2" xfId="496"/>
    <cellStyle name="Notas 7 2 2" xfId="497"/>
    <cellStyle name="Notas 7 2 3" xfId="498"/>
    <cellStyle name="Notas 7 2 4" xfId="499"/>
    <cellStyle name="Notas 7 2 5" xfId="500"/>
    <cellStyle name="Notas 7 20" xfId="501"/>
    <cellStyle name="Notas 7 21" xfId="502"/>
    <cellStyle name="Notas 7 22" xfId="503"/>
    <cellStyle name="Notas 7 23" xfId="504"/>
    <cellStyle name="Notas 7 24" xfId="505"/>
    <cellStyle name="Notas 7 25" xfId="506"/>
    <cellStyle name="Notas 7 26" xfId="507"/>
    <cellStyle name="Notas 7 27" xfId="508"/>
    <cellStyle name="Notas 7 28" xfId="509"/>
    <cellStyle name="Notas 7 29" xfId="510"/>
    <cellStyle name="Notas 7 3" xfId="511"/>
    <cellStyle name="Notas 7 3 2" xfId="512"/>
    <cellStyle name="Notas 7 3 3" xfId="513"/>
    <cellStyle name="Notas 7 3 4" xfId="514"/>
    <cellStyle name="Notas 7 3 5" xfId="515"/>
    <cellStyle name="Notas 7 30" xfId="516"/>
    <cellStyle name="Notas 7 31" xfId="517"/>
    <cellStyle name="Notas 7 32" xfId="518"/>
    <cellStyle name="Notas 7 33" xfId="519"/>
    <cellStyle name="Notas 7 34" xfId="520"/>
    <cellStyle name="Notas 7 35" xfId="521"/>
    <cellStyle name="Notas 7 36" xfId="522"/>
    <cellStyle name="Notas 7 4" xfId="523"/>
    <cellStyle name="Notas 7 4 2" xfId="524"/>
    <cellStyle name="Notas 7 4 3" xfId="525"/>
    <cellStyle name="Notas 7 4 4" xfId="526"/>
    <cellStyle name="Notas 7 4 5" xfId="527"/>
    <cellStyle name="Notas 7 5" xfId="528"/>
    <cellStyle name="Notas 7 5 2" xfId="529"/>
    <cellStyle name="Notas 7 5 3" xfId="530"/>
    <cellStyle name="Notas 7 5 4" xfId="531"/>
    <cellStyle name="Notas 7 5 5" xfId="532"/>
    <cellStyle name="Notas 7 6" xfId="533"/>
    <cellStyle name="Notas 7 6 2" xfId="534"/>
    <cellStyle name="Notas 7 6 3" xfId="535"/>
    <cellStyle name="Notas 7 6 4" xfId="536"/>
    <cellStyle name="Notas 7 6 5" xfId="537"/>
    <cellStyle name="Notas 7 7" xfId="538"/>
    <cellStyle name="Notas 7 7 2" xfId="539"/>
    <cellStyle name="Notas 7 7 3" xfId="540"/>
    <cellStyle name="Notas 7 7 4" xfId="541"/>
    <cellStyle name="Notas 7 7 5" xfId="542"/>
    <cellStyle name="Notas 7 8" xfId="543"/>
    <cellStyle name="Notas 7 8 2" xfId="544"/>
    <cellStyle name="Notas 7 8 3" xfId="545"/>
    <cellStyle name="Notas 7 8 4" xfId="546"/>
    <cellStyle name="Notas 7 8 5" xfId="547"/>
    <cellStyle name="Notas 7 9" xfId="548"/>
    <cellStyle name="Notas 7 9 2" xfId="549"/>
    <cellStyle name="Notas 7 9 3" xfId="550"/>
    <cellStyle name="Notas 7 9 4" xfId="551"/>
    <cellStyle name="Notas 7 9 5" xfId="552"/>
    <cellStyle name="Notas 8" xfId="553"/>
    <cellStyle name="Notas 8 10" xfId="554"/>
    <cellStyle name="Notas 8 10 2" xfId="555"/>
    <cellStyle name="Notas 8 10 3" xfId="556"/>
    <cellStyle name="Notas 8 10 4" xfId="557"/>
    <cellStyle name="Notas 8 10 5" xfId="558"/>
    <cellStyle name="Notas 8 11" xfId="559"/>
    <cellStyle name="Notas 8 11 2" xfId="560"/>
    <cellStyle name="Notas 8 11 3" xfId="561"/>
    <cellStyle name="Notas 8 11 4" xfId="562"/>
    <cellStyle name="Notas 8 11 5" xfId="563"/>
    <cellStyle name="Notas 8 12" xfId="564"/>
    <cellStyle name="Notas 8 12 2" xfId="565"/>
    <cellStyle name="Notas 8 12 3" xfId="566"/>
    <cellStyle name="Notas 8 12 4" xfId="567"/>
    <cellStyle name="Notas 8 13" xfId="568"/>
    <cellStyle name="Notas 8 13 2" xfId="569"/>
    <cellStyle name="Notas 8 13 3" xfId="570"/>
    <cellStyle name="Notas 8 13 4" xfId="571"/>
    <cellStyle name="Notas 8 14" xfId="572"/>
    <cellStyle name="Notas 8 14 2" xfId="573"/>
    <cellStyle name="Notas 8 14 3" xfId="574"/>
    <cellStyle name="Notas 8 14 4" xfId="575"/>
    <cellStyle name="Notas 8 15" xfId="576"/>
    <cellStyle name="Notas 8 15 2" xfId="577"/>
    <cellStyle name="Notas 8 15 3" xfId="578"/>
    <cellStyle name="Notas 8 15 4" xfId="579"/>
    <cellStyle name="Notas 8 16" xfId="580"/>
    <cellStyle name="Notas 8 16 2" xfId="581"/>
    <cellStyle name="Notas 8 16 3" xfId="582"/>
    <cellStyle name="Notas 8 16 4" xfId="583"/>
    <cellStyle name="Notas 8 17" xfId="584"/>
    <cellStyle name="Notas 8 18" xfId="585"/>
    <cellStyle name="Notas 8 19" xfId="586"/>
    <cellStyle name="Notas 8 2" xfId="587"/>
    <cellStyle name="Notas 8 2 2" xfId="588"/>
    <cellStyle name="Notas 8 2 3" xfId="589"/>
    <cellStyle name="Notas 8 2 4" xfId="590"/>
    <cellStyle name="Notas 8 2 5" xfId="591"/>
    <cellStyle name="Notas 8 20" xfId="592"/>
    <cellStyle name="Notas 8 21" xfId="593"/>
    <cellStyle name="Notas 8 22" xfId="594"/>
    <cellStyle name="Notas 8 23" xfId="595"/>
    <cellStyle name="Notas 8 24" xfId="596"/>
    <cellStyle name="Notas 8 25" xfId="597"/>
    <cellStyle name="Notas 8 26" xfId="598"/>
    <cellStyle name="Notas 8 27" xfId="599"/>
    <cellStyle name="Notas 8 28" xfId="600"/>
    <cellStyle name="Notas 8 29" xfId="601"/>
    <cellStyle name="Notas 8 3" xfId="602"/>
    <cellStyle name="Notas 8 3 2" xfId="603"/>
    <cellStyle name="Notas 8 3 3" xfId="604"/>
    <cellStyle name="Notas 8 3 4" xfId="605"/>
    <cellStyle name="Notas 8 3 5" xfId="606"/>
    <cellStyle name="Notas 8 30" xfId="607"/>
    <cellStyle name="Notas 8 31" xfId="608"/>
    <cellStyle name="Notas 8 32" xfId="609"/>
    <cellStyle name="Notas 8 33" xfId="610"/>
    <cellStyle name="Notas 8 34" xfId="611"/>
    <cellStyle name="Notas 8 35" xfId="612"/>
    <cellStyle name="Notas 8 36" xfId="613"/>
    <cellStyle name="Notas 8 4" xfId="614"/>
    <cellStyle name="Notas 8 4 2" xfId="615"/>
    <cellStyle name="Notas 8 4 3" xfId="616"/>
    <cellStyle name="Notas 8 4 4" xfId="617"/>
    <cellStyle name="Notas 8 4 5" xfId="618"/>
    <cellStyle name="Notas 8 5" xfId="619"/>
    <cellStyle name="Notas 8 5 2" xfId="620"/>
    <cellStyle name="Notas 8 5 3" xfId="621"/>
    <cellStyle name="Notas 8 5 4" xfId="622"/>
    <cellStyle name="Notas 8 5 5" xfId="623"/>
    <cellStyle name="Notas 8 6" xfId="624"/>
    <cellStyle name="Notas 8 6 2" xfId="625"/>
    <cellStyle name="Notas 8 6 3" xfId="626"/>
    <cellStyle name="Notas 8 6 4" xfId="627"/>
    <cellStyle name="Notas 8 6 5" xfId="628"/>
    <cellStyle name="Notas 8 7" xfId="629"/>
    <cellStyle name="Notas 8 7 2" xfId="630"/>
    <cellStyle name="Notas 8 7 3" xfId="631"/>
    <cellStyle name="Notas 8 7 4" xfId="632"/>
    <cellStyle name="Notas 8 7 5" xfId="633"/>
    <cellStyle name="Notas 8 8" xfId="634"/>
    <cellStyle name="Notas 8 8 2" xfId="635"/>
    <cellStyle name="Notas 8 8 3" xfId="636"/>
    <cellStyle name="Notas 8 8 4" xfId="637"/>
    <cellStyle name="Notas 8 8 5" xfId="638"/>
    <cellStyle name="Notas 8 9" xfId="639"/>
    <cellStyle name="Notas 8 9 2" xfId="640"/>
    <cellStyle name="Notas 8 9 3" xfId="641"/>
    <cellStyle name="Notas 8 9 4" xfId="642"/>
    <cellStyle name="Notas 8 9 5" xfId="643"/>
    <cellStyle name="Porcentual 2" xfId="644"/>
    <cellStyle name="Porcentual 3" xfId="645"/>
    <cellStyle name="Porcentual 3 2" xfId="646"/>
    <cellStyle name="Porcentual 9" xfId="6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43"/>
  <sheetViews>
    <sheetView tabSelected="1" view="pageBreakPreview" zoomScaleSheetLayoutView="100" workbookViewId="0">
      <selection activeCell="J5" sqref="J5"/>
    </sheetView>
  </sheetViews>
  <sheetFormatPr baseColWidth="10" defaultRowHeight="15"/>
  <cols>
    <col min="1" max="1" width="12.5703125" style="2" customWidth="1"/>
    <col min="2" max="3" width="13.42578125" style="2" customWidth="1"/>
    <col min="4" max="5" width="11.140625" style="2" customWidth="1"/>
    <col min="6" max="6" width="11.5703125" style="2" customWidth="1"/>
    <col min="7" max="7" width="12.140625" style="43" customWidth="1"/>
    <col min="8" max="8" width="12.140625" style="2" customWidth="1"/>
    <col min="9" max="10" width="4.85546875" style="5" customWidth="1"/>
    <col min="11" max="18" width="4.85546875" style="6" customWidth="1"/>
    <col min="19" max="20" width="4.85546875" style="5" customWidth="1"/>
    <col min="21" max="32" width="4.85546875" style="6" customWidth="1"/>
    <col min="256" max="256" width="12.5703125" customWidth="1"/>
    <col min="257" max="257" width="5.140625" customWidth="1"/>
    <col min="258" max="258" width="13.42578125" customWidth="1"/>
    <col min="259" max="260" width="21.42578125" customWidth="1"/>
    <col min="261" max="261" width="17.7109375" customWidth="1"/>
    <col min="262" max="263" width="14.7109375" customWidth="1"/>
    <col min="264" max="265" width="15.85546875" customWidth="1"/>
    <col min="266" max="277" width="12.85546875" customWidth="1"/>
    <col min="512" max="512" width="12.5703125" customWidth="1"/>
    <col min="513" max="513" width="5.140625" customWidth="1"/>
    <col min="514" max="514" width="13.42578125" customWidth="1"/>
    <col min="515" max="516" width="21.42578125" customWidth="1"/>
    <col min="517" max="517" width="17.7109375" customWidth="1"/>
    <col min="518" max="519" width="14.7109375" customWidth="1"/>
    <col min="520" max="521" width="15.85546875" customWidth="1"/>
    <col min="522" max="533" width="12.85546875" customWidth="1"/>
    <col min="768" max="768" width="12.5703125" customWidth="1"/>
    <col min="769" max="769" width="5.140625" customWidth="1"/>
    <col min="770" max="770" width="13.42578125" customWidth="1"/>
    <col min="771" max="772" width="21.42578125" customWidth="1"/>
    <col min="773" max="773" width="17.7109375" customWidth="1"/>
    <col min="774" max="775" width="14.7109375" customWidth="1"/>
    <col min="776" max="777" width="15.85546875" customWidth="1"/>
    <col min="778" max="789" width="12.85546875" customWidth="1"/>
    <col min="1024" max="1024" width="12.5703125" customWidth="1"/>
    <col min="1025" max="1025" width="5.140625" customWidth="1"/>
    <col min="1026" max="1026" width="13.42578125" customWidth="1"/>
    <col min="1027" max="1028" width="21.42578125" customWidth="1"/>
    <col min="1029" max="1029" width="17.7109375" customWidth="1"/>
    <col min="1030" max="1031" width="14.7109375" customWidth="1"/>
    <col min="1032" max="1033" width="15.85546875" customWidth="1"/>
    <col min="1034" max="1045" width="12.85546875" customWidth="1"/>
    <col min="1280" max="1280" width="12.5703125" customWidth="1"/>
    <col min="1281" max="1281" width="5.140625" customWidth="1"/>
    <col min="1282" max="1282" width="13.42578125" customWidth="1"/>
    <col min="1283" max="1284" width="21.42578125" customWidth="1"/>
    <col min="1285" max="1285" width="17.7109375" customWidth="1"/>
    <col min="1286" max="1287" width="14.7109375" customWidth="1"/>
    <col min="1288" max="1289" width="15.85546875" customWidth="1"/>
    <col min="1290" max="1301" width="12.85546875" customWidth="1"/>
    <col min="1536" max="1536" width="12.5703125" customWidth="1"/>
    <col min="1537" max="1537" width="5.140625" customWidth="1"/>
    <col min="1538" max="1538" width="13.42578125" customWidth="1"/>
    <col min="1539" max="1540" width="21.42578125" customWidth="1"/>
    <col min="1541" max="1541" width="17.7109375" customWidth="1"/>
    <col min="1542" max="1543" width="14.7109375" customWidth="1"/>
    <col min="1544" max="1545" width="15.85546875" customWidth="1"/>
    <col min="1546" max="1557" width="12.85546875" customWidth="1"/>
    <col min="1792" max="1792" width="12.5703125" customWidth="1"/>
    <col min="1793" max="1793" width="5.140625" customWidth="1"/>
    <col min="1794" max="1794" width="13.42578125" customWidth="1"/>
    <col min="1795" max="1796" width="21.42578125" customWidth="1"/>
    <col min="1797" max="1797" width="17.7109375" customWidth="1"/>
    <col min="1798" max="1799" width="14.7109375" customWidth="1"/>
    <col min="1800" max="1801" width="15.85546875" customWidth="1"/>
    <col min="1802" max="1813" width="12.85546875" customWidth="1"/>
    <col min="2048" max="2048" width="12.5703125" customWidth="1"/>
    <col min="2049" max="2049" width="5.140625" customWidth="1"/>
    <col min="2050" max="2050" width="13.42578125" customWidth="1"/>
    <col min="2051" max="2052" width="21.42578125" customWidth="1"/>
    <col min="2053" max="2053" width="17.7109375" customWidth="1"/>
    <col min="2054" max="2055" width="14.7109375" customWidth="1"/>
    <col min="2056" max="2057" width="15.85546875" customWidth="1"/>
    <col min="2058" max="2069" width="12.85546875" customWidth="1"/>
    <col min="2304" max="2304" width="12.5703125" customWidth="1"/>
    <col min="2305" max="2305" width="5.140625" customWidth="1"/>
    <col min="2306" max="2306" width="13.42578125" customWidth="1"/>
    <col min="2307" max="2308" width="21.42578125" customWidth="1"/>
    <col min="2309" max="2309" width="17.7109375" customWidth="1"/>
    <col min="2310" max="2311" width="14.7109375" customWidth="1"/>
    <col min="2312" max="2313" width="15.85546875" customWidth="1"/>
    <col min="2314" max="2325" width="12.85546875" customWidth="1"/>
    <col min="2560" max="2560" width="12.5703125" customWidth="1"/>
    <col min="2561" max="2561" width="5.140625" customWidth="1"/>
    <col min="2562" max="2562" width="13.42578125" customWidth="1"/>
    <col min="2563" max="2564" width="21.42578125" customWidth="1"/>
    <col min="2565" max="2565" width="17.7109375" customWidth="1"/>
    <col min="2566" max="2567" width="14.7109375" customWidth="1"/>
    <col min="2568" max="2569" width="15.85546875" customWidth="1"/>
    <col min="2570" max="2581" width="12.85546875" customWidth="1"/>
    <col min="2816" max="2816" width="12.5703125" customWidth="1"/>
    <col min="2817" max="2817" width="5.140625" customWidth="1"/>
    <col min="2818" max="2818" width="13.42578125" customWidth="1"/>
    <col min="2819" max="2820" width="21.42578125" customWidth="1"/>
    <col min="2821" max="2821" width="17.7109375" customWidth="1"/>
    <col min="2822" max="2823" width="14.7109375" customWidth="1"/>
    <col min="2824" max="2825" width="15.85546875" customWidth="1"/>
    <col min="2826" max="2837" width="12.85546875" customWidth="1"/>
    <col min="3072" max="3072" width="12.5703125" customWidth="1"/>
    <col min="3073" max="3073" width="5.140625" customWidth="1"/>
    <col min="3074" max="3074" width="13.42578125" customWidth="1"/>
    <col min="3075" max="3076" width="21.42578125" customWidth="1"/>
    <col min="3077" max="3077" width="17.7109375" customWidth="1"/>
    <col min="3078" max="3079" width="14.7109375" customWidth="1"/>
    <col min="3080" max="3081" width="15.85546875" customWidth="1"/>
    <col min="3082" max="3093" width="12.85546875" customWidth="1"/>
    <col min="3328" max="3328" width="12.5703125" customWidth="1"/>
    <col min="3329" max="3329" width="5.140625" customWidth="1"/>
    <col min="3330" max="3330" width="13.42578125" customWidth="1"/>
    <col min="3331" max="3332" width="21.42578125" customWidth="1"/>
    <col min="3333" max="3333" width="17.7109375" customWidth="1"/>
    <col min="3334" max="3335" width="14.7109375" customWidth="1"/>
    <col min="3336" max="3337" width="15.85546875" customWidth="1"/>
    <col min="3338" max="3349" width="12.85546875" customWidth="1"/>
    <col min="3584" max="3584" width="12.5703125" customWidth="1"/>
    <col min="3585" max="3585" width="5.140625" customWidth="1"/>
    <col min="3586" max="3586" width="13.42578125" customWidth="1"/>
    <col min="3587" max="3588" width="21.42578125" customWidth="1"/>
    <col min="3589" max="3589" width="17.7109375" customWidth="1"/>
    <col min="3590" max="3591" width="14.7109375" customWidth="1"/>
    <col min="3592" max="3593" width="15.85546875" customWidth="1"/>
    <col min="3594" max="3605" width="12.85546875" customWidth="1"/>
    <col min="3840" max="3840" width="12.5703125" customWidth="1"/>
    <col min="3841" max="3841" width="5.140625" customWidth="1"/>
    <col min="3842" max="3842" width="13.42578125" customWidth="1"/>
    <col min="3843" max="3844" width="21.42578125" customWidth="1"/>
    <col min="3845" max="3845" width="17.7109375" customWidth="1"/>
    <col min="3846" max="3847" width="14.7109375" customWidth="1"/>
    <col min="3848" max="3849" width="15.85546875" customWidth="1"/>
    <col min="3850" max="3861" width="12.85546875" customWidth="1"/>
    <col min="4096" max="4096" width="12.5703125" customWidth="1"/>
    <col min="4097" max="4097" width="5.140625" customWidth="1"/>
    <col min="4098" max="4098" width="13.42578125" customWidth="1"/>
    <col min="4099" max="4100" width="21.42578125" customWidth="1"/>
    <col min="4101" max="4101" width="17.7109375" customWidth="1"/>
    <col min="4102" max="4103" width="14.7109375" customWidth="1"/>
    <col min="4104" max="4105" width="15.85546875" customWidth="1"/>
    <col min="4106" max="4117" width="12.85546875" customWidth="1"/>
    <col min="4352" max="4352" width="12.5703125" customWidth="1"/>
    <col min="4353" max="4353" width="5.140625" customWidth="1"/>
    <col min="4354" max="4354" width="13.42578125" customWidth="1"/>
    <col min="4355" max="4356" width="21.42578125" customWidth="1"/>
    <col min="4357" max="4357" width="17.7109375" customWidth="1"/>
    <col min="4358" max="4359" width="14.7109375" customWidth="1"/>
    <col min="4360" max="4361" width="15.85546875" customWidth="1"/>
    <col min="4362" max="4373" width="12.85546875" customWidth="1"/>
    <col min="4608" max="4608" width="12.5703125" customWidth="1"/>
    <col min="4609" max="4609" width="5.140625" customWidth="1"/>
    <col min="4610" max="4610" width="13.42578125" customWidth="1"/>
    <col min="4611" max="4612" width="21.42578125" customWidth="1"/>
    <col min="4613" max="4613" width="17.7109375" customWidth="1"/>
    <col min="4614" max="4615" width="14.7109375" customWidth="1"/>
    <col min="4616" max="4617" width="15.85546875" customWidth="1"/>
    <col min="4618" max="4629" width="12.85546875" customWidth="1"/>
    <col min="4864" max="4864" width="12.5703125" customWidth="1"/>
    <col min="4865" max="4865" width="5.140625" customWidth="1"/>
    <col min="4866" max="4866" width="13.42578125" customWidth="1"/>
    <col min="4867" max="4868" width="21.42578125" customWidth="1"/>
    <col min="4869" max="4869" width="17.7109375" customWidth="1"/>
    <col min="4870" max="4871" width="14.7109375" customWidth="1"/>
    <col min="4872" max="4873" width="15.85546875" customWidth="1"/>
    <col min="4874" max="4885" width="12.85546875" customWidth="1"/>
    <col min="5120" max="5120" width="12.5703125" customWidth="1"/>
    <col min="5121" max="5121" width="5.140625" customWidth="1"/>
    <col min="5122" max="5122" width="13.42578125" customWidth="1"/>
    <col min="5123" max="5124" width="21.42578125" customWidth="1"/>
    <col min="5125" max="5125" width="17.7109375" customWidth="1"/>
    <col min="5126" max="5127" width="14.7109375" customWidth="1"/>
    <col min="5128" max="5129" width="15.85546875" customWidth="1"/>
    <col min="5130" max="5141" width="12.85546875" customWidth="1"/>
    <col min="5376" max="5376" width="12.5703125" customWidth="1"/>
    <col min="5377" max="5377" width="5.140625" customWidth="1"/>
    <col min="5378" max="5378" width="13.42578125" customWidth="1"/>
    <col min="5379" max="5380" width="21.42578125" customWidth="1"/>
    <col min="5381" max="5381" width="17.7109375" customWidth="1"/>
    <col min="5382" max="5383" width="14.7109375" customWidth="1"/>
    <col min="5384" max="5385" width="15.85546875" customWidth="1"/>
    <col min="5386" max="5397" width="12.85546875" customWidth="1"/>
    <col min="5632" max="5632" width="12.5703125" customWidth="1"/>
    <col min="5633" max="5633" width="5.140625" customWidth="1"/>
    <col min="5634" max="5634" width="13.42578125" customWidth="1"/>
    <col min="5635" max="5636" width="21.42578125" customWidth="1"/>
    <col min="5637" max="5637" width="17.7109375" customWidth="1"/>
    <col min="5638" max="5639" width="14.7109375" customWidth="1"/>
    <col min="5640" max="5641" width="15.85546875" customWidth="1"/>
    <col min="5642" max="5653" width="12.85546875" customWidth="1"/>
    <col min="5888" max="5888" width="12.5703125" customWidth="1"/>
    <col min="5889" max="5889" width="5.140625" customWidth="1"/>
    <col min="5890" max="5890" width="13.42578125" customWidth="1"/>
    <col min="5891" max="5892" width="21.42578125" customWidth="1"/>
    <col min="5893" max="5893" width="17.7109375" customWidth="1"/>
    <col min="5894" max="5895" width="14.7109375" customWidth="1"/>
    <col min="5896" max="5897" width="15.85546875" customWidth="1"/>
    <col min="5898" max="5909" width="12.85546875" customWidth="1"/>
    <col min="6144" max="6144" width="12.5703125" customWidth="1"/>
    <col min="6145" max="6145" width="5.140625" customWidth="1"/>
    <col min="6146" max="6146" width="13.42578125" customWidth="1"/>
    <col min="6147" max="6148" width="21.42578125" customWidth="1"/>
    <col min="6149" max="6149" width="17.7109375" customWidth="1"/>
    <col min="6150" max="6151" width="14.7109375" customWidth="1"/>
    <col min="6152" max="6153" width="15.85546875" customWidth="1"/>
    <col min="6154" max="6165" width="12.85546875" customWidth="1"/>
    <col min="6400" max="6400" width="12.5703125" customWidth="1"/>
    <col min="6401" max="6401" width="5.140625" customWidth="1"/>
    <col min="6402" max="6402" width="13.42578125" customWidth="1"/>
    <col min="6403" max="6404" width="21.42578125" customWidth="1"/>
    <col min="6405" max="6405" width="17.7109375" customWidth="1"/>
    <col min="6406" max="6407" width="14.7109375" customWidth="1"/>
    <col min="6408" max="6409" width="15.85546875" customWidth="1"/>
    <col min="6410" max="6421" width="12.85546875" customWidth="1"/>
    <col min="6656" max="6656" width="12.5703125" customWidth="1"/>
    <col min="6657" max="6657" width="5.140625" customWidth="1"/>
    <col min="6658" max="6658" width="13.42578125" customWidth="1"/>
    <col min="6659" max="6660" width="21.42578125" customWidth="1"/>
    <col min="6661" max="6661" width="17.7109375" customWidth="1"/>
    <col min="6662" max="6663" width="14.7109375" customWidth="1"/>
    <col min="6664" max="6665" width="15.85546875" customWidth="1"/>
    <col min="6666" max="6677" width="12.85546875" customWidth="1"/>
    <col min="6912" max="6912" width="12.5703125" customWidth="1"/>
    <col min="6913" max="6913" width="5.140625" customWidth="1"/>
    <col min="6914" max="6914" width="13.42578125" customWidth="1"/>
    <col min="6915" max="6916" width="21.42578125" customWidth="1"/>
    <col min="6917" max="6917" width="17.7109375" customWidth="1"/>
    <col min="6918" max="6919" width="14.7109375" customWidth="1"/>
    <col min="6920" max="6921" width="15.85546875" customWidth="1"/>
    <col min="6922" max="6933" width="12.85546875" customWidth="1"/>
    <col min="7168" max="7168" width="12.5703125" customWidth="1"/>
    <col min="7169" max="7169" width="5.140625" customWidth="1"/>
    <col min="7170" max="7170" width="13.42578125" customWidth="1"/>
    <col min="7171" max="7172" width="21.42578125" customWidth="1"/>
    <col min="7173" max="7173" width="17.7109375" customWidth="1"/>
    <col min="7174" max="7175" width="14.7109375" customWidth="1"/>
    <col min="7176" max="7177" width="15.85546875" customWidth="1"/>
    <col min="7178" max="7189" width="12.85546875" customWidth="1"/>
    <col min="7424" max="7424" width="12.5703125" customWidth="1"/>
    <col min="7425" max="7425" width="5.140625" customWidth="1"/>
    <col min="7426" max="7426" width="13.42578125" customWidth="1"/>
    <col min="7427" max="7428" width="21.42578125" customWidth="1"/>
    <col min="7429" max="7429" width="17.7109375" customWidth="1"/>
    <col min="7430" max="7431" width="14.7109375" customWidth="1"/>
    <col min="7432" max="7433" width="15.85546875" customWidth="1"/>
    <col min="7434" max="7445" width="12.85546875" customWidth="1"/>
    <col min="7680" max="7680" width="12.5703125" customWidth="1"/>
    <col min="7681" max="7681" width="5.140625" customWidth="1"/>
    <col min="7682" max="7682" width="13.42578125" customWidth="1"/>
    <col min="7683" max="7684" width="21.42578125" customWidth="1"/>
    <col min="7685" max="7685" width="17.7109375" customWidth="1"/>
    <col min="7686" max="7687" width="14.7109375" customWidth="1"/>
    <col min="7688" max="7689" width="15.85546875" customWidth="1"/>
    <col min="7690" max="7701" width="12.85546875" customWidth="1"/>
    <col min="7936" max="7936" width="12.5703125" customWidth="1"/>
    <col min="7937" max="7937" width="5.140625" customWidth="1"/>
    <col min="7938" max="7938" width="13.42578125" customWidth="1"/>
    <col min="7939" max="7940" width="21.42578125" customWidth="1"/>
    <col min="7941" max="7941" width="17.7109375" customWidth="1"/>
    <col min="7942" max="7943" width="14.7109375" customWidth="1"/>
    <col min="7944" max="7945" width="15.85546875" customWidth="1"/>
    <col min="7946" max="7957" width="12.85546875" customWidth="1"/>
    <col min="8192" max="8192" width="12.5703125" customWidth="1"/>
    <col min="8193" max="8193" width="5.140625" customWidth="1"/>
    <col min="8194" max="8194" width="13.42578125" customWidth="1"/>
    <col min="8195" max="8196" width="21.42578125" customWidth="1"/>
    <col min="8197" max="8197" width="17.7109375" customWidth="1"/>
    <col min="8198" max="8199" width="14.7109375" customWidth="1"/>
    <col min="8200" max="8201" width="15.85546875" customWidth="1"/>
    <col min="8202" max="8213" width="12.85546875" customWidth="1"/>
    <col min="8448" max="8448" width="12.5703125" customWidth="1"/>
    <col min="8449" max="8449" width="5.140625" customWidth="1"/>
    <col min="8450" max="8450" width="13.42578125" customWidth="1"/>
    <col min="8451" max="8452" width="21.42578125" customWidth="1"/>
    <col min="8453" max="8453" width="17.7109375" customWidth="1"/>
    <col min="8454" max="8455" width="14.7109375" customWidth="1"/>
    <col min="8456" max="8457" width="15.85546875" customWidth="1"/>
    <col min="8458" max="8469" width="12.85546875" customWidth="1"/>
    <col min="8704" max="8704" width="12.5703125" customWidth="1"/>
    <col min="8705" max="8705" width="5.140625" customWidth="1"/>
    <col min="8706" max="8706" width="13.42578125" customWidth="1"/>
    <col min="8707" max="8708" width="21.42578125" customWidth="1"/>
    <col min="8709" max="8709" width="17.7109375" customWidth="1"/>
    <col min="8710" max="8711" width="14.7109375" customWidth="1"/>
    <col min="8712" max="8713" width="15.85546875" customWidth="1"/>
    <col min="8714" max="8725" width="12.85546875" customWidth="1"/>
    <col min="8960" max="8960" width="12.5703125" customWidth="1"/>
    <col min="8961" max="8961" width="5.140625" customWidth="1"/>
    <col min="8962" max="8962" width="13.42578125" customWidth="1"/>
    <col min="8963" max="8964" width="21.42578125" customWidth="1"/>
    <col min="8965" max="8965" width="17.7109375" customWidth="1"/>
    <col min="8966" max="8967" width="14.7109375" customWidth="1"/>
    <col min="8968" max="8969" width="15.85546875" customWidth="1"/>
    <col min="8970" max="8981" width="12.85546875" customWidth="1"/>
    <col min="9216" max="9216" width="12.5703125" customWidth="1"/>
    <col min="9217" max="9217" width="5.140625" customWidth="1"/>
    <col min="9218" max="9218" width="13.42578125" customWidth="1"/>
    <col min="9219" max="9220" width="21.42578125" customWidth="1"/>
    <col min="9221" max="9221" width="17.7109375" customWidth="1"/>
    <col min="9222" max="9223" width="14.7109375" customWidth="1"/>
    <col min="9224" max="9225" width="15.85546875" customWidth="1"/>
    <col min="9226" max="9237" width="12.85546875" customWidth="1"/>
    <col min="9472" max="9472" width="12.5703125" customWidth="1"/>
    <col min="9473" max="9473" width="5.140625" customWidth="1"/>
    <col min="9474" max="9474" width="13.42578125" customWidth="1"/>
    <col min="9475" max="9476" width="21.42578125" customWidth="1"/>
    <col min="9477" max="9477" width="17.7109375" customWidth="1"/>
    <col min="9478" max="9479" width="14.7109375" customWidth="1"/>
    <col min="9480" max="9481" width="15.85546875" customWidth="1"/>
    <col min="9482" max="9493" width="12.85546875" customWidth="1"/>
    <col min="9728" max="9728" width="12.5703125" customWidth="1"/>
    <col min="9729" max="9729" width="5.140625" customWidth="1"/>
    <col min="9730" max="9730" width="13.42578125" customWidth="1"/>
    <col min="9731" max="9732" width="21.42578125" customWidth="1"/>
    <col min="9733" max="9733" width="17.7109375" customWidth="1"/>
    <col min="9734" max="9735" width="14.7109375" customWidth="1"/>
    <col min="9736" max="9737" width="15.85546875" customWidth="1"/>
    <col min="9738" max="9749" width="12.85546875" customWidth="1"/>
    <col min="9984" max="9984" width="12.5703125" customWidth="1"/>
    <col min="9985" max="9985" width="5.140625" customWidth="1"/>
    <col min="9986" max="9986" width="13.42578125" customWidth="1"/>
    <col min="9987" max="9988" width="21.42578125" customWidth="1"/>
    <col min="9989" max="9989" width="17.7109375" customWidth="1"/>
    <col min="9990" max="9991" width="14.7109375" customWidth="1"/>
    <col min="9992" max="9993" width="15.85546875" customWidth="1"/>
    <col min="9994" max="10005" width="12.85546875" customWidth="1"/>
    <col min="10240" max="10240" width="12.5703125" customWidth="1"/>
    <col min="10241" max="10241" width="5.140625" customWidth="1"/>
    <col min="10242" max="10242" width="13.42578125" customWidth="1"/>
    <col min="10243" max="10244" width="21.42578125" customWidth="1"/>
    <col min="10245" max="10245" width="17.7109375" customWidth="1"/>
    <col min="10246" max="10247" width="14.7109375" customWidth="1"/>
    <col min="10248" max="10249" width="15.85546875" customWidth="1"/>
    <col min="10250" max="10261" width="12.85546875" customWidth="1"/>
    <col min="10496" max="10496" width="12.5703125" customWidth="1"/>
    <col min="10497" max="10497" width="5.140625" customWidth="1"/>
    <col min="10498" max="10498" width="13.42578125" customWidth="1"/>
    <col min="10499" max="10500" width="21.42578125" customWidth="1"/>
    <col min="10501" max="10501" width="17.7109375" customWidth="1"/>
    <col min="10502" max="10503" width="14.7109375" customWidth="1"/>
    <col min="10504" max="10505" width="15.85546875" customWidth="1"/>
    <col min="10506" max="10517" width="12.85546875" customWidth="1"/>
    <col min="10752" max="10752" width="12.5703125" customWidth="1"/>
    <col min="10753" max="10753" width="5.140625" customWidth="1"/>
    <col min="10754" max="10754" width="13.42578125" customWidth="1"/>
    <col min="10755" max="10756" width="21.42578125" customWidth="1"/>
    <col min="10757" max="10757" width="17.7109375" customWidth="1"/>
    <col min="10758" max="10759" width="14.7109375" customWidth="1"/>
    <col min="10760" max="10761" width="15.85546875" customWidth="1"/>
    <col min="10762" max="10773" width="12.85546875" customWidth="1"/>
    <col min="11008" max="11008" width="12.5703125" customWidth="1"/>
    <col min="11009" max="11009" width="5.140625" customWidth="1"/>
    <col min="11010" max="11010" width="13.42578125" customWidth="1"/>
    <col min="11011" max="11012" width="21.42578125" customWidth="1"/>
    <col min="11013" max="11013" width="17.7109375" customWidth="1"/>
    <col min="11014" max="11015" width="14.7109375" customWidth="1"/>
    <col min="11016" max="11017" width="15.85546875" customWidth="1"/>
    <col min="11018" max="11029" width="12.85546875" customWidth="1"/>
    <col min="11264" max="11264" width="12.5703125" customWidth="1"/>
    <col min="11265" max="11265" width="5.140625" customWidth="1"/>
    <col min="11266" max="11266" width="13.42578125" customWidth="1"/>
    <col min="11267" max="11268" width="21.42578125" customWidth="1"/>
    <col min="11269" max="11269" width="17.7109375" customWidth="1"/>
    <col min="11270" max="11271" width="14.7109375" customWidth="1"/>
    <col min="11272" max="11273" width="15.85546875" customWidth="1"/>
    <col min="11274" max="11285" width="12.85546875" customWidth="1"/>
    <col min="11520" max="11520" width="12.5703125" customWidth="1"/>
    <col min="11521" max="11521" width="5.140625" customWidth="1"/>
    <col min="11522" max="11522" width="13.42578125" customWidth="1"/>
    <col min="11523" max="11524" width="21.42578125" customWidth="1"/>
    <col min="11525" max="11525" width="17.7109375" customWidth="1"/>
    <col min="11526" max="11527" width="14.7109375" customWidth="1"/>
    <col min="11528" max="11529" width="15.85546875" customWidth="1"/>
    <col min="11530" max="11541" width="12.85546875" customWidth="1"/>
    <col min="11776" max="11776" width="12.5703125" customWidth="1"/>
    <col min="11777" max="11777" width="5.140625" customWidth="1"/>
    <col min="11778" max="11778" width="13.42578125" customWidth="1"/>
    <col min="11779" max="11780" width="21.42578125" customWidth="1"/>
    <col min="11781" max="11781" width="17.7109375" customWidth="1"/>
    <col min="11782" max="11783" width="14.7109375" customWidth="1"/>
    <col min="11784" max="11785" width="15.85546875" customWidth="1"/>
    <col min="11786" max="11797" width="12.85546875" customWidth="1"/>
    <col min="12032" max="12032" width="12.5703125" customWidth="1"/>
    <col min="12033" max="12033" width="5.140625" customWidth="1"/>
    <col min="12034" max="12034" width="13.42578125" customWidth="1"/>
    <col min="12035" max="12036" width="21.42578125" customWidth="1"/>
    <col min="12037" max="12037" width="17.7109375" customWidth="1"/>
    <col min="12038" max="12039" width="14.7109375" customWidth="1"/>
    <col min="12040" max="12041" width="15.85546875" customWidth="1"/>
    <col min="12042" max="12053" width="12.85546875" customWidth="1"/>
    <col min="12288" max="12288" width="12.5703125" customWidth="1"/>
    <col min="12289" max="12289" width="5.140625" customWidth="1"/>
    <col min="12290" max="12290" width="13.42578125" customWidth="1"/>
    <col min="12291" max="12292" width="21.42578125" customWidth="1"/>
    <col min="12293" max="12293" width="17.7109375" customWidth="1"/>
    <col min="12294" max="12295" width="14.7109375" customWidth="1"/>
    <col min="12296" max="12297" width="15.85546875" customWidth="1"/>
    <col min="12298" max="12309" width="12.85546875" customWidth="1"/>
    <col min="12544" max="12544" width="12.5703125" customWidth="1"/>
    <col min="12545" max="12545" width="5.140625" customWidth="1"/>
    <col min="12546" max="12546" width="13.42578125" customWidth="1"/>
    <col min="12547" max="12548" width="21.42578125" customWidth="1"/>
    <col min="12549" max="12549" width="17.7109375" customWidth="1"/>
    <col min="12550" max="12551" width="14.7109375" customWidth="1"/>
    <col min="12552" max="12553" width="15.85546875" customWidth="1"/>
    <col min="12554" max="12565" width="12.85546875" customWidth="1"/>
    <col min="12800" max="12800" width="12.5703125" customWidth="1"/>
    <col min="12801" max="12801" width="5.140625" customWidth="1"/>
    <col min="12802" max="12802" width="13.42578125" customWidth="1"/>
    <col min="12803" max="12804" width="21.42578125" customWidth="1"/>
    <col min="12805" max="12805" width="17.7109375" customWidth="1"/>
    <col min="12806" max="12807" width="14.7109375" customWidth="1"/>
    <col min="12808" max="12809" width="15.85546875" customWidth="1"/>
    <col min="12810" max="12821" width="12.85546875" customWidth="1"/>
    <col min="13056" max="13056" width="12.5703125" customWidth="1"/>
    <col min="13057" max="13057" width="5.140625" customWidth="1"/>
    <col min="13058" max="13058" width="13.42578125" customWidth="1"/>
    <col min="13059" max="13060" width="21.42578125" customWidth="1"/>
    <col min="13061" max="13061" width="17.7109375" customWidth="1"/>
    <col min="13062" max="13063" width="14.7109375" customWidth="1"/>
    <col min="13064" max="13065" width="15.85546875" customWidth="1"/>
    <col min="13066" max="13077" width="12.85546875" customWidth="1"/>
    <col min="13312" max="13312" width="12.5703125" customWidth="1"/>
    <col min="13313" max="13313" width="5.140625" customWidth="1"/>
    <col min="13314" max="13314" width="13.42578125" customWidth="1"/>
    <col min="13315" max="13316" width="21.42578125" customWidth="1"/>
    <col min="13317" max="13317" width="17.7109375" customWidth="1"/>
    <col min="13318" max="13319" width="14.7109375" customWidth="1"/>
    <col min="13320" max="13321" width="15.85546875" customWidth="1"/>
    <col min="13322" max="13333" width="12.85546875" customWidth="1"/>
    <col min="13568" max="13568" width="12.5703125" customWidth="1"/>
    <col min="13569" max="13569" width="5.140625" customWidth="1"/>
    <col min="13570" max="13570" width="13.42578125" customWidth="1"/>
    <col min="13571" max="13572" width="21.42578125" customWidth="1"/>
    <col min="13573" max="13573" width="17.7109375" customWidth="1"/>
    <col min="13574" max="13575" width="14.7109375" customWidth="1"/>
    <col min="13576" max="13577" width="15.85546875" customWidth="1"/>
    <col min="13578" max="13589" width="12.85546875" customWidth="1"/>
    <col min="13824" max="13824" width="12.5703125" customWidth="1"/>
    <col min="13825" max="13825" width="5.140625" customWidth="1"/>
    <col min="13826" max="13826" width="13.42578125" customWidth="1"/>
    <col min="13827" max="13828" width="21.42578125" customWidth="1"/>
    <col min="13829" max="13829" width="17.7109375" customWidth="1"/>
    <col min="13830" max="13831" width="14.7109375" customWidth="1"/>
    <col min="13832" max="13833" width="15.85546875" customWidth="1"/>
    <col min="13834" max="13845" width="12.85546875" customWidth="1"/>
    <col min="14080" max="14080" width="12.5703125" customWidth="1"/>
    <col min="14081" max="14081" width="5.140625" customWidth="1"/>
    <col min="14082" max="14082" width="13.42578125" customWidth="1"/>
    <col min="14083" max="14084" width="21.42578125" customWidth="1"/>
    <col min="14085" max="14085" width="17.7109375" customWidth="1"/>
    <col min="14086" max="14087" width="14.7109375" customWidth="1"/>
    <col min="14088" max="14089" width="15.85546875" customWidth="1"/>
    <col min="14090" max="14101" width="12.85546875" customWidth="1"/>
    <col min="14336" max="14336" width="12.5703125" customWidth="1"/>
    <col min="14337" max="14337" width="5.140625" customWidth="1"/>
    <col min="14338" max="14338" width="13.42578125" customWidth="1"/>
    <col min="14339" max="14340" width="21.42578125" customWidth="1"/>
    <col min="14341" max="14341" width="17.7109375" customWidth="1"/>
    <col min="14342" max="14343" width="14.7109375" customWidth="1"/>
    <col min="14344" max="14345" width="15.85546875" customWidth="1"/>
    <col min="14346" max="14357" width="12.85546875" customWidth="1"/>
    <col min="14592" max="14592" width="12.5703125" customWidth="1"/>
    <col min="14593" max="14593" width="5.140625" customWidth="1"/>
    <col min="14594" max="14594" width="13.42578125" customWidth="1"/>
    <col min="14595" max="14596" width="21.42578125" customWidth="1"/>
    <col min="14597" max="14597" width="17.7109375" customWidth="1"/>
    <col min="14598" max="14599" width="14.7109375" customWidth="1"/>
    <col min="14600" max="14601" width="15.85546875" customWidth="1"/>
    <col min="14602" max="14613" width="12.85546875" customWidth="1"/>
    <col min="14848" max="14848" width="12.5703125" customWidth="1"/>
    <col min="14849" max="14849" width="5.140625" customWidth="1"/>
    <col min="14850" max="14850" width="13.42578125" customWidth="1"/>
    <col min="14851" max="14852" width="21.42578125" customWidth="1"/>
    <col min="14853" max="14853" width="17.7109375" customWidth="1"/>
    <col min="14854" max="14855" width="14.7109375" customWidth="1"/>
    <col min="14856" max="14857" width="15.85546875" customWidth="1"/>
    <col min="14858" max="14869" width="12.85546875" customWidth="1"/>
    <col min="15104" max="15104" width="12.5703125" customWidth="1"/>
    <col min="15105" max="15105" width="5.140625" customWidth="1"/>
    <col min="15106" max="15106" width="13.42578125" customWidth="1"/>
    <col min="15107" max="15108" width="21.42578125" customWidth="1"/>
    <col min="15109" max="15109" width="17.7109375" customWidth="1"/>
    <col min="15110" max="15111" width="14.7109375" customWidth="1"/>
    <col min="15112" max="15113" width="15.85546875" customWidth="1"/>
    <col min="15114" max="15125" width="12.85546875" customWidth="1"/>
    <col min="15360" max="15360" width="12.5703125" customWidth="1"/>
    <col min="15361" max="15361" width="5.140625" customWidth="1"/>
    <col min="15362" max="15362" width="13.42578125" customWidth="1"/>
    <col min="15363" max="15364" width="21.42578125" customWidth="1"/>
    <col min="15365" max="15365" width="17.7109375" customWidth="1"/>
    <col min="15366" max="15367" width="14.7109375" customWidth="1"/>
    <col min="15368" max="15369" width="15.85546875" customWidth="1"/>
    <col min="15370" max="15381" width="12.85546875" customWidth="1"/>
    <col min="15616" max="15616" width="12.5703125" customWidth="1"/>
    <col min="15617" max="15617" width="5.140625" customWidth="1"/>
    <col min="15618" max="15618" width="13.42578125" customWidth="1"/>
    <col min="15619" max="15620" width="21.42578125" customWidth="1"/>
    <col min="15621" max="15621" width="17.7109375" customWidth="1"/>
    <col min="15622" max="15623" width="14.7109375" customWidth="1"/>
    <col min="15624" max="15625" width="15.85546875" customWidth="1"/>
    <col min="15626" max="15637" width="12.85546875" customWidth="1"/>
    <col min="15872" max="15872" width="12.5703125" customWidth="1"/>
    <col min="15873" max="15873" width="5.140625" customWidth="1"/>
    <col min="15874" max="15874" width="13.42578125" customWidth="1"/>
    <col min="15875" max="15876" width="21.42578125" customWidth="1"/>
    <col min="15877" max="15877" width="17.7109375" customWidth="1"/>
    <col min="15878" max="15879" width="14.7109375" customWidth="1"/>
    <col min="15880" max="15881" width="15.85546875" customWidth="1"/>
    <col min="15882" max="15893" width="12.85546875" customWidth="1"/>
    <col min="16128" max="16128" width="12.5703125" customWidth="1"/>
    <col min="16129" max="16129" width="5.140625" customWidth="1"/>
    <col min="16130" max="16130" width="13.42578125" customWidth="1"/>
    <col min="16131" max="16132" width="21.42578125" customWidth="1"/>
    <col min="16133" max="16133" width="17.7109375" customWidth="1"/>
    <col min="16134" max="16135" width="14.7109375" customWidth="1"/>
    <col min="16136" max="16137" width="15.85546875" customWidth="1"/>
    <col min="16138" max="16149" width="12.85546875" customWidth="1"/>
  </cols>
  <sheetData>
    <row r="1" spans="1:32" ht="20.25" customHeight="1">
      <c r="A1" s="46" t="s">
        <v>0</v>
      </c>
      <c r="B1" s="46"/>
      <c r="C1" s="47" t="s">
        <v>1</v>
      </c>
      <c r="D1" s="47"/>
      <c r="E1" s="47"/>
      <c r="F1" s="47"/>
      <c r="G1" s="3"/>
    </row>
    <row r="2" spans="1:32">
      <c r="C2" s="7"/>
      <c r="D2" s="1"/>
      <c r="E2" s="1"/>
      <c r="F2" s="1"/>
      <c r="G2" s="3"/>
      <c r="H2" s="8"/>
    </row>
    <row r="3" spans="1:32" ht="24" customHeight="1">
      <c r="A3" s="46" t="s">
        <v>2</v>
      </c>
      <c r="B3" s="46"/>
      <c r="C3" s="48" t="s">
        <v>3</v>
      </c>
      <c r="D3" s="49"/>
      <c r="E3" s="49"/>
      <c r="F3" s="50"/>
      <c r="G3" s="3"/>
      <c r="H3" s="9"/>
    </row>
    <row r="4" spans="1:32">
      <c r="C4" s="1"/>
      <c r="D4" s="1"/>
      <c r="E4" s="1"/>
      <c r="F4" s="10"/>
      <c r="G4" s="11"/>
    </row>
    <row r="5" spans="1:32" ht="27" customHeight="1">
      <c r="A5" s="46" t="s">
        <v>4</v>
      </c>
      <c r="B5" s="46"/>
      <c r="C5" s="47" t="s">
        <v>5</v>
      </c>
      <c r="D5" s="47"/>
      <c r="E5" s="47"/>
      <c r="F5" s="47"/>
      <c r="G5" s="12"/>
      <c r="H5" s="12"/>
    </row>
    <row r="6" spans="1:32">
      <c r="C6" s="1"/>
      <c r="D6" s="1"/>
      <c r="E6" s="1"/>
      <c r="F6" s="10"/>
      <c r="G6" s="11"/>
    </row>
    <row r="7" spans="1:32" ht="27" hidden="1" customHeight="1">
      <c r="A7" s="46" t="s">
        <v>6</v>
      </c>
      <c r="B7" s="46"/>
      <c r="C7" s="47"/>
      <c r="D7" s="47"/>
      <c r="E7" s="47"/>
      <c r="F7" s="47"/>
      <c r="G7" s="12"/>
      <c r="H7" s="12"/>
    </row>
    <row r="8" spans="1:32" hidden="1">
      <c r="C8" s="10"/>
      <c r="D8" s="10"/>
      <c r="E8" s="10"/>
      <c r="F8" s="10"/>
      <c r="G8" s="11"/>
    </row>
    <row r="9" spans="1:32" ht="116.25" customHeight="1">
      <c r="A9" s="46" t="s">
        <v>7</v>
      </c>
      <c r="B9" s="46"/>
      <c r="C9" s="48" t="s">
        <v>8</v>
      </c>
      <c r="D9" s="49"/>
      <c r="E9" s="49"/>
      <c r="F9" s="50"/>
      <c r="G9" s="13"/>
    </row>
    <row r="10" spans="1:32" s="19" customFormat="1" ht="14.25" customHeight="1">
      <c r="A10" s="4"/>
      <c r="B10" s="4"/>
      <c r="C10" s="14"/>
      <c r="D10" s="14"/>
      <c r="E10" s="14"/>
      <c r="F10" s="14"/>
      <c r="G10" s="16"/>
      <c r="H10" s="4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7"/>
      <c r="T10" s="17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pans="1:32" s="19" customFormat="1" ht="30" customHeight="1">
      <c r="A11" s="20"/>
      <c r="B11" s="20"/>
      <c r="C11" s="15"/>
      <c r="D11" s="15"/>
      <c r="E11" s="15"/>
      <c r="F11" s="15"/>
      <c r="G11" s="16"/>
      <c r="H11" s="4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7"/>
      <c r="T11" s="17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>
      <c r="A12" s="21"/>
      <c r="B12" s="21"/>
      <c r="C12" s="21"/>
      <c r="D12" s="21"/>
      <c r="E12" s="21"/>
      <c r="F12" s="21"/>
      <c r="G12" s="22"/>
    </row>
    <row r="13" spans="1:32" ht="22.5" customHeight="1">
      <c r="A13" s="21"/>
      <c r="B13" s="55" t="s">
        <v>9</v>
      </c>
      <c r="C13" s="55"/>
      <c r="D13" s="53" t="s">
        <v>10</v>
      </c>
      <c r="E13" s="56" t="s">
        <v>11</v>
      </c>
      <c r="F13" s="53" t="s">
        <v>12</v>
      </c>
      <c r="G13" s="51" t="s">
        <v>13</v>
      </c>
      <c r="H13" s="53" t="s">
        <v>14</v>
      </c>
      <c r="I13" s="57" t="s">
        <v>15</v>
      </c>
      <c r="J13" s="58"/>
      <c r="K13" s="57" t="s">
        <v>16</v>
      </c>
      <c r="L13" s="58"/>
      <c r="M13" s="57" t="s">
        <v>17</v>
      </c>
      <c r="N13" s="58"/>
      <c r="O13" s="57" t="s">
        <v>18</v>
      </c>
      <c r="P13" s="58"/>
      <c r="Q13" s="57" t="s">
        <v>19</v>
      </c>
      <c r="R13" s="58"/>
      <c r="S13" s="57" t="s">
        <v>20</v>
      </c>
      <c r="T13" s="58"/>
      <c r="U13" s="57" t="s">
        <v>21</v>
      </c>
      <c r="V13" s="58"/>
      <c r="W13" s="57" t="s">
        <v>22</v>
      </c>
      <c r="X13" s="58"/>
      <c r="Y13" s="57" t="s">
        <v>23</v>
      </c>
      <c r="Z13" s="58"/>
      <c r="AA13" s="57" t="s">
        <v>24</v>
      </c>
      <c r="AB13" s="58"/>
      <c r="AC13" s="57" t="s">
        <v>25</v>
      </c>
      <c r="AD13" s="58"/>
      <c r="AE13" s="57" t="s">
        <v>26</v>
      </c>
      <c r="AF13" s="58"/>
    </row>
    <row r="14" spans="1:32" ht="16.5" customHeight="1">
      <c r="A14" s="21"/>
      <c r="B14" s="55"/>
      <c r="C14" s="55"/>
      <c r="D14" s="54"/>
      <c r="E14" s="56"/>
      <c r="F14" s="54"/>
      <c r="G14" s="52"/>
      <c r="H14" s="54"/>
      <c r="I14" s="59"/>
      <c r="J14" s="60"/>
      <c r="K14" s="59"/>
      <c r="L14" s="60"/>
      <c r="M14" s="59"/>
      <c r="N14" s="60"/>
      <c r="O14" s="59"/>
      <c r="P14" s="60"/>
      <c r="Q14" s="59"/>
      <c r="R14" s="60"/>
      <c r="S14" s="59"/>
      <c r="T14" s="60"/>
      <c r="U14" s="59"/>
      <c r="V14" s="60"/>
      <c r="W14" s="59"/>
      <c r="X14" s="60"/>
      <c r="Y14" s="59"/>
      <c r="Z14" s="60"/>
      <c r="AA14" s="59"/>
      <c r="AB14" s="60"/>
      <c r="AC14" s="59"/>
      <c r="AD14" s="60"/>
      <c r="AE14" s="59"/>
      <c r="AF14" s="60"/>
    </row>
    <row r="15" spans="1:32" s="29" customFormat="1" ht="24.75" customHeight="1">
      <c r="A15" s="23" t="s">
        <v>27</v>
      </c>
      <c r="B15" s="61" t="s">
        <v>28</v>
      </c>
      <c r="C15" s="62"/>
      <c r="D15" s="24" t="s">
        <v>29</v>
      </c>
      <c r="E15" s="25" t="s">
        <v>30</v>
      </c>
      <c r="F15" s="26" t="s">
        <v>31</v>
      </c>
      <c r="G15" s="28" t="s">
        <v>32</v>
      </c>
      <c r="H15" s="27">
        <f t="shared" ref="H15:H24" si="0">SUM(I15:AF15)</f>
        <v>20092</v>
      </c>
      <c r="I15" s="63">
        <v>1634</v>
      </c>
      <c r="J15" s="64"/>
      <c r="K15" s="63">
        <v>1362</v>
      </c>
      <c r="L15" s="64"/>
      <c r="M15" s="63">
        <f>920+918</f>
        <v>1838</v>
      </c>
      <c r="N15" s="64"/>
      <c r="O15" s="63">
        <f>338+350</f>
        <v>688</v>
      </c>
      <c r="P15" s="64"/>
      <c r="Q15" s="63">
        <f>889+887</f>
        <v>1776</v>
      </c>
      <c r="R15" s="64"/>
      <c r="S15" s="63">
        <f>997+961</f>
        <v>1958</v>
      </c>
      <c r="T15" s="64"/>
      <c r="U15" s="63">
        <v>1881</v>
      </c>
      <c r="V15" s="64"/>
      <c r="W15" s="63">
        <v>1925</v>
      </c>
      <c r="X15" s="64"/>
      <c r="Y15" s="63">
        <v>1898</v>
      </c>
      <c r="Z15" s="64"/>
      <c r="AA15" s="63">
        <v>1978</v>
      </c>
      <c r="AB15" s="64"/>
      <c r="AC15" s="63">
        <v>1982</v>
      </c>
      <c r="AD15" s="64"/>
      <c r="AE15" s="63">
        <v>1172</v>
      </c>
      <c r="AF15" s="64"/>
    </row>
    <row r="16" spans="1:32" s="29" customFormat="1" ht="27" customHeight="1">
      <c r="A16" s="65" t="s">
        <v>33</v>
      </c>
      <c r="B16" s="68" t="s">
        <v>34</v>
      </c>
      <c r="C16" s="69"/>
      <c r="D16" s="24" t="s">
        <v>35</v>
      </c>
      <c r="E16" s="24" t="s">
        <v>30</v>
      </c>
      <c r="F16" s="26" t="s">
        <v>31</v>
      </c>
      <c r="G16" s="28" t="s">
        <v>36</v>
      </c>
      <c r="H16" s="27">
        <f t="shared" si="0"/>
        <v>117</v>
      </c>
      <c r="I16" s="63">
        <f>1+1</f>
        <v>2</v>
      </c>
      <c r="J16" s="64"/>
      <c r="K16" s="63">
        <v>10</v>
      </c>
      <c r="L16" s="64"/>
      <c r="M16" s="63">
        <f>1+1+1+4+2</f>
        <v>9</v>
      </c>
      <c r="N16" s="64"/>
      <c r="O16" s="63">
        <f>3+1+2+1+1</f>
        <v>8</v>
      </c>
      <c r="P16" s="64"/>
      <c r="Q16" s="63">
        <f>2+1+3+3+3+1</f>
        <v>13</v>
      </c>
      <c r="R16" s="64"/>
      <c r="S16" s="63">
        <f>2+2+2+1+2+1+10</f>
        <v>20</v>
      </c>
      <c r="T16" s="64"/>
      <c r="U16" s="63">
        <f>2+1+1+1+4</f>
        <v>9</v>
      </c>
      <c r="V16" s="64"/>
      <c r="W16" s="63">
        <f>1+2+1+13</f>
        <v>17</v>
      </c>
      <c r="X16" s="64"/>
      <c r="Y16" s="63">
        <f>1+2+2</f>
        <v>5</v>
      </c>
      <c r="Z16" s="64"/>
      <c r="AA16" s="63">
        <f>2+2+2+4</f>
        <v>10</v>
      </c>
      <c r="AB16" s="64"/>
      <c r="AC16" s="63">
        <f>1+3+1+2+2</f>
        <v>9</v>
      </c>
      <c r="AD16" s="64"/>
      <c r="AE16" s="63">
        <v>5</v>
      </c>
      <c r="AF16" s="64"/>
    </row>
    <row r="17" spans="1:32" s="29" customFormat="1" ht="24.75" customHeight="1">
      <c r="A17" s="66"/>
      <c r="B17" s="68" t="s">
        <v>37</v>
      </c>
      <c r="C17" s="69"/>
      <c r="D17" s="24" t="s">
        <v>38</v>
      </c>
      <c r="E17" s="25" t="s">
        <v>30</v>
      </c>
      <c r="F17" s="26" t="s">
        <v>31</v>
      </c>
      <c r="G17" s="28" t="s">
        <v>39</v>
      </c>
      <c r="H17" s="27">
        <f t="shared" si="0"/>
        <v>95</v>
      </c>
      <c r="I17" s="63">
        <v>1</v>
      </c>
      <c r="J17" s="64"/>
      <c r="K17" s="63">
        <v>12</v>
      </c>
      <c r="L17" s="64"/>
      <c r="M17" s="63">
        <v>10</v>
      </c>
      <c r="N17" s="64"/>
      <c r="O17" s="63">
        <v>6</v>
      </c>
      <c r="P17" s="64"/>
      <c r="Q17" s="63">
        <v>11</v>
      </c>
      <c r="R17" s="64"/>
      <c r="S17" s="63">
        <v>7</v>
      </c>
      <c r="T17" s="64"/>
      <c r="U17" s="63">
        <v>4</v>
      </c>
      <c r="V17" s="64"/>
      <c r="W17" s="63">
        <v>16</v>
      </c>
      <c r="X17" s="64"/>
      <c r="Y17" s="63">
        <v>6</v>
      </c>
      <c r="Z17" s="64"/>
      <c r="AA17" s="63">
        <v>6</v>
      </c>
      <c r="AB17" s="64"/>
      <c r="AC17" s="63">
        <v>6</v>
      </c>
      <c r="AD17" s="64"/>
      <c r="AE17" s="63">
        <v>10</v>
      </c>
      <c r="AF17" s="64"/>
    </row>
    <row r="18" spans="1:32" s="29" customFormat="1" ht="24.75" customHeight="1">
      <c r="A18" s="66"/>
      <c r="B18" s="70" t="s">
        <v>40</v>
      </c>
      <c r="C18" s="71"/>
      <c r="D18" s="24" t="s">
        <v>41</v>
      </c>
      <c r="E18" s="25" t="s">
        <v>30</v>
      </c>
      <c r="F18" s="26" t="s">
        <v>31</v>
      </c>
      <c r="G18" s="28" t="s">
        <v>42</v>
      </c>
      <c r="H18" s="27">
        <f t="shared" si="0"/>
        <v>2690</v>
      </c>
      <c r="I18" s="63">
        <f>1+10+8+15+14+7+6+7+24+11+9+21+6</f>
        <v>139</v>
      </c>
      <c r="J18" s="64"/>
      <c r="K18" s="63">
        <f>2+4+30+18+6+14+28+6+6+7+1+16+13+2+1</f>
        <v>154</v>
      </c>
      <c r="L18" s="64"/>
      <c r="M18" s="63">
        <f>4+4+2+4+22+14+14+19+28+36+6+3+49+32+8</f>
        <v>245</v>
      </c>
      <c r="N18" s="64"/>
      <c r="O18" s="63">
        <f>10+5+4+15+13+19+18+1+11+13+27+7+5</f>
        <v>148</v>
      </c>
      <c r="P18" s="64"/>
      <c r="Q18" s="63">
        <f>19+5+3+24+8+13+6+16+1+6+10+3+5+5+23+15+7</f>
        <v>169</v>
      </c>
      <c r="R18" s="64"/>
      <c r="S18" s="63">
        <f>2+2+21+3+1+24+3+43+8+11+7+5+26+1+3+1+23+21</f>
        <v>205</v>
      </c>
      <c r="T18" s="64"/>
      <c r="U18" s="63">
        <f>7+42+1+3+3+34+4+23+10+21+5+24+1+20+19+8+20</f>
        <v>245</v>
      </c>
      <c r="V18" s="64"/>
      <c r="W18" s="63">
        <f>14+28+3+20+6+7+6+26+4+37+38+29+9+3+8+15+8+1</f>
        <v>262</v>
      </c>
      <c r="X18" s="64"/>
      <c r="Y18" s="63">
        <f>39+14+24+3+20+18+4+3+3+96+29+27+4+19+3</f>
        <v>306</v>
      </c>
      <c r="Z18" s="64"/>
      <c r="AA18" s="63">
        <f>12+6+12+3+5+11+19+33+4+7+14+2+31+18</f>
        <v>177</v>
      </c>
      <c r="AB18" s="64"/>
      <c r="AC18" s="63">
        <v>257</v>
      </c>
      <c r="AD18" s="64"/>
      <c r="AE18" s="63">
        <v>383</v>
      </c>
      <c r="AF18" s="64"/>
    </row>
    <row r="19" spans="1:32" s="29" customFormat="1" ht="27" customHeight="1">
      <c r="A19" s="66"/>
      <c r="B19" s="61" t="s">
        <v>43</v>
      </c>
      <c r="C19" s="62"/>
      <c r="D19" s="24" t="s">
        <v>44</v>
      </c>
      <c r="E19" s="25" t="s">
        <v>30</v>
      </c>
      <c r="F19" s="26" t="s">
        <v>31</v>
      </c>
      <c r="G19" s="28" t="s">
        <v>42</v>
      </c>
      <c r="H19" s="27">
        <f t="shared" si="0"/>
        <v>1137</v>
      </c>
      <c r="I19" s="63">
        <f>3+10+20+1+13+10+2+1+3+2</f>
        <v>65</v>
      </c>
      <c r="J19" s="64"/>
      <c r="K19" s="63">
        <f>1+1+10+6+3+6+9+11+17+8+1</f>
        <v>73</v>
      </c>
      <c r="L19" s="64"/>
      <c r="M19" s="63">
        <f>1+7+3+10+10+6+32+3+11+14</f>
        <v>97</v>
      </c>
      <c r="N19" s="64"/>
      <c r="O19" s="63">
        <f>26+5+2+5+1+1+2+5+13+7+1</f>
        <v>68</v>
      </c>
      <c r="P19" s="64"/>
      <c r="Q19" s="63">
        <f>3+6+23+9+4+1+5+12+3+3+1</f>
        <v>70</v>
      </c>
      <c r="R19" s="64"/>
      <c r="S19" s="63">
        <f>1+3+5+4+21+1+4+6+10+6+9+49</f>
        <v>119</v>
      </c>
      <c r="T19" s="64"/>
      <c r="U19" s="63">
        <f>3+7+38+4+9+10+6+6+2+11+95</f>
        <v>191</v>
      </c>
      <c r="V19" s="64"/>
      <c r="W19" s="63">
        <f>29+3+6+9+2+11+8+7+5+1</f>
        <v>81</v>
      </c>
      <c r="X19" s="64"/>
      <c r="Y19" s="63">
        <f>3+26+2+10+9+20+5+5+15+7+6+11</f>
        <v>119</v>
      </c>
      <c r="Z19" s="64"/>
      <c r="AA19" s="63">
        <f>4+2+2+5+67+2+4+6+8+11+4</f>
        <v>115</v>
      </c>
      <c r="AB19" s="64"/>
      <c r="AC19" s="63">
        <v>48</v>
      </c>
      <c r="AD19" s="64"/>
      <c r="AE19" s="63">
        <v>91</v>
      </c>
      <c r="AF19" s="64"/>
    </row>
    <row r="20" spans="1:32" s="29" customFormat="1" ht="24" hidden="1" customHeight="1">
      <c r="A20" s="66"/>
      <c r="B20" s="61" t="s">
        <v>45</v>
      </c>
      <c r="C20" s="62"/>
      <c r="D20" s="24" t="s">
        <v>44</v>
      </c>
      <c r="E20" s="25" t="s">
        <v>30</v>
      </c>
      <c r="F20" s="26" t="s">
        <v>31</v>
      </c>
      <c r="G20" s="28" t="s">
        <v>46</v>
      </c>
      <c r="H20" s="27">
        <f t="shared" si="0"/>
        <v>0</v>
      </c>
      <c r="I20" s="63"/>
      <c r="J20" s="64"/>
      <c r="K20" s="63"/>
      <c r="L20" s="64"/>
      <c r="M20" s="63"/>
      <c r="N20" s="64"/>
      <c r="O20" s="63"/>
      <c r="P20" s="64"/>
      <c r="Q20" s="63"/>
      <c r="R20" s="64"/>
      <c r="S20" s="63"/>
      <c r="T20" s="64"/>
      <c r="U20" s="63"/>
      <c r="V20" s="64"/>
      <c r="W20" s="63"/>
      <c r="X20" s="64"/>
      <c r="Y20" s="63"/>
      <c r="Z20" s="64"/>
      <c r="AA20" s="63"/>
      <c r="AB20" s="64"/>
      <c r="AC20" s="63"/>
      <c r="AD20" s="64"/>
      <c r="AE20" s="63"/>
      <c r="AF20" s="64"/>
    </row>
    <row r="21" spans="1:32" s="29" customFormat="1" ht="27" customHeight="1">
      <c r="A21" s="66"/>
      <c r="B21" s="61" t="s">
        <v>47</v>
      </c>
      <c r="C21" s="62"/>
      <c r="D21" s="24" t="s">
        <v>48</v>
      </c>
      <c r="E21" s="25" t="s">
        <v>30</v>
      </c>
      <c r="F21" s="26" t="s">
        <v>31</v>
      </c>
      <c r="G21" s="28" t="s">
        <v>42</v>
      </c>
      <c r="H21" s="27">
        <f t="shared" si="0"/>
        <v>1190</v>
      </c>
      <c r="I21" s="63">
        <v>150</v>
      </c>
      <c r="J21" s="64"/>
      <c r="K21" s="63">
        <v>0</v>
      </c>
      <c r="L21" s="64"/>
      <c r="M21" s="63">
        <f>150+70</f>
        <v>220</v>
      </c>
      <c r="N21" s="64"/>
      <c r="O21" s="63">
        <v>0</v>
      </c>
      <c r="P21" s="64"/>
      <c r="Q21" s="63">
        <v>0</v>
      </c>
      <c r="R21" s="64"/>
      <c r="S21" s="63">
        <v>100</v>
      </c>
      <c r="T21" s="64"/>
      <c r="U21" s="63">
        <v>100</v>
      </c>
      <c r="V21" s="64"/>
      <c r="W21" s="63">
        <v>140</v>
      </c>
      <c r="X21" s="64"/>
      <c r="Y21" s="63">
        <v>200</v>
      </c>
      <c r="Z21" s="64"/>
      <c r="AA21" s="63">
        <v>150</v>
      </c>
      <c r="AB21" s="64"/>
      <c r="AC21" s="63">
        <v>100</v>
      </c>
      <c r="AD21" s="64"/>
      <c r="AE21" s="63">
        <v>30</v>
      </c>
      <c r="AF21" s="64"/>
    </row>
    <row r="22" spans="1:32" s="29" customFormat="1" ht="26.45" customHeight="1">
      <c r="A22" s="66"/>
      <c r="B22" s="61" t="s">
        <v>49</v>
      </c>
      <c r="C22" s="62"/>
      <c r="D22" s="24" t="s">
        <v>50</v>
      </c>
      <c r="E22" s="25" t="s">
        <v>30</v>
      </c>
      <c r="F22" s="26" t="s">
        <v>31</v>
      </c>
      <c r="G22" s="28" t="s">
        <v>51</v>
      </c>
      <c r="H22" s="27">
        <f t="shared" si="0"/>
        <v>693</v>
      </c>
      <c r="I22" s="63">
        <v>63</v>
      </c>
      <c r="J22" s="64"/>
      <c r="K22" s="63">
        <v>61</v>
      </c>
      <c r="L22" s="64"/>
      <c r="M22" s="63">
        <v>70</v>
      </c>
      <c r="N22" s="64"/>
      <c r="O22" s="63">
        <v>30</v>
      </c>
      <c r="P22" s="64"/>
      <c r="Q22" s="63">
        <v>69</v>
      </c>
      <c r="R22" s="64"/>
      <c r="S22" s="63">
        <v>63</v>
      </c>
      <c r="T22" s="64"/>
      <c r="U22" s="63">
        <v>63</v>
      </c>
      <c r="V22" s="64"/>
      <c r="W22" s="63">
        <v>70</v>
      </c>
      <c r="X22" s="64"/>
      <c r="Y22" s="63">
        <v>60</v>
      </c>
      <c r="Z22" s="64"/>
      <c r="AA22" s="63">
        <v>64</v>
      </c>
      <c r="AB22" s="64"/>
      <c r="AC22" s="63">
        <v>62</v>
      </c>
      <c r="AD22" s="64"/>
      <c r="AE22" s="63">
        <v>18</v>
      </c>
      <c r="AF22" s="64"/>
    </row>
    <row r="23" spans="1:32" s="29" customFormat="1" ht="26.45" customHeight="1">
      <c r="A23" s="66"/>
      <c r="B23" s="61" t="s">
        <v>52</v>
      </c>
      <c r="C23" s="62"/>
      <c r="D23" s="24" t="s">
        <v>53</v>
      </c>
      <c r="E23" s="25" t="s">
        <v>30</v>
      </c>
      <c r="F23" s="26" t="s">
        <v>31</v>
      </c>
      <c r="G23" s="28" t="s">
        <v>51</v>
      </c>
      <c r="H23" s="27">
        <f t="shared" si="0"/>
        <v>78</v>
      </c>
      <c r="I23" s="63">
        <v>0</v>
      </c>
      <c r="J23" s="64"/>
      <c r="K23" s="63">
        <v>14</v>
      </c>
      <c r="L23" s="64"/>
      <c r="M23" s="63">
        <v>14</v>
      </c>
      <c r="N23" s="64"/>
      <c r="O23" s="63">
        <v>0</v>
      </c>
      <c r="P23" s="64"/>
      <c r="Q23" s="63">
        <v>10</v>
      </c>
      <c r="R23" s="64"/>
      <c r="S23" s="63">
        <v>22</v>
      </c>
      <c r="T23" s="64"/>
      <c r="U23" s="63">
        <v>4</v>
      </c>
      <c r="V23" s="64"/>
      <c r="W23" s="63">
        <v>0</v>
      </c>
      <c r="X23" s="64"/>
      <c r="Y23" s="63">
        <v>2</v>
      </c>
      <c r="Z23" s="64"/>
      <c r="AA23" s="63">
        <v>6</v>
      </c>
      <c r="AB23" s="64"/>
      <c r="AC23" s="63">
        <v>2</v>
      </c>
      <c r="AD23" s="64"/>
      <c r="AE23" s="63">
        <v>4</v>
      </c>
      <c r="AF23" s="64"/>
    </row>
    <row r="24" spans="1:32" s="29" customFormat="1" ht="28.15" customHeight="1">
      <c r="A24" s="66"/>
      <c r="B24" s="72" t="s">
        <v>54</v>
      </c>
      <c r="C24" s="72"/>
      <c r="D24" s="24" t="s">
        <v>55</v>
      </c>
      <c r="E24" s="25" t="s">
        <v>30</v>
      </c>
      <c r="F24" s="26" t="s">
        <v>31</v>
      </c>
      <c r="G24" s="28" t="s">
        <v>56</v>
      </c>
      <c r="H24" s="27">
        <f t="shared" si="0"/>
        <v>8514</v>
      </c>
      <c r="I24" s="63">
        <f>4+4+8+8+1+12+4+8+10+13+4+15+6+5+17+2+7+18+27+3+8+14+1+14+2+2+12+8+14+2+5+25+2+8+2+2+7+8+8+16+6+56+13+19+15+18+26+11</f>
        <v>500</v>
      </c>
      <c r="J24" s="64"/>
      <c r="K24" s="63">
        <f>3+10+14+23+4+10+2+4+9+12+17+2+8+16+15+7+4+13+33+52+15+13+26+10+20+2+9+28+4+4+8+1+8+4+2+12+4+8+9+9+4+15+6+5+21+8+160+11+48+9</f>
        <v>741</v>
      </c>
      <c r="L24" s="64"/>
      <c r="M24" s="63">
        <f>32+7+23+2+12+5+4+1+2+4+12+4+8+9+2+18+9+1+23+2+7+1+2+8+14+9+17+1+14+2+2+12+27+38+9+61+28+10+20+2+9+25+58+10+22+12+23+2</f>
        <v>625</v>
      </c>
      <c r="N24" s="64"/>
      <c r="O24" s="63">
        <v>599</v>
      </c>
      <c r="P24" s="64"/>
      <c r="Q24" s="63">
        <f>12+24+5+7+11+2+12+1+1+6+3+19+5+8+18+33+80+24+22+61+13+2+2+10+4+26+1+7+19+9+4+15+5+4+8+4+4+2+12+4+8+4+9+22+11+20+54+27+9+47</f>
        <v>720</v>
      </c>
      <c r="R24" s="64"/>
      <c r="S24" s="63">
        <f>4+18+4+4+12+4+8+4+1+13+4+4+9+3+31+5+10+28+10+28+2+12+12+5+4+13+8+12+23+12+11+3+21+7+8+19+13+49+13+8+2+23+8+33+12+33+20+13+8+54+19+13+14+12+59+11</f>
        <v>793</v>
      </c>
      <c r="T24" s="64"/>
      <c r="U24" s="63">
        <f>10+27+8+21+2+31+4+12+26+15+24+15+24+11+5+18+6+10+18+32+53+14+9+23+5+4+13+8+22+50+16+20+28+12+59+1+15+13+19+8+10+30+14+4+1+8+4+4+1+1+1+12+4+8+12</f>
        <v>825</v>
      </c>
      <c r="V24" s="64"/>
      <c r="W24" s="63">
        <f>26+30+17+8+14+17+31+16+31+9+5+15+4+5+12+8+26+4+10+28+6+23+2+14+19+13+28+10+2+22+9+15+64+7+14+24+9+2+1+8+22+11+4+1+8+4+6+4+1+3+12+8+1+5+14+5</f>
        <v>717</v>
      </c>
      <c r="X24" s="64"/>
      <c r="Y24" s="63">
        <f>9+24+10+2+18+23+45+14+11+19+13+28+8+18+10+15+7+4+13+1+20+5+9+23+10+4+7+5+38+2+12+5+4+13+5+4+1+8+4+6+4+1+3+12+8+1+19+8+10+1+8+56</f>
        <v>608</v>
      </c>
      <c r="Z24" s="64"/>
      <c r="AA24" s="63">
        <f>10+44+2+11+40+4+14+1+4+11+17+36+6+30+15+5+20+4+4+17+35+85+28+27+60+9+22+9+8+20+5+4+13+6+7+50+12+1+7+9+8+14+34+11+64</f>
        <v>843</v>
      </c>
      <c r="AB24" s="64"/>
      <c r="AC24" s="63">
        <f>4+15+5+4+11+4+17+6+17+20+30+4+25+3+18+18+25+2+6+21+12+21+10+11+2+19+37+89+27+34+27+20+9+18+8+21+4+8+4+6+4+1+12+2+8+10+9+4+15+12+10</f>
        <v>729</v>
      </c>
      <c r="AD24" s="64"/>
      <c r="AE24" s="63">
        <v>814</v>
      </c>
      <c r="AF24" s="64"/>
    </row>
    <row r="25" spans="1:32" s="29" customFormat="1" ht="26.45" customHeight="1">
      <c r="A25" s="67"/>
      <c r="B25" s="72" t="s">
        <v>57</v>
      </c>
      <c r="C25" s="72"/>
      <c r="D25" s="30" t="s">
        <v>58</v>
      </c>
      <c r="E25" s="31" t="s">
        <v>59</v>
      </c>
      <c r="F25" s="32" t="s">
        <v>60</v>
      </c>
      <c r="G25" s="28" t="s">
        <v>61</v>
      </c>
      <c r="H25" s="27">
        <f>MAX(I25:AF25)</f>
        <v>98</v>
      </c>
      <c r="I25" s="63">
        <v>93</v>
      </c>
      <c r="J25" s="64"/>
      <c r="K25" s="63">
        <v>93</v>
      </c>
      <c r="L25" s="64"/>
      <c r="M25" s="63">
        <v>98</v>
      </c>
      <c r="N25" s="64"/>
      <c r="O25" s="63">
        <v>98</v>
      </c>
      <c r="P25" s="64"/>
      <c r="Q25" s="63">
        <v>98</v>
      </c>
      <c r="R25" s="64"/>
      <c r="S25" s="63">
        <v>98</v>
      </c>
      <c r="T25" s="64"/>
      <c r="U25" s="63">
        <v>98</v>
      </c>
      <c r="V25" s="64"/>
      <c r="W25" s="63">
        <v>98</v>
      </c>
      <c r="X25" s="64"/>
      <c r="Y25" s="63">
        <v>98</v>
      </c>
      <c r="Z25" s="64"/>
      <c r="AA25" s="63">
        <v>96</v>
      </c>
      <c r="AB25" s="64"/>
      <c r="AC25" s="63">
        <v>96</v>
      </c>
      <c r="AD25" s="64"/>
      <c r="AE25" s="63">
        <v>96</v>
      </c>
      <c r="AF25" s="64"/>
    </row>
    <row r="26" spans="1:32" s="29" customFormat="1" ht="12.75" customHeight="1">
      <c r="A26" s="73" t="s">
        <v>62</v>
      </c>
      <c r="B26" s="76" t="s">
        <v>63</v>
      </c>
      <c r="C26" s="77"/>
      <c r="D26" s="80" t="s">
        <v>64</v>
      </c>
      <c r="E26" s="82" t="s">
        <v>30</v>
      </c>
      <c r="F26" s="83" t="s">
        <v>31</v>
      </c>
      <c r="G26" s="90" t="s">
        <v>61</v>
      </c>
      <c r="H26" s="84">
        <f>SUM(I27:AF27)</f>
        <v>285</v>
      </c>
      <c r="I26" s="33" t="s">
        <v>65</v>
      </c>
      <c r="J26" s="33" t="s">
        <v>66</v>
      </c>
      <c r="K26" s="33" t="s">
        <v>65</v>
      </c>
      <c r="L26" s="33" t="s">
        <v>66</v>
      </c>
      <c r="M26" s="33" t="s">
        <v>65</v>
      </c>
      <c r="N26" s="33" t="s">
        <v>66</v>
      </c>
      <c r="O26" s="33" t="s">
        <v>65</v>
      </c>
      <c r="P26" s="33" t="s">
        <v>66</v>
      </c>
      <c r="Q26" s="33" t="s">
        <v>65</v>
      </c>
      <c r="R26" s="33" t="s">
        <v>66</v>
      </c>
      <c r="S26" s="33" t="s">
        <v>65</v>
      </c>
      <c r="T26" s="33" t="s">
        <v>66</v>
      </c>
      <c r="U26" s="33" t="s">
        <v>65</v>
      </c>
      <c r="V26" s="33" t="s">
        <v>66</v>
      </c>
      <c r="W26" s="33" t="s">
        <v>65</v>
      </c>
      <c r="X26" s="33" t="s">
        <v>66</v>
      </c>
      <c r="Y26" s="33" t="s">
        <v>65</v>
      </c>
      <c r="Z26" s="33" t="s">
        <v>66</v>
      </c>
      <c r="AA26" s="33" t="s">
        <v>65</v>
      </c>
      <c r="AB26" s="33" t="s">
        <v>66</v>
      </c>
      <c r="AC26" s="33" t="s">
        <v>65</v>
      </c>
      <c r="AD26" s="33" t="s">
        <v>66</v>
      </c>
      <c r="AE26" s="33" t="s">
        <v>65</v>
      </c>
      <c r="AF26" s="33" t="s">
        <v>66</v>
      </c>
    </row>
    <row r="27" spans="1:32" s="29" customFormat="1" ht="19.899999999999999" customHeight="1">
      <c r="A27" s="74"/>
      <c r="B27" s="78"/>
      <c r="C27" s="79"/>
      <c r="D27" s="81"/>
      <c r="E27" s="82"/>
      <c r="F27" s="83"/>
      <c r="G27" s="91"/>
      <c r="H27" s="85"/>
      <c r="I27" s="34">
        <v>11</v>
      </c>
      <c r="J27" s="34">
        <v>8</v>
      </c>
      <c r="K27" s="35">
        <v>16</v>
      </c>
      <c r="L27" s="35">
        <v>6</v>
      </c>
      <c r="M27" s="35">
        <f>3+15+1+9+2+3</f>
        <v>33</v>
      </c>
      <c r="N27" s="35">
        <f>2+3+5+4+1+1</f>
        <v>16</v>
      </c>
      <c r="O27" s="35">
        <f>2+4+3+1+6+3+6+1</f>
        <v>26</v>
      </c>
      <c r="P27" s="35">
        <f>3+1</f>
        <v>4</v>
      </c>
      <c r="Q27" s="35">
        <f>7+1+9+4+6</f>
        <v>27</v>
      </c>
      <c r="R27" s="35">
        <f>1+2+1+2</f>
        <v>6</v>
      </c>
      <c r="S27" s="35">
        <f>2+10+2+1+1</f>
        <v>16</v>
      </c>
      <c r="T27" s="35">
        <v>3</v>
      </c>
      <c r="U27" s="35">
        <v>9</v>
      </c>
      <c r="V27" s="35">
        <v>2</v>
      </c>
      <c r="W27" s="34">
        <f>3+1+5+2</f>
        <v>11</v>
      </c>
      <c r="X27" s="34">
        <f>1+1+5+2</f>
        <v>9</v>
      </c>
      <c r="Y27" s="34">
        <f>1+4+4+5+4+14</f>
        <v>32</v>
      </c>
      <c r="Z27" s="34">
        <f>2+2+3+2</f>
        <v>9</v>
      </c>
      <c r="AA27" s="34">
        <v>9</v>
      </c>
      <c r="AB27" s="34">
        <v>2</v>
      </c>
      <c r="AC27" s="34">
        <v>12</v>
      </c>
      <c r="AD27" s="34">
        <v>8</v>
      </c>
      <c r="AE27" s="34">
        <v>7</v>
      </c>
      <c r="AF27" s="34">
        <v>3</v>
      </c>
    </row>
    <row r="28" spans="1:32" s="29" customFormat="1" ht="27.75" customHeight="1">
      <c r="A28" s="74"/>
      <c r="B28" s="86" t="s">
        <v>67</v>
      </c>
      <c r="C28" s="87"/>
      <c r="D28" s="36" t="s">
        <v>64</v>
      </c>
      <c r="E28" s="31" t="s">
        <v>59</v>
      </c>
      <c r="F28" s="32" t="s">
        <v>60</v>
      </c>
      <c r="G28" s="38" t="s">
        <v>61</v>
      </c>
      <c r="H28" s="37">
        <f>MAX(SUM(I28:J28),SUM(K28:L28),SUM(M28:N28),SUM(O28:P28),SUM(Q28:R28),SUM(S28:T28),SUM(U28:V28),SUM(W28:X28),SUM(Y28:Z28),SUM(AA28:AB28),SUM(AC28:AD28),SUM(AE28:AF28))</f>
        <v>372</v>
      </c>
      <c r="I28" s="35">
        <f>95+59+147</f>
        <v>301</v>
      </c>
      <c r="J28" s="35">
        <f>13+11+28</f>
        <v>52</v>
      </c>
      <c r="K28" s="34">
        <f>65+59+151</f>
        <v>275</v>
      </c>
      <c r="L28" s="34">
        <f>16+11+28</f>
        <v>55</v>
      </c>
      <c r="M28" s="34">
        <f>59+154+87</f>
        <v>300</v>
      </c>
      <c r="N28" s="34">
        <f>11+31+13</f>
        <v>55</v>
      </c>
      <c r="O28" s="34">
        <f>135+70+59</f>
        <v>264</v>
      </c>
      <c r="P28" s="34">
        <f>13+23+11</f>
        <v>47</v>
      </c>
      <c r="Q28" s="34">
        <f>59+60+150</f>
        <v>269</v>
      </c>
      <c r="R28" s="34">
        <f>11+13+30</f>
        <v>54</v>
      </c>
      <c r="S28" s="34">
        <f>59+70+150</f>
        <v>279</v>
      </c>
      <c r="T28" s="34">
        <f>11+13+30</f>
        <v>54</v>
      </c>
      <c r="U28" s="34">
        <f>70+59+150</f>
        <v>279</v>
      </c>
      <c r="V28" s="34">
        <f>12+11+33</f>
        <v>56</v>
      </c>
      <c r="W28" s="34">
        <f>59+182+70</f>
        <v>311</v>
      </c>
      <c r="X28" s="34">
        <f>11+26+12</f>
        <v>49</v>
      </c>
      <c r="Y28" s="34">
        <f>59+70+182</f>
        <v>311</v>
      </c>
      <c r="Z28" s="34">
        <f>13+12+26</f>
        <v>51</v>
      </c>
      <c r="AA28" s="34">
        <f>182+59+70</f>
        <v>311</v>
      </c>
      <c r="AB28" s="34">
        <f>26+13+12</f>
        <v>51</v>
      </c>
      <c r="AC28" s="34">
        <f>59+182+80</f>
        <v>321</v>
      </c>
      <c r="AD28" s="34">
        <f>13+26+12</f>
        <v>51</v>
      </c>
      <c r="AE28" s="34">
        <v>243</v>
      </c>
      <c r="AF28" s="34">
        <v>39</v>
      </c>
    </row>
    <row r="29" spans="1:32" s="29" customFormat="1" ht="37.5" customHeight="1">
      <c r="A29" s="74"/>
      <c r="B29" s="76" t="s">
        <v>68</v>
      </c>
      <c r="C29" s="77"/>
      <c r="D29" s="39" t="s">
        <v>64</v>
      </c>
      <c r="E29" s="31" t="s">
        <v>59</v>
      </c>
      <c r="F29" s="32" t="s">
        <v>60</v>
      </c>
      <c r="G29" s="38" t="s">
        <v>61</v>
      </c>
      <c r="H29" s="37">
        <f>MAX(SUM(I29:J29),SUM(K29:L29),SUM(M29:N29),SUM(O29:P29),SUM(Q29:R29),SUM(S29:T29),SUM(U29:V29),SUM(W29:X29),SUM(Y29:Z29),SUM(AA29:AB29),SUM(AC29:AD29),SUM(AE29:AF29))</f>
        <v>3365</v>
      </c>
      <c r="I29" s="35">
        <f>469+124+375+359+133+240+380+685</f>
        <v>2765</v>
      </c>
      <c r="J29" s="35">
        <f>31+17+63+73+78+66+190</f>
        <v>518</v>
      </c>
      <c r="K29" s="34">
        <f>241+134+370+419+567+405+124+518</f>
        <v>2778</v>
      </c>
      <c r="L29" s="34">
        <f>28+17+65+80+110+70+16+147</f>
        <v>533</v>
      </c>
      <c r="M29" s="34">
        <f>29+18+65+73+111+70+133</f>
        <v>499</v>
      </c>
      <c r="N29" s="34">
        <f>233+142+358+375+523+405+507</f>
        <v>2543</v>
      </c>
      <c r="O29" s="34">
        <f>400+390+145+350+406+411+400+124</f>
        <v>2626</v>
      </c>
      <c r="P29" s="34">
        <f>103+46+18+64+76+67+135+16</f>
        <v>525</v>
      </c>
      <c r="Q29" s="34">
        <f>361+136+405+463+397+381+390</f>
        <v>2533</v>
      </c>
      <c r="R29" s="34">
        <f>63+21+78+84+106+52+3+121</f>
        <v>528</v>
      </c>
      <c r="S29" s="34">
        <f>123+352+363+364+401+440+413+124</f>
        <v>2580</v>
      </c>
      <c r="T29" s="34">
        <f>136+17+45+73+64+82+70+16</f>
        <v>503</v>
      </c>
      <c r="U29" s="34">
        <f>397+364+363+405+480+413+124</f>
        <v>2546</v>
      </c>
      <c r="V29" s="34">
        <f>85+83+62+47+102+136+16</f>
        <v>531</v>
      </c>
      <c r="W29" s="34">
        <f>380+357+137+352+459+456+461+124</f>
        <v>2726</v>
      </c>
      <c r="X29" s="34">
        <f>71+62+18+40+97+75+143+16</f>
        <v>522</v>
      </c>
      <c r="Y29" s="34">
        <f>396+453+347+419+373+125+120+461</f>
        <v>2694</v>
      </c>
      <c r="Z29" s="34">
        <f>69+86+64+80+41+15+16+143</f>
        <v>514</v>
      </c>
      <c r="AA29" s="34">
        <f>481+132+349+400+480+404+461+120</f>
        <v>2827</v>
      </c>
      <c r="AB29" s="34">
        <f>57+18+61+84+90+69+143+16</f>
        <v>538</v>
      </c>
      <c r="AC29" s="34">
        <f>120+129+214+329+348+375+515+461</f>
        <v>2491</v>
      </c>
      <c r="AD29" s="34">
        <f>16+17+22+56+68+62+95+461</f>
        <v>797</v>
      </c>
      <c r="AE29" s="34">
        <v>1974</v>
      </c>
      <c r="AF29" s="34">
        <v>330</v>
      </c>
    </row>
    <row r="30" spans="1:32" s="29" customFormat="1" ht="27.75" hidden="1" customHeight="1">
      <c r="A30" s="74"/>
      <c r="B30" s="88" t="s">
        <v>69</v>
      </c>
      <c r="C30" s="88"/>
      <c r="D30" s="40" t="s">
        <v>64</v>
      </c>
      <c r="E30" s="40" t="s">
        <v>30</v>
      </c>
      <c r="F30" s="40" t="s">
        <v>31</v>
      </c>
      <c r="G30" s="38" t="s">
        <v>70</v>
      </c>
      <c r="H30" s="37">
        <f>SUM(I30:AF30)</f>
        <v>0</v>
      </c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</row>
    <row r="31" spans="1:32" s="29" customFormat="1" ht="27.75" customHeight="1">
      <c r="A31" s="75"/>
      <c r="B31" s="88" t="s">
        <v>71</v>
      </c>
      <c r="C31" s="88"/>
      <c r="D31" s="40" t="s">
        <v>64</v>
      </c>
      <c r="E31" s="40" t="s">
        <v>30</v>
      </c>
      <c r="F31" s="40" t="s">
        <v>31</v>
      </c>
      <c r="G31" s="38" t="s">
        <v>46</v>
      </c>
      <c r="H31" s="37">
        <f>SUM(I31:AF31)</f>
        <v>10614</v>
      </c>
      <c r="I31" s="34">
        <f>92+59+9+10+52+15+48+9+31+39+20</f>
        <v>384</v>
      </c>
      <c r="J31" s="34">
        <f>7+9+8+19+21+4+3+11+43+12</f>
        <v>137</v>
      </c>
      <c r="K31" s="34">
        <f>59+9+7+45+112+18+60+85+259+6+32+22+39</f>
        <v>753</v>
      </c>
      <c r="L31" s="34">
        <f>11+2+1+18+24+8+20+33+113+3+26+9+38</f>
        <v>306</v>
      </c>
      <c r="M31" s="34">
        <f>59+93+14+6+51+52+20+60+41+15+13+198+14</f>
        <v>636</v>
      </c>
      <c r="N31" s="34">
        <f>11+40+4+3+32+19+8+20+38+13+8+90+10+1</f>
        <v>297</v>
      </c>
      <c r="O31" s="34">
        <f>38+13+3+58+73+14+64+12+7+14</f>
        <v>296</v>
      </c>
      <c r="P31" s="34">
        <f>14+2+1+19+30+4+5+7+3+18</f>
        <v>103</v>
      </c>
      <c r="Q31" s="34">
        <f>63+4+49+22+39+14+17+13+107+59+25+38</f>
        <v>450</v>
      </c>
      <c r="R31" s="34">
        <f>21+1+21+3+17+8+9+3+11+28+7+30</f>
        <v>159</v>
      </c>
      <c r="S31" s="34">
        <f>5+18+39+72+51+20+59+107+24+12+14+17+130+178</f>
        <v>746</v>
      </c>
      <c r="T31" s="34">
        <f>93+102+15+7+2+3+13+23+30+4+9+13</f>
        <v>314</v>
      </c>
      <c r="U31" s="34">
        <f>81+19+89+60+43+28+20+21+168+126</f>
        <v>655</v>
      </c>
      <c r="V31" s="34">
        <f>25+7+28+21+6+7+6+9+98+19</f>
        <v>226</v>
      </c>
      <c r="W31" s="34">
        <f>23+70+16+24+60+68+40+260+12+14+59+129</f>
        <v>775</v>
      </c>
      <c r="X31" s="34">
        <f>6+22+9+13+28+21+16+149+8+6+11+34</f>
        <v>323</v>
      </c>
      <c r="Y31" s="34">
        <f>54+26+44+112+12+4+59+129+355+30+39+18+12</f>
        <v>894</v>
      </c>
      <c r="Z31" s="34">
        <f>28+7+14+24+5+3+13+34+159+15+35+7+5</f>
        <v>349</v>
      </c>
      <c r="AA31" s="34">
        <f>16+3+51+45+23+74+59+68+26+21+14+35+59+205+12+21</f>
        <v>732</v>
      </c>
      <c r="AB31" s="34">
        <f>24+3+4+3+8+1+13+21+10+29+13+5+33+149+7+2</f>
        <v>325</v>
      </c>
      <c r="AC31" s="34">
        <f>59+6+9+57+37+46+27+129+20+8+216+41+34</f>
        <v>689</v>
      </c>
      <c r="AD31" s="34">
        <f>13+1+3+19+22+24+13+34+2+3+125+25+6</f>
        <v>290</v>
      </c>
      <c r="AE31" s="34">
        <v>538</v>
      </c>
      <c r="AF31" s="34">
        <v>237</v>
      </c>
    </row>
    <row r="32" spans="1:32" hidden="1">
      <c r="G32" s="2"/>
    </row>
    <row r="33" spans="1:32" ht="15" hidden="1" customHeight="1">
      <c r="G33" s="2" t="s">
        <v>72</v>
      </c>
      <c r="H33" s="41">
        <f>SUM((I28:J29),SUM(K27:AF27)+H31)</f>
        <v>14516</v>
      </c>
      <c r="I33" s="89">
        <f>I28+J28+I29+J29+I31+J31</f>
        <v>4157</v>
      </c>
      <c r="J33" s="89"/>
      <c r="K33" s="89">
        <f>K31+L31+K27+L27</f>
        <v>1081</v>
      </c>
      <c r="L33" s="89"/>
      <c r="M33" s="89">
        <f>M31+N31+M27+N27</f>
        <v>982</v>
      </c>
      <c r="N33" s="89"/>
      <c r="O33" s="89">
        <f t="shared" ref="O33" si="1">O31+P31+O27+P27</f>
        <v>429</v>
      </c>
      <c r="P33" s="89"/>
      <c r="Q33" s="89">
        <f t="shared" ref="Q33" si="2">Q31+R31+Q27+R27</f>
        <v>642</v>
      </c>
      <c r="R33" s="89"/>
      <c r="S33" s="89">
        <f t="shared" ref="S33" si="3">S31+T31+S27+T27</f>
        <v>1079</v>
      </c>
      <c r="T33" s="89"/>
      <c r="U33" s="89">
        <f t="shared" ref="U33" si="4">U31+V31+U27+V27</f>
        <v>892</v>
      </c>
      <c r="V33" s="89"/>
      <c r="W33" s="89">
        <f t="shared" ref="W33" si="5">W31+X31+W27+X27</f>
        <v>1118</v>
      </c>
      <c r="X33" s="89"/>
      <c r="Y33" s="89">
        <f t="shared" ref="Y33" si="6">Y31+Z31+Y27+Z27</f>
        <v>1284</v>
      </c>
      <c r="Z33" s="89"/>
      <c r="AA33" s="89">
        <f t="shared" ref="AA33" si="7">AA31+AB31+AA27+AB27</f>
        <v>1068</v>
      </c>
      <c r="AB33" s="89"/>
      <c r="AC33" s="89">
        <f t="shared" ref="AC33" si="8">AC31+AD31+AC27+AD27</f>
        <v>999</v>
      </c>
      <c r="AD33" s="89"/>
      <c r="AE33" s="89">
        <f t="shared" ref="AE33" si="9">AE31+AF31+AE27+AF27</f>
        <v>785</v>
      </c>
      <c r="AF33" s="89"/>
    </row>
    <row r="34" spans="1:32" hidden="1">
      <c r="A34" s="2" t="s">
        <v>65</v>
      </c>
      <c r="B34" s="2" t="s">
        <v>73</v>
      </c>
      <c r="C34"/>
      <c r="D34"/>
      <c r="G34" s="42" t="s">
        <v>74</v>
      </c>
      <c r="H34" s="41">
        <f>H16+H17+H18+H19+H21+H22+H23+H24</f>
        <v>14514</v>
      </c>
      <c r="I34" s="89">
        <f>I15+I16+I17+I18+I19+I21+I22+I23+I24</f>
        <v>2554</v>
      </c>
      <c r="J34" s="89"/>
      <c r="K34" s="89">
        <f t="shared" ref="K34" si="10">K15+K16+K17+K18+K19+K21+K22+K23+K24</f>
        <v>2427</v>
      </c>
      <c r="L34" s="89"/>
      <c r="M34" s="89">
        <f t="shared" ref="M34" si="11">M15+M16+M17+M18+M19+M21+M22+M23+M24</f>
        <v>3128</v>
      </c>
      <c r="N34" s="89"/>
      <c r="O34" s="89">
        <f t="shared" ref="O34" si="12">O15+O16+O17+O18+O19+O21+O22+O23+O24</f>
        <v>1547</v>
      </c>
      <c r="P34" s="89"/>
      <c r="Q34" s="89">
        <f t="shared" ref="Q34" si="13">Q15+Q16+Q17+Q18+Q19+Q21+Q22+Q23+Q24</f>
        <v>2838</v>
      </c>
      <c r="R34" s="89"/>
      <c r="S34" s="89">
        <f t="shared" ref="S34" si="14">S15+S16+S17+S18+S19+S21+S22+S23+S24</f>
        <v>3287</v>
      </c>
      <c r="T34" s="89"/>
      <c r="U34" s="89">
        <f t="shared" ref="U34" si="15">U15+U16+U17+U18+U19+U21+U22+U23+U24</f>
        <v>3322</v>
      </c>
      <c r="V34" s="89"/>
      <c r="W34" s="92">
        <f t="shared" ref="W34" si="16">W15+W16+W17+W18+W19+W21+W22+W23+W24</f>
        <v>3228</v>
      </c>
      <c r="X34" s="92"/>
      <c r="Y34" s="89">
        <f t="shared" ref="Y34" si="17">Y15+Y16+Y17+Y18+Y19+Y21+Y22+Y23+Y24</f>
        <v>3204</v>
      </c>
      <c r="Z34" s="89"/>
      <c r="AA34" s="89">
        <f t="shared" ref="AA34" si="18">AA15+AA16+AA17+AA18+AA19+AA21+AA22+AA23+AA24</f>
        <v>3349</v>
      </c>
      <c r="AB34" s="89"/>
      <c r="AC34" s="89">
        <f t="shared" ref="AC34" si="19">AC15+AC16+AC17+AC18+AC19+AC21+AC22+AC23+AC24</f>
        <v>3195</v>
      </c>
      <c r="AD34" s="89"/>
      <c r="AE34" s="89">
        <f t="shared" ref="AE34" si="20">AE15+AE16+AE17+AE18+AE19+AE21+AE22+AE23+AE24</f>
        <v>2527</v>
      </c>
      <c r="AF34" s="89"/>
    </row>
    <row r="35" spans="1:32" hidden="1">
      <c r="A35" s="2" t="s">
        <v>66</v>
      </c>
      <c r="B35" s="2" t="s">
        <v>75</v>
      </c>
      <c r="C35"/>
      <c r="D35"/>
      <c r="G35" s="43" t="s">
        <v>76</v>
      </c>
      <c r="H35" s="41">
        <f>H15</f>
        <v>20092</v>
      </c>
    </row>
    <row r="36" spans="1:32" hidden="1">
      <c r="C36"/>
      <c r="D36"/>
    </row>
    <row r="37" spans="1:32" hidden="1">
      <c r="G37" s="43" t="s">
        <v>77</v>
      </c>
      <c r="H37" s="2">
        <f>I28+I29+I31+K27+M27+O27+Q27+S27+U27+W27+Y27+AA27+AC27+AE27+K31+M31+O31+Q31+S31+U31+W31+Y31+AA31+AC31+AE31</f>
        <v>10812</v>
      </c>
      <c r="J37" s="44">
        <f>I27+K27+M27+O27+Q27+S27+U27+W27+Y27+AA27+AC27+AE27+I31+K31+M31+O31+Q31+S31+U31+W31+Y31+AA31+AC31+AE31</f>
        <v>7757</v>
      </c>
      <c r="L37" s="5">
        <f>I31+K31+M31+O31+Q31+S31+U31+W31+Y31+AA31+AC31+AE31</f>
        <v>7548</v>
      </c>
    </row>
    <row r="38" spans="1:32" hidden="1">
      <c r="G38" s="43" t="s">
        <v>78</v>
      </c>
      <c r="H38" s="2">
        <f>J28+J29+J31+L27+N27+P27+R27+T27+V27+X27+Z27+AB27+AD27+AF27+L31+N31+P31+R31+T31+V31+X31+Z31+AB31+AD31+AF31</f>
        <v>3704</v>
      </c>
      <c r="J38" s="45">
        <f>J27+L27+N27+P27+R27+T27+V27+X27+Z27+AB27+AD27+AF27+J31+L31+N31+P31+R31+T31+V31+X31+Z31+AB31+AD31+AF31</f>
        <v>3142</v>
      </c>
      <c r="L38" s="5">
        <f>J31+L31+N31+P31+R31+T31+V31+X31+Z31+AB31+AD31+AF31</f>
        <v>3066</v>
      </c>
    </row>
    <row r="39" spans="1:32" hidden="1"/>
    <row r="40" spans="1:32" hidden="1"/>
    <row r="41" spans="1:32" hidden="1">
      <c r="H41" s="41">
        <f>H34+H35</f>
        <v>34606</v>
      </c>
    </row>
    <row r="42" spans="1:32" hidden="1"/>
    <row r="43" spans="1:32" hidden="1"/>
  </sheetData>
  <sheetProtection password="CD50" sheet="1" objects="1" scenarios="1"/>
  <mergeCells count="207">
    <mergeCell ref="M34:N34"/>
    <mergeCell ref="O34:P34"/>
    <mergeCell ref="Q34:R34"/>
    <mergeCell ref="K33:L33"/>
    <mergeCell ref="M33:N33"/>
    <mergeCell ref="O33:P33"/>
    <mergeCell ref="Q33:R33"/>
    <mergeCell ref="AE34:AF34"/>
    <mergeCell ref="S34:T34"/>
    <mergeCell ref="U34:V34"/>
    <mergeCell ref="W34:X34"/>
    <mergeCell ref="Y34:Z34"/>
    <mergeCell ref="AA34:AB34"/>
    <mergeCell ref="AC34:AD34"/>
    <mergeCell ref="W33:X33"/>
    <mergeCell ref="Y33:Z33"/>
    <mergeCell ref="AA33:AB33"/>
    <mergeCell ref="AC33:AD33"/>
    <mergeCell ref="AE33:AF33"/>
    <mergeCell ref="S33:T33"/>
    <mergeCell ref="U33:V33"/>
    <mergeCell ref="I33:J33"/>
    <mergeCell ref="G26:G27"/>
    <mergeCell ref="I34:J34"/>
    <mergeCell ref="K34:L34"/>
    <mergeCell ref="W25:X25"/>
    <mergeCell ref="Y25:Z25"/>
    <mergeCell ref="AA25:AB25"/>
    <mergeCell ref="AC25:AD25"/>
    <mergeCell ref="AE25:AF25"/>
    <mergeCell ref="A26:A31"/>
    <mergeCell ref="B26:C27"/>
    <mergeCell ref="D26:D27"/>
    <mergeCell ref="E26:E27"/>
    <mergeCell ref="F26:F27"/>
    <mergeCell ref="H26:H27"/>
    <mergeCell ref="B28:C28"/>
    <mergeCell ref="B29:C29"/>
    <mergeCell ref="B30:C30"/>
    <mergeCell ref="B31:C31"/>
    <mergeCell ref="B25:C25"/>
    <mergeCell ref="I25:J25"/>
    <mergeCell ref="K25:L25"/>
    <mergeCell ref="M25:N25"/>
    <mergeCell ref="O25:P25"/>
    <mergeCell ref="Q25:R25"/>
    <mergeCell ref="S25:T25"/>
    <mergeCell ref="U25:V25"/>
    <mergeCell ref="Q24:R24"/>
    <mergeCell ref="S24:T24"/>
    <mergeCell ref="U24:V24"/>
    <mergeCell ref="W23:X23"/>
    <mergeCell ref="Y23:Z23"/>
    <mergeCell ref="AA23:AB23"/>
    <mergeCell ref="AC23:AD23"/>
    <mergeCell ref="AE23:AF23"/>
    <mergeCell ref="B24:C24"/>
    <mergeCell ref="I24:J24"/>
    <mergeCell ref="K24:L24"/>
    <mergeCell ref="M24:N24"/>
    <mergeCell ref="O24:P24"/>
    <mergeCell ref="AC24:AD24"/>
    <mergeCell ref="AE24:AF24"/>
    <mergeCell ref="W24:X24"/>
    <mergeCell ref="Y24:Z24"/>
    <mergeCell ref="AA24:AB24"/>
    <mergeCell ref="B23:C23"/>
    <mergeCell ref="I23:J23"/>
    <mergeCell ref="K23:L23"/>
    <mergeCell ref="M23:N23"/>
    <mergeCell ref="O23:P23"/>
    <mergeCell ref="Q23:R23"/>
    <mergeCell ref="S23:T23"/>
    <mergeCell ref="U23:V23"/>
    <mergeCell ref="Q22:R22"/>
    <mergeCell ref="S22:T22"/>
    <mergeCell ref="U22:V22"/>
    <mergeCell ref="W21:X21"/>
    <mergeCell ref="Y21:Z21"/>
    <mergeCell ref="AA21:AB21"/>
    <mergeCell ref="AC21:AD21"/>
    <mergeCell ref="AE21:AF21"/>
    <mergeCell ref="B22:C22"/>
    <mergeCell ref="I22:J22"/>
    <mergeCell ref="K22:L22"/>
    <mergeCell ref="M22:N22"/>
    <mergeCell ref="O22:P22"/>
    <mergeCell ref="AC22:AD22"/>
    <mergeCell ref="AE22:AF22"/>
    <mergeCell ref="W22:X22"/>
    <mergeCell ref="Y22:Z22"/>
    <mergeCell ref="AA22:AB22"/>
    <mergeCell ref="B21:C21"/>
    <mergeCell ref="I21:J21"/>
    <mergeCell ref="K21:L21"/>
    <mergeCell ref="M21:N21"/>
    <mergeCell ref="O21:P21"/>
    <mergeCell ref="Q21:R21"/>
    <mergeCell ref="S21:T21"/>
    <mergeCell ref="U21:V21"/>
    <mergeCell ref="Q20:R20"/>
    <mergeCell ref="S20:T20"/>
    <mergeCell ref="U20:V20"/>
    <mergeCell ref="W19:X19"/>
    <mergeCell ref="Y19:Z19"/>
    <mergeCell ref="AA19:AB19"/>
    <mergeCell ref="AC19:AD19"/>
    <mergeCell ref="AE19:AF19"/>
    <mergeCell ref="B20:C20"/>
    <mergeCell ref="I20:J20"/>
    <mergeCell ref="K20:L20"/>
    <mergeCell ref="M20:N20"/>
    <mergeCell ref="O20:P20"/>
    <mergeCell ref="AC20:AD20"/>
    <mergeCell ref="AE20:AF20"/>
    <mergeCell ref="W20:X20"/>
    <mergeCell ref="Y20:Z20"/>
    <mergeCell ref="AA20:AB20"/>
    <mergeCell ref="B19:C19"/>
    <mergeCell ref="I19:J19"/>
    <mergeCell ref="K19:L19"/>
    <mergeCell ref="M19:N19"/>
    <mergeCell ref="O19:P19"/>
    <mergeCell ref="Q19:R19"/>
    <mergeCell ref="S19:T19"/>
    <mergeCell ref="U19:V19"/>
    <mergeCell ref="Q18:R18"/>
    <mergeCell ref="S18:T18"/>
    <mergeCell ref="U18:V18"/>
    <mergeCell ref="Y16:Z16"/>
    <mergeCell ref="AA16:AB16"/>
    <mergeCell ref="W17:X17"/>
    <mergeCell ref="Y17:Z17"/>
    <mergeCell ref="AA17:AB17"/>
    <mergeCell ref="AC17:AD17"/>
    <mergeCell ref="AE17:AF17"/>
    <mergeCell ref="B18:C18"/>
    <mergeCell ref="I18:J18"/>
    <mergeCell ref="K18:L18"/>
    <mergeCell ref="M18:N18"/>
    <mergeCell ref="O18:P18"/>
    <mergeCell ref="AC18:AD18"/>
    <mergeCell ref="AE18:AF18"/>
    <mergeCell ref="W18:X18"/>
    <mergeCell ref="Y18:Z18"/>
    <mergeCell ref="AA18:AB18"/>
    <mergeCell ref="Y15:Z15"/>
    <mergeCell ref="AA15:AB15"/>
    <mergeCell ref="AC15:AD15"/>
    <mergeCell ref="AE15:AF15"/>
    <mergeCell ref="A16:A25"/>
    <mergeCell ref="B16:C16"/>
    <mergeCell ref="I16:J16"/>
    <mergeCell ref="K16:L16"/>
    <mergeCell ref="M16:N16"/>
    <mergeCell ref="O16:P16"/>
    <mergeCell ref="AC16:AD16"/>
    <mergeCell ref="AE16:AF16"/>
    <mergeCell ref="B17:C17"/>
    <mergeCell ref="I17:J17"/>
    <mergeCell ref="K17:L17"/>
    <mergeCell ref="M17:N17"/>
    <mergeCell ref="O17:P17"/>
    <mergeCell ref="Q17:R17"/>
    <mergeCell ref="S17:T17"/>
    <mergeCell ref="U17:V17"/>
    <mergeCell ref="Q16:R16"/>
    <mergeCell ref="S16:T16"/>
    <mergeCell ref="U16:V16"/>
    <mergeCell ref="W16:X16"/>
    <mergeCell ref="AE13:AF14"/>
    <mergeCell ref="B15:C15"/>
    <mergeCell ref="I15:J15"/>
    <mergeCell ref="K15:L15"/>
    <mergeCell ref="M15:N15"/>
    <mergeCell ref="O15:P15"/>
    <mergeCell ref="Q15:R15"/>
    <mergeCell ref="S15:T15"/>
    <mergeCell ref="U15:V15"/>
    <mergeCell ref="W15:X15"/>
    <mergeCell ref="S13:T14"/>
    <mergeCell ref="U13:V14"/>
    <mergeCell ref="W13:X14"/>
    <mergeCell ref="Y13:Z14"/>
    <mergeCell ref="AA13:AB14"/>
    <mergeCell ref="AC13:AD14"/>
    <mergeCell ref="H13:H14"/>
    <mergeCell ref="I13:J14"/>
    <mergeCell ref="K13:L14"/>
    <mergeCell ref="M13:N14"/>
    <mergeCell ref="O13:P14"/>
    <mergeCell ref="Q13:R14"/>
    <mergeCell ref="A7:B7"/>
    <mergeCell ref="C7:F7"/>
    <mergeCell ref="A9:B9"/>
    <mergeCell ref="C9:F9"/>
    <mergeCell ref="B13:C14"/>
    <mergeCell ref="D13:D14"/>
    <mergeCell ref="E13:E14"/>
    <mergeCell ref="F13:F14"/>
    <mergeCell ref="A1:B1"/>
    <mergeCell ref="C1:F1"/>
    <mergeCell ref="A3:B3"/>
    <mergeCell ref="C3:F3"/>
    <mergeCell ref="A5:B5"/>
    <mergeCell ref="C5:F5"/>
    <mergeCell ref="G13:G14"/>
  </mergeCells>
  <pageMargins left="1.1023622047244095" right="0.31496062992125984" top="0.74803149606299213" bottom="0.74803149606299213" header="0.31496062992125984" footer="0.31496062992125984"/>
  <pageSetup paperSize="14" scale="65" orientation="landscape" r:id="rId1"/>
  <headerFooter>
    <oddHeader>&amp;C&amp;"-,Negrita"&amp;16SISTEMA DE INFORMACIÓN POR METAS "SIM"</oddHeader>
    <oddFooter xml:space="preserve">&amp;RPEM-F-001 
DIF Guadalajara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SIM-DAIAM</vt:lpstr>
      <vt:lpstr>'SIM-DAIAM'!Área_de_impresión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pilar.luna</cp:lastModifiedBy>
  <cp:lastPrinted>2017-08-04T18:41:40Z</cp:lastPrinted>
  <dcterms:created xsi:type="dcterms:W3CDTF">2017-01-30T16:40:44Z</dcterms:created>
  <dcterms:modified xsi:type="dcterms:W3CDTF">2018-07-18T18:58:40Z</dcterms:modified>
</cp:coreProperties>
</file>