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laneación 2022\CARPETA ENTREGA A RECEPCIÓN\PLANEACIÓN, EVALUACIÓN Y MONITOREO\6.MIR´s\12. DICIEMBRE MIR\MIR 2021\"/>
    </mc:Choice>
  </mc:AlternateContent>
  <bookViews>
    <workbookView xWindow="0" yWindow="0" windowWidth="20490" windowHeight="7455"/>
  </bookViews>
  <sheets>
    <sheet name="MIR Inclusión" sheetId="1" r:id="rId1"/>
  </sheets>
  <externalReferences>
    <externalReference r:id="rId2"/>
  </externalReferences>
  <definedNames>
    <definedName name="_xlnm.Print_Area" localSheetId="0">'MIR Inclusión'!$A$1:$AG$60</definedName>
    <definedName name="CARACTERÍSTICAS" localSheetId="0">#REF!</definedName>
    <definedName name="CARACTERÍSTICAS">#REF!</definedName>
    <definedName name="Print_Area_0" localSheetId="0">'MIR Inclusión'!$A$1:$U$55</definedName>
    <definedName name="PROGRAMA" localSheetId="0">#REF!</definedName>
    <definedName name="PROGRAMA">#REF!</definedName>
    <definedName name="_xlnm.Print_Titles" localSheetId="0">'MIR Inclusión'!$1:$23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4" i="1" l="1"/>
  <c r="AF44" i="1"/>
  <c r="AE44" i="1"/>
  <c r="AG43" i="1"/>
  <c r="AF43" i="1"/>
  <c r="AE43" i="1"/>
  <c r="AG42" i="1"/>
  <c r="AF42" i="1"/>
  <c r="AE42" i="1"/>
  <c r="G41" i="1"/>
  <c r="AG40" i="1"/>
  <c r="AF40" i="1"/>
  <c r="AE40" i="1"/>
  <c r="AG39" i="1"/>
  <c r="AF39" i="1"/>
  <c r="AE39" i="1"/>
  <c r="G38" i="1"/>
  <c r="AG37" i="1"/>
  <c r="AF37" i="1"/>
  <c r="AE37" i="1"/>
  <c r="AG36" i="1"/>
  <c r="AF36" i="1"/>
  <c r="AE36" i="1"/>
  <c r="G35" i="1"/>
  <c r="AG34" i="1"/>
  <c r="AF34" i="1"/>
  <c r="AE34" i="1"/>
  <c r="AD34" i="1"/>
  <c r="AC34" i="1"/>
  <c r="AB34" i="1"/>
  <c r="AA34" i="1"/>
  <c r="Z34" i="1"/>
  <c r="Y34" i="1"/>
  <c r="X34" i="1"/>
  <c r="W34" i="1"/>
  <c r="V34" i="1"/>
  <c r="AG33" i="1"/>
  <c r="AF33" i="1"/>
  <c r="AE33" i="1"/>
  <c r="AD33" i="1"/>
  <c r="AC33" i="1"/>
  <c r="AB33" i="1"/>
  <c r="AA33" i="1"/>
  <c r="Z33" i="1"/>
  <c r="Y33" i="1"/>
  <c r="X33" i="1"/>
  <c r="W33" i="1"/>
  <c r="V33" i="1"/>
  <c r="AG32" i="1"/>
  <c r="AF32" i="1"/>
  <c r="AE32" i="1"/>
  <c r="AD32" i="1"/>
  <c r="AC32" i="1"/>
  <c r="AB32" i="1"/>
  <c r="AA32" i="1"/>
  <c r="Z32" i="1"/>
  <c r="Y32" i="1"/>
  <c r="X32" i="1"/>
  <c r="W32" i="1"/>
  <c r="V32" i="1"/>
  <c r="AG31" i="1"/>
  <c r="AF31" i="1"/>
  <c r="AE31" i="1"/>
  <c r="AD31" i="1"/>
  <c r="AC31" i="1"/>
  <c r="AB31" i="1"/>
  <c r="AA31" i="1"/>
  <c r="Z31" i="1"/>
  <c r="Y31" i="1"/>
  <c r="X31" i="1"/>
  <c r="W31" i="1"/>
  <c r="V31" i="1"/>
  <c r="AG30" i="1"/>
  <c r="AF30" i="1"/>
  <c r="AE30" i="1"/>
  <c r="AD30" i="1"/>
  <c r="AC30" i="1"/>
  <c r="AB30" i="1"/>
  <c r="AA30" i="1"/>
  <c r="Z30" i="1"/>
  <c r="Y30" i="1"/>
  <c r="X30" i="1"/>
  <c r="W30" i="1"/>
  <c r="V30" i="1"/>
  <c r="AG29" i="1"/>
  <c r="AF29" i="1"/>
  <c r="AE29" i="1"/>
  <c r="AD29" i="1"/>
  <c r="AC29" i="1"/>
  <c r="AB29" i="1"/>
  <c r="AA29" i="1"/>
  <c r="Z29" i="1"/>
  <c r="Y29" i="1"/>
  <c r="X29" i="1"/>
  <c r="W29" i="1"/>
  <c r="V29" i="1"/>
  <c r="AG28" i="1"/>
  <c r="AF28" i="1"/>
  <c r="AE28" i="1"/>
  <c r="AD28" i="1"/>
  <c r="AC28" i="1"/>
  <c r="AB28" i="1"/>
  <c r="AA28" i="1"/>
  <c r="Z28" i="1"/>
  <c r="Y28" i="1"/>
  <c r="X28" i="1"/>
  <c r="W28" i="1"/>
  <c r="V28" i="1"/>
  <c r="Q28" i="1"/>
  <c r="AG27" i="1"/>
  <c r="AF27" i="1"/>
  <c r="AE27" i="1"/>
  <c r="AD27" i="1"/>
  <c r="AC27" i="1"/>
  <c r="AB27" i="1"/>
  <c r="AA27" i="1"/>
  <c r="Z27" i="1"/>
  <c r="Y27" i="1"/>
  <c r="X27" i="1"/>
  <c r="W27" i="1"/>
  <c r="V27" i="1"/>
  <c r="Q27" i="1"/>
</calcChain>
</file>

<file path=xl/comments1.xml><?xml version="1.0" encoding="utf-8"?>
<comments xmlns="http://schemas.openxmlformats.org/spreadsheetml/2006/main">
  <authors>
    <author>soporte</author>
  </authors>
  <commentList>
    <comment ref="E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<sst xmlns="http://schemas.openxmlformats.org/spreadsheetml/2006/main" count="293" uniqueCount="205">
  <si>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</si>
  <si>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</si>
  <si>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</si>
  <si>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</si>
  <si>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</si>
  <si>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</si>
  <si>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</si>
  <si>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</si>
  <si>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</si>
  <si>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</si>
  <si>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</si>
  <si>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</si>
  <si>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</si>
  <si>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</si>
  <si>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</si>
  <si>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</si>
  <si>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</si>
  <si>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</si>
  <si>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</si>
  <si>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</si>
  <si>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</si>
  <si>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</si>
  <si>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</si>
  <si>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</si>
  <si>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</si>
  <si>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</si>
  <si>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</si>
  <si>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</si>
  <si>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</si>
  <si>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</si>
  <si>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</si>
  <si>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</si>
  <si>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</si>
  <si>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</si>
  <si>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</si>
  <si>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</si>
  <si>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</si>
  <si>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</si>
  <si>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</si>
  <si>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</si>
  <si>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</si>
  <si>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</si>
  <si>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</si>
  <si>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</si>
  <si>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</si>
  <si>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</si>
  <si>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</si>
  <si>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</si>
  <si>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</si>
  <si>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</si>
  <si>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</si>
  <si>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</si>
  <si>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</si>
  <si>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</si>
  <si>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</si>
  <si>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</si>
  <si>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</si>
  <si>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</si>
  <si>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</si>
  <si>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</si>
  <si>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</si>
  <si>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</si>
  <si>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</si>
  <si>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</si>
  <si>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</si>
  <si>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</si>
  <si>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</si>
  <si>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</si>
  <si>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</si>
  <si>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</si>
  <si>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</si>
  <si>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</si>
  <si>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</si>
  <si>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</si>
  <si>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</si>
  <si>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</si>
  <si>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</si>
  <si>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</si>
  <si>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7850/1.41%</t>
  </si>
  <si>
    <t>Padrón de beneficiarios</t>
  </si>
  <si>
    <t xml:space="preserve">Instituto de Información estadística y geografía, 2010
https://www.iieg.gob.mx/sicis/index.php  </t>
  </si>
  <si>
    <t>La participación de los diversos sectores involucrados, es comprometida y facilita la inclusión de las personas vulnerables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</si>
  <si>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</t>
    </r>
    <r>
      <rPr>
        <b/>
        <sz val="40"/>
        <color rgb="FF000000"/>
        <rFont val="Calibri"/>
        <family val="2"/>
      </rPr>
      <t xml:space="preserve"> 1,435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rgb="FF000000"/>
        <rFont val="Calibri"/>
        <family val="2"/>
      </rPr>
      <t>1,372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rgb="FF000000"/>
        <rFont val="Calibri"/>
        <family val="2"/>
      </rPr>
      <t>222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1,058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4,409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555,852</t>
    </r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</si>
  <si>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</si>
  <si>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</si>
  <si>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</si>
  <si>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</si>
  <si>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</si>
  <si>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</si>
  <si>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7850/3.13%</t>
  </si>
  <si>
    <t>Instituto de Información estadística y geografía, 2010
https://www.iieg.gob.mx/sicis/index.php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</si>
  <si>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</si>
  <si>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</si>
  <si>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</si>
  <si>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</si>
  <si>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</si>
  <si>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</si>
  <si>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</si>
  <si>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</si>
  <si>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</si>
  <si>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</si>
  <si>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</si>
  <si>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13346/23.53%</t>
  </si>
  <si>
    <t>42,539/100%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</si>
  <si>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</si>
  <si>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</si>
  <si>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</si>
  <si>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u/>
        <sz val="40"/>
        <color rgb="FF000000"/>
        <rFont val="Calibri"/>
        <family val="2"/>
      </rPr>
      <t xml:space="preserve">Servicios UBR: </t>
    </r>
    <r>
      <rPr>
        <b/>
        <u/>
        <sz val="40"/>
        <color theme="7" tint="-0.499984740745262"/>
        <rFont val="Calibri"/>
        <family val="2"/>
      </rPr>
      <t>22,048</t>
    </r>
    <r>
      <rPr>
        <b/>
        <sz val="40"/>
        <color theme="7" tint="-0.499984740745262"/>
        <rFont val="Calibri"/>
        <family val="2"/>
      </rPr>
      <t>,:</t>
    </r>
    <r>
      <rPr>
        <sz val="40"/>
        <color rgb="FF000000"/>
        <rFont val="Calibri"/>
        <family val="2"/>
      </rPr>
      <t xml:space="preserve"> (Servicios: canalizaciones y derivaciones 99 , terapias de rehabilitación en el 1er nivel de la discapacidad física 17,320, servicios médicos técnicos y especializados en el 1er nivel de discapacidad 1,528, consultas podológicas 1,080 y terapias alternativas 261, traslados de transporte adaptado 159, intervenciones de trabajo social 1,046 y valoraciones y valoraciones auditivas 555)
</t>
    </r>
    <r>
      <rPr>
        <b/>
        <u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1,489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21, asesorías de taller prelaboral 261,canalizaciones y derivaciones 93, asesorías otorgadas 270, ganchos de estacionamiento 844)
</t>
    </r>
    <r>
      <rPr>
        <b/>
        <u/>
        <sz val="40"/>
        <color rgb="FF000000"/>
        <rFont val="Calibri"/>
        <family val="2"/>
      </rPr>
      <t>Servicios de CEAMIVIDA</t>
    </r>
    <r>
      <rPr>
        <b/>
        <sz val="40"/>
        <color rgb="FF000000"/>
        <rFont val="Calibri"/>
        <family val="2"/>
      </rPr>
      <t>:</t>
    </r>
    <r>
      <rPr>
        <sz val="40"/>
        <color rgb="FF000000"/>
        <rFont val="Calibri"/>
        <family val="2"/>
      </rPr>
      <t xml:space="preserve"> 731 (Pláticas formativas e informativas 31, intervenciones de trabajo social 29, intervenciones psicológicas 671)
</t>
    </r>
    <r>
      <rPr>
        <b/>
        <u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 xml:space="preserve">13,967 </t>
    </r>
    <r>
      <rPr>
        <sz val="40"/>
        <color rgb="FF000000"/>
        <rFont val="Calibri"/>
        <family val="2"/>
      </rPr>
      <t xml:space="preserve">(valoraciones psicológicas 175, canalizaciones, derivaciones y asesorías 5,171, sesiones de terapia de aprendizaje 3,232 , sesiones de conducta 3,518 y sesiones de lenguaje 1,871 )
</t>
    </r>
    <r>
      <rPr>
        <b/>
        <u/>
        <sz val="40"/>
        <color rgb="FF000000"/>
        <rFont val="Calibri"/>
        <family val="2"/>
      </rPr>
      <t>Servicios en desarrollo integral del Atención al adulto mayor: 4,304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62, eventos deportivos y recreativos 79, canalizaciones y derivaciones 2073, intervención de trabajo social 251 , sesiones de psicológica, atención gerontológica y clínica de la memoria  772, expoventas 370, servicios de transporte 110. mesas directivas 77)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42,539</t>
    </r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</si>
  <si>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</si>
  <si>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</si>
  <si>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</si>
  <si>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7850/69.30%</t>
  </si>
  <si>
    <t>8,496/100%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</si>
  <si>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 1,435: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145, población atendida con terapias psicológicas, terapia de lenguaje y traumatología 285  , personas beneficiada con terapia física 450, personas con valoraciones auditivas 555)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1,372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empleo-43, población con discapacidad beneficiada en expoventas 29, población abierta atendida 1300)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222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15, personas con discapacidad atendidas en el mes 143, población abierta atendida 9, padres de familia 55)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1,058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209, niños atendidos de población semicautiva 150, total de población abierta 699)
</t>
    </r>
    <r>
      <rPr>
        <b/>
        <sz val="40"/>
        <color rgb="FF000000"/>
        <rFont val="Calibri"/>
        <family val="2"/>
      </rPr>
      <t xml:space="preserve">Personas atendidas en desarrollo integral del adulto mayor: 4,409
</t>
    </r>
    <r>
      <rPr>
        <sz val="40"/>
        <color rgb="FF000000"/>
        <rFont val="Calibri"/>
        <family val="2"/>
      </rPr>
      <t xml:space="preserve"> ( total de adultos mayores en las casas de día 232, adultos mayores en los grupos perteneciente a DIF 3,427, total de personas de población abierta atendida 4,409
</t>
    </r>
    <r>
      <rPr>
        <b/>
        <sz val="40"/>
        <color rgb="FF000000"/>
        <rFont val="Calibri"/>
        <family val="2"/>
      </rPr>
      <t>TOTAL DE POBLACIÓN BENEFICIADA CON SERVICIOS:
8,496</t>
    </r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</si>
  <si>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</si>
  <si>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</si>
  <si>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</si>
  <si>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</si>
  <si>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</si>
  <si>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24743/110.70%</t>
  </si>
  <si>
    <t>16,764/100%</t>
  </si>
  <si>
    <t>Lista de beneficiarios</t>
  </si>
  <si>
    <t>Permanencia de la personas en el programa</t>
  </si>
  <si>
    <t>Apoyos otorgados: Desarrollo del adulto mayor: 16,764 raciones alimenticias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</si>
  <si>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</si>
  <si>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</si>
  <si>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</si>
  <si>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409/52.44%</t>
  </si>
  <si>
    <t>65/100%</t>
  </si>
  <si>
    <t>Población beneficiada con raciones alimenticias: 65 personas por mes con población cautiva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</si>
  <si>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</si>
  <si>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</si>
  <si>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</si>
  <si>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</si>
  <si>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</si>
  <si>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2278/21.98%</t>
  </si>
  <si>
    <t>7,776/100%</t>
  </si>
  <si>
    <t>Lista de asistencia
Convenios de talleres</t>
  </si>
  <si>
    <t>Existe interés por parte de las personas por capacitarse</t>
  </si>
  <si>
    <r>
      <t xml:space="preserve">CULTURA: </t>
    </r>
    <r>
      <rPr>
        <sz val="40"/>
        <color rgb="FF000000"/>
        <rFont val="Calibri"/>
        <family val="2"/>
      </rPr>
      <t>Curso de taller de lengua, de señas y braille y sensibilización</t>
    </r>
    <r>
      <rPr>
        <b/>
        <sz val="40"/>
        <color rgb="FF000000"/>
        <rFont val="Calibri"/>
        <family val="2"/>
      </rPr>
      <t>: 35
CEAMIVIDA:</t>
    </r>
    <r>
      <rPr>
        <sz val="40"/>
        <color rgb="FF000000"/>
        <rFont val="Calibri"/>
        <family val="2"/>
      </rPr>
      <t>Sesiones de talleres recreativos, culturales y formativos: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1199</t>
    </r>
    <r>
      <rPr>
        <b/>
        <sz val="40"/>
        <color rgb="FF000000"/>
        <rFont val="Calibri"/>
        <family val="2"/>
      </rPr>
      <t xml:space="preserve">: </t>
    </r>
    <r>
      <rPr>
        <sz val="40"/>
        <color rgb="FF000000"/>
        <rFont val="Calibri"/>
        <family val="2"/>
      </rPr>
      <t>sesiones a los NNA y jóvenes</t>
    </r>
    <r>
      <rPr>
        <b/>
        <sz val="40"/>
        <color rgb="FF000000"/>
        <rFont val="Calibri"/>
        <family val="2"/>
      </rPr>
      <t xml:space="preserve">
CAPI: </t>
    </r>
    <r>
      <rPr>
        <sz val="40"/>
        <color rgb="FF000000"/>
        <rFont val="Calibri"/>
        <family val="2"/>
      </rPr>
      <t>Sesiones en talleres preventivo</t>
    </r>
    <r>
      <rPr>
        <b/>
        <sz val="40"/>
        <color rgb="FF000000"/>
        <rFont val="Calibri"/>
        <family val="2"/>
      </rPr>
      <t>s: 83
Desarrollo integral del adulto mayor:</t>
    </r>
    <r>
      <rPr>
        <sz val="40"/>
        <color rgb="FF000000"/>
        <rFont val="Calibri"/>
        <family val="2"/>
      </rPr>
      <t xml:space="preserve"> Sesiones de talleres diseñados, impartidos y evaluados</t>
    </r>
    <r>
      <rPr>
        <b/>
        <sz val="40"/>
        <color rgb="FF000000"/>
        <rFont val="Calibri"/>
        <family val="2"/>
      </rPr>
      <t>: 6,459
Total de capacitaciones: 7,776</t>
    </r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</si>
  <si>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</si>
  <si>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</si>
  <si>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</si>
  <si>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7043/105.42%</t>
  </si>
  <si>
    <t>5,011/100%</t>
  </si>
  <si>
    <r>
      <t xml:space="preserve">CULTURA: </t>
    </r>
    <r>
      <rPr>
        <sz val="40"/>
        <color rgb="FF000000"/>
        <rFont val="Calibri"/>
        <family val="2"/>
      </rPr>
      <t>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1,229</t>
    </r>
    <r>
      <rPr>
        <b/>
        <sz val="40"/>
        <color rgb="FF000000"/>
        <rFont val="Calibri"/>
        <family val="2"/>
      </rPr>
      <t xml:space="preserve">
CEAMIVIDA: </t>
    </r>
    <r>
      <rPr>
        <sz val="40"/>
        <color rgb="FF000000"/>
        <rFont val="Calibri"/>
        <family val="2"/>
      </rPr>
      <t>Personas capacitada en los talleres: NNA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:167</t>
    </r>
    <r>
      <rPr>
        <b/>
        <sz val="40"/>
        <color rgb="FF000000"/>
        <rFont val="Calibri"/>
        <family val="2"/>
      </rPr>
      <t xml:space="preserve">
CAPI:</t>
    </r>
    <r>
      <rPr>
        <sz val="40"/>
        <color rgb="FF000000"/>
        <rFont val="Calibri"/>
        <family val="2"/>
      </rPr>
      <t xml:space="preserve"> Personas capacitada con talleres, padres de familia</t>
    </r>
    <r>
      <rPr>
        <b/>
        <sz val="40"/>
        <color rgb="FF000000"/>
        <rFont val="Calibri"/>
        <family val="2"/>
      </rPr>
      <t xml:space="preserve">: 188
Desarrollo del adulto mayor: </t>
    </r>
    <r>
      <rPr>
        <sz val="40"/>
        <color rgb="FF000000"/>
        <rFont val="Calibri"/>
        <family val="2"/>
      </rPr>
      <t>Población atendida</t>
    </r>
    <r>
      <rPr>
        <b/>
        <sz val="40"/>
        <color theme="7" tint="-0.499984740745262"/>
        <rFont val="Calibri"/>
        <family val="2"/>
      </rPr>
      <t>: 3,427</t>
    </r>
    <r>
      <rPr>
        <b/>
        <sz val="40"/>
        <color rgb="FF000000"/>
        <rFont val="Calibri"/>
        <family val="2"/>
      </rPr>
      <t xml:space="preserve">
Total de población: 5,011</t>
    </r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</si>
  <si>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</si>
  <si>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</si>
  <si>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</si>
  <si>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</si>
  <si>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</si>
  <si>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</si>
  <si>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</si>
  <si>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</si>
  <si>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N/A</t>
  </si>
  <si>
    <t>Permanencia de la población beneficiada</t>
  </si>
  <si>
    <t>1 padrón por programa: 
UBR
CULTURA
CEAMIVIDA
DESARROLLO DEL ADULTO MAYOR
CAPIS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</si>
  <si>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</si>
  <si>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</si>
  <si>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</si>
  <si>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</si>
  <si>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</si>
  <si>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</si>
  <si>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>Acuerdos o convenios por programas:
UBR, 1
CULTURA, 2
DESARROLLO DE ADULTO MATOR, 1
CAPIS,1</t>
  </si>
  <si>
    <t xml:space="preserve">COMPONENTE 2: </t>
  </si>
  <si>
    <t>Actividad 2.2.1</t>
  </si>
  <si>
    <t>2.2.1  Elaboración de padrones de beneficiarios</t>
  </si>
  <si>
    <t>I padrón por programa: Desarrollo Integral del Adulto Mayor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</si>
  <si>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</si>
  <si>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</si>
  <si>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</si>
  <si>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</si>
  <si>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</si>
  <si>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</si>
  <si>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>1 lineamiento por  programa: Desarrollo Integral del Adulto mayor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</si>
  <si>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</si>
  <si>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</si>
  <si>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</si>
  <si>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</si>
  <si>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</si>
  <si>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</si>
  <si>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 xml:space="preserve">1  registro por programa:
CULTURA
CEAMIVIDA
CAPI
DESARROLLO DEL ADULTO MAYOR
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</si>
  <si>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</si>
  <si>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</si>
  <si>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</si>
  <si>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</si>
  <si>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</si>
  <si>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</si>
  <si>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3 eventos:
Día de la discapacidad (Cultura)
Día del síndrome de Down (CEAMIVIDA)
Certamen de la Reyna del Adulto Mayor (Adulto mayor)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</si>
  <si>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</si>
  <si>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</si>
  <si>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</si>
  <si>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</si>
  <si>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</si>
  <si>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>Cronograma de , capacitaciones, talleres y eventos por programa:
1 Cultura
2 CAPI
1 ADULTO MAYOR
1 CEAMIVIDA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</si>
  <si>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</si>
  <si>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</si>
  <si>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</si>
  <si>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</si>
  <si>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</si>
  <si>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</si>
  <si>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COLOR METAS</t>
  </si>
  <si>
    <t>SERVICIOS</t>
  </si>
  <si>
    <t>CAPACITACIóN</t>
  </si>
  <si>
    <t>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</si>
</sst>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b/>
      <sz val="48"/>
      <color theme="0"/>
      <name val="Calibri"/>
      <family val="2"/>
    </font>
    <font>
      <b/>
      <sz val="26"/>
      <color theme="0"/>
      <name val="Calibri"/>
      <family val="2"/>
    </font>
    <font>
      <b/>
      <sz val="48"/>
      <color rgb="FF000000"/>
      <name val="Calibri"/>
      <family val="2"/>
    </font>
    <font>
      <b/>
      <sz val="22"/>
      <color rgb="FF000000"/>
      <name val="Calibri"/>
      <family val="2"/>
    </font>
    <font>
      <b/>
      <sz val="40"/>
      <color theme="0"/>
      <name val="Calibri"/>
      <family val="2"/>
    </font>
    <font>
      <b/>
      <sz val="18"/>
      <color theme="0"/>
      <name val="Calibri"/>
      <family val="2"/>
    </font>
    <font>
      <b/>
      <sz val="40"/>
      <color rgb="FF000000"/>
      <name val="Calibri"/>
      <family val="2"/>
    </font>
    <font>
      <b/>
      <sz val="24"/>
      <color rgb="FF000000"/>
      <name val="Calibri"/>
      <family val="2"/>
    </font>
    <font>
      <sz val="40"/>
      <color rgb="FF000000"/>
      <name val="Calibri"/>
      <family val="2"/>
    </font>
    <font>
      <b/>
      <sz val="20"/>
      <color theme="0"/>
      <name val="Calibri"/>
      <family val="2"/>
    </font>
    <font>
      <b/>
      <sz val="20"/>
      <color rgb="FF000000"/>
      <name val="Calibri"/>
      <family val="2"/>
    </font>
    <font>
      <b/>
      <sz val="36"/>
      <color theme="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48"/>
      <color theme="1"/>
      <name val="Calibri"/>
      <family val="2"/>
    </font>
    <font>
      <b/>
      <sz val="72"/>
      <color theme="0"/>
      <name val="Calibri"/>
      <family val="2"/>
    </font>
    <font>
      <sz val="30"/>
      <color rgb="FF000000"/>
      <name val="Calibri"/>
      <family val="2"/>
    </font>
    <font>
      <sz val="40"/>
      <color theme="1"/>
      <name val="Arial"/>
      <family val="2"/>
    </font>
    <font>
      <b/>
      <sz val="45"/>
      <color rgb="FF000000"/>
      <name val="Calibri"/>
      <family val="2"/>
    </font>
    <font>
      <b/>
      <sz val="40"/>
      <color theme="7" tint="-0.499984740745262"/>
      <name val="Calibri"/>
      <family val="2"/>
    </font>
    <font>
      <b/>
      <sz val="72"/>
      <color rgb="FF000000"/>
      <name val="Calibri"/>
      <family val="2"/>
    </font>
    <font>
      <sz val="45"/>
      <color rgb="FF000000"/>
      <name val="Calibri"/>
      <family val="2"/>
    </font>
    <font>
      <sz val="11"/>
      <color indexed="50"/>
      <name val="Calibri"/>
      <family val="2"/>
      <scheme val="minor"/>
    </font>
    <font>
      <b/>
      <u/>
      <sz val="40"/>
      <color rgb="FF000000"/>
      <name val="Calibri"/>
      <family val="2"/>
    </font>
    <font>
      <b/>
      <u/>
      <sz val="40"/>
      <color theme="7" tint="-0.499984740745262"/>
      <name val="Calibri"/>
      <family val="2"/>
    </font>
    <font>
      <sz val="40"/>
      <name val="Calibri"/>
      <family val="2"/>
    </font>
    <font>
      <sz val="11"/>
      <color rgb="FF000000"/>
      <name val="Calibri"/>
      <family val="2"/>
    </font>
    <font>
      <sz val="48"/>
      <color rgb="FF000000"/>
      <name val="Calibri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36"/>
      <color rgb="FF000000"/>
      <name val="Calibri"/>
      <family val="2"/>
    </font>
    <font>
      <sz val="36"/>
      <name val="Calibri"/>
      <family val="2"/>
    </font>
    <font>
      <sz val="10"/>
      <name val="Arial"/>
      <family val="2"/>
    </font>
    <font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6" tint="0.59999389629810485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FAE2E5"/>
      </patternFill>
    </fill>
    <fill>
      <patternFill patternType="solid">
        <fgColor theme="7" tint="0.79998168889431442"/>
        <bgColor rgb="FFFAE2E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rgb="FFFAE7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AE2E5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6" fillId="0" borderId="0" applyFont="0" applyFill="0" applyBorder="0" applyAlignment="0" applyProtection="0">
      <alignment vertical="center"/>
    </xf>
    <xf numFmtId="0" fontId="30" fillId="0" borderId="0"/>
    <xf numFmtId="0" fontId="36" fillId="0" borderId="0"/>
    <xf numFmtId="0" fontId="1" fillId="0" borderId="0"/>
  </cellStyleXfs>
  <cellXfs count="314">
    <xf numFmtId="0" fontId="0" fillId="0" borderId="0" xfId="0"/>
    <xf numFmtId="0" fontId="0" fillId="0" borderId="0" xfId="0" applyBorder="1"/>
    <xf numFmtId="0" fontId="0" fillId="2" borderId="0" xfId="0" applyFill="1"/>
    <xf numFmtId="0" fontId="3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vertical="center"/>
    </xf>
    <xf numFmtId="0" fontId="15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8" fillId="9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2" borderId="0" xfId="0" applyFont="1" applyFill="1"/>
    <xf numFmtId="2" fontId="24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2" fontId="24" fillId="13" borderId="0" xfId="0" applyNumberFormat="1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 vertical="top" wrapText="1"/>
    </xf>
    <xf numFmtId="2" fontId="24" fillId="15" borderId="0" xfId="0" applyNumberFormat="1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2" fontId="24" fillId="18" borderId="0" xfId="0" applyNumberFormat="1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horizontal="center" vertical="top" wrapText="1"/>
    </xf>
    <xf numFmtId="0" fontId="8" fillId="12" borderId="0" xfId="0" applyFont="1" applyFill="1" applyBorder="1" applyAlignment="1">
      <alignment horizontal="center" vertical="center" wrapText="1"/>
    </xf>
    <xf numFmtId="3" fontId="31" fillId="20" borderId="0" xfId="2" applyNumberFormat="1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vertical="top" wrapText="1"/>
    </xf>
    <xf numFmtId="0" fontId="31" fillId="20" borderId="0" xfId="2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vertical="center" wrapText="1"/>
    </xf>
    <xf numFmtId="0" fontId="4" fillId="15" borderId="0" xfId="0" applyFont="1" applyFill="1" applyBorder="1" applyAlignment="1">
      <alignment horizontal="center" vertical="center" wrapText="1"/>
    </xf>
    <xf numFmtId="0" fontId="31" fillId="16" borderId="0" xfId="2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center" vertical="center" wrapText="1"/>
    </xf>
    <xf numFmtId="0" fontId="31" fillId="18" borderId="0" xfId="2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left" vertical="top" wrapText="1"/>
    </xf>
    <xf numFmtId="0" fontId="10" fillId="17" borderId="0" xfId="0" applyFont="1" applyFill="1" applyBorder="1" applyAlignment="1">
      <alignment horizontal="left" vertical="center" wrapText="1"/>
    </xf>
    <xf numFmtId="0" fontId="15" fillId="0" borderId="0" xfId="0" applyFont="1"/>
    <xf numFmtId="0" fontId="15" fillId="2" borderId="0" xfId="0" applyFont="1" applyFill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left" vertical="center"/>
    </xf>
    <xf numFmtId="0" fontId="8" fillId="2" borderId="17" xfId="0" applyFont="1" applyFill="1" applyBorder="1" applyAlignment="1" applyProtection="1">
      <alignment horizontal="left" vertical="center"/>
    </xf>
    <xf numFmtId="0" fontId="8" fillId="2" borderId="20" xfId="0" applyFont="1" applyFill="1" applyBorder="1" applyAlignment="1" applyProtection="1">
      <alignment horizontal="left" vertical="center"/>
    </xf>
    <xf numFmtId="0" fontId="8" fillId="2" borderId="11" xfId="0" applyFont="1" applyFill="1" applyBorder="1" applyAlignment="1" applyProtection="1">
      <alignment horizontal="left" vertical="top" wrapText="1"/>
    </xf>
    <xf numFmtId="0" fontId="8" fillId="2" borderId="9" xfId="0" applyFont="1" applyFill="1" applyBorder="1" applyAlignment="1" applyProtection="1">
      <alignment horizontal="left" vertical="top" wrapText="1"/>
    </xf>
    <xf numFmtId="0" fontId="8" fillId="2" borderId="13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center" vertical="center"/>
    </xf>
    <xf numFmtId="0" fontId="8" fillId="4" borderId="24" xfId="0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Protection="1"/>
    <xf numFmtId="0" fontId="10" fillId="5" borderId="12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vertical="center"/>
    </xf>
    <xf numFmtId="0" fontId="8" fillId="6" borderId="27" xfId="0" applyFont="1" applyFill="1" applyBorder="1" applyAlignment="1" applyProtection="1">
      <alignment horizontal="center" vertical="center"/>
    </xf>
    <xf numFmtId="0" fontId="10" fillId="6" borderId="28" xfId="0" applyFont="1" applyFill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12" fillId="2" borderId="0" xfId="0" applyFont="1" applyFill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7" fillId="7" borderId="30" xfId="0" applyFont="1" applyFill="1" applyBorder="1" applyAlignment="1" applyProtection="1">
      <alignment horizontal="center" vertical="center" wrapText="1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 vertical="center" wrapText="1"/>
    </xf>
    <xf numFmtId="0" fontId="6" fillId="8" borderId="6" xfId="0" applyFont="1" applyFill="1" applyBorder="1" applyAlignment="1" applyProtection="1">
      <alignment horizontal="center" vertical="center" wrapText="1"/>
    </xf>
    <xf numFmtId="0" fontId="6" fillId="8" borderId="5" xfId="0" applyFont="1" applyFill="1" applyBorder="1" applyAlignment="1" applyProtection="1">
      <alignment horizontal="center" vertical="center" wrapText="1"/>
    </xf>
    <xf numFmtId="0" fontId="6" fillId="8" borderId="29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0" fontId="18" fillId="9" borderId="12" xfId="0" applyFont="1" applyFill="1" applyBorder="1" applyAlignment="1" applyProtection="1">
      <alignment horizontal="center" vertical="center" wrapText="1"/>
    </xf>
    <xf numFmtId="0" fontId="17" fillId="7" borderId="31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6" fillId="8" borderId="31" xfId="0" applyFont="1" applyFill="1" applyBorder="1" applyAlignment="1" applyProtection="1">
      <alignment horizontal="center" vertical="center" wrapText="1"/>
    </xf>
    <xf numFmtId="0" fontId="6" fillId="8" borderId="31" xfId="0" applyFont="1" applyFill="1" applyBorder="1" applyAlignment="1" applyProtection="1">
      <alignment vertical="center" wrapText="1"/>
    </xf>
    <xf numFmtId="0" fontId="6" fillId="8" borderId="30" xfId="0" applyFont="1" applyFill="1" applyBorder="1" applyAlignment="1" applyProtection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21" fillId="10" borderId="12" xfId="0" applyFont="1" applyFill="1" applyBorder="1" applyAlignment="1" applyProtection="1">
      <alignment horizontal="center" vertical="top" wrapText="1"/>
    </xf>
    <xf numFmtId="0" fontId="10" fillId="0" borderId="12" xfId="0" applyFont="1" applyBorder="1" applyAlignment="1" applyProtection="1">
      <alignment horizontal="center" vertical="top" wrapText="1"/>
    </xf>
    <xf numFmtId="0" fontId="10" fillId="0" borderId="12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 wrapText="1"/>
    </xf>
    <xf numFmtId="3" fontId="10" fillId="0" borderId="12" xfId="0" applyNumberFormat="1" applyFont="1" applyBorder="1" applyAlignment="1" applyProtection="1">
      <alignment horizontal="center" vertical="center" wrapText="1"/>
    </xf>
    <xf numFmtId="10" fontId="22" fillId="0" borderId="12" xfId="0" applyNumberFormat="1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top" wrapText="1"/>
    </xf>
    <xf numFmtId="2" fontId="24" fillId="0" borderId="12" xfId="0" applyNumberFormat="1" applyFont="1" applyBorder="1" applyAlignment="1" applyProtection="1">
      <alignment horizontal="center" vertical="center" wrapText="1"/>
    </xf>
    <xf numFmtId="0" fontId="21" fillId="10" borderId="12" xfId="0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8" fillId="11" borderId="12" xfId="0" applyFont="1" applyFill="1" applyBorder="1" applyAlignment="1" applyProtection="1">
      <alignment horizontal="center" vertical="center" wrapText="1"/>
    </xf>
    <xf numFmtId="0" fontId="20" fillId="11" borderId="12" xfId="0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top" wrapText="1"/>
    </xf>
    <xf numFmtId="0" fontId="25" fillId="11" borderId="12" xfId="0" applyFont="1" applyFill="1" applyBorder="1" applyAlignment="1" applyProtection="1">
      <alignment horizontal="center" vertical="center" wrapText="1"/>
    </xf>
    <xf numFmtId="0" fontId="10" fillId="12" borderId="12" xfId="0" applyFont="1" applyFill="1" applyBorder="1" applyAlignment="1" applyProtection="1">
      <alignment horizontal="center" vertical="center" wrapText="1"/>
    </xf>
    <xf numFmtId="0" fontId="10" fillId="13" borderId="12" xfId="0" applyFont="1" applyFill="1" applyBorder="1" applyAlignment="1" applyProtection="1">
      <alignment horizontal="center" vertical="center" wrapText="1"/>
    </xf>
    <xf numFmtId="3" fontId="22" fillId="12" borderId="12" xfId="1" applyNumberFormat="1" applyFont="1" applyFill="1" applyBorder="1" applyAlignment="1" applyProtection="1">
      <alignment horizontal="center" vertical="center" wrapText="1"/>
    </xf>
    <xf numFmtId="3" fontId="10" fillId="11" borderId="12" xfId="1" applyNumberFormat="1" applyFont="1" applyFill="1" applyBorder="1" applyAlignment="1" applyProtection="1">
      <alignment horizontal="center" vertical="center" wrapText="1"/>
    </xf>
    <xf numFmtId="9" fontId="22" fillId="11" borderId="12" xfId="0" applyNumberFormat="1" applyFont="1" applyFill="1" applyBorder="1" applyAlignment="1" applyProtection="1">
      <alignment horizontal="center" vertical="center" wrapText="1"/>
    </xf>
    <xf numFmtId="0" fontId="10" fillId="14" borderId="12" xfId="0" applyFont="1" applyFill="1" applyBorder="1" applyAlignment="1" applyProtection="1">
      <alignment horizontal="center" vertical="top" wrapText="1"/>
    </xf>
    <xf numFmtId="0" fontId="10" fillId="14" borderId="11" xfId="0" applyFont="1" applyFill="1" applyBorder="1" applyAlignment="1" applyProtection="1">
      <alignment horizontal="center" vertical="top" wrapText="1"/>
    </xf>
    <xf numFmtId="2" fontId="24" fillId="13" borderId="12" xfId="0" applyNumberFormat="1" applyFont="1" applyFill="1" applyBorder="1" applyAlignment="1" applyProtection="1">
      <alignment horizontal="center" vertical="center" wrapText="1"/>
    </xf>
    <xf numFmtId="3" fontId="22" fillId="11" borderId="12" xfId="1" applyNumberFormat="1" applyFont="1" applyFill="1" applyBorder="1" applyAlignment="1" applyProtection="1">
      <alignment horizontal="center" vertical="center" wrapText="1"/>
    </xf>
    <xf numFmtId="0" fontId="8" fillId="15" borderId="12" xfId="0" applyFont="1" applyFill="1" applyBorder="1" applyAlignment="1" applyProtection="1">
      <alignment horizontal="center" vertical="center" wrapText="1"/>
    </xf>
    <xf numFmtId="0" fontId="20" fillId="15" borderId="12" xfId="0" applyFont="1" applyFill="1" applyBorder="1" applyAlignment="1" applyProtection="1">
      <alignment horizontal="center" vertical="center" wrapText="1"/>
    </xf>
    <xf numFmtId="0" fontId="10" fillId="15" borderId="12" xfId="0" applyFont="1" applyFill="1" applyBorder="1" applyAlignment="1" applyProtection="1">
      <alignment horizontal="center" vertical="center" wrapText="1"/>
    </xf>
    <xf numFmtId="0" fontId="10" fillId="15" borderId="12" xfId="0" applyFont="1" applyFill="1" applyBorder="1" applyAlignment="1" applyProtection="1">
      <alignment horizontal="center" vertical="top" wrapText="1"/>
    </xf>
    <xf numFmtId="0" fontId="25" fillId="15" borderId="12" xfId="0" applyFont="1" applyFill="1" applyBorder="1" applyAlignment="1" applyProtection="1">
      <alignment horizontal="center" vertical="center" wrapText="1"/>
    </xf>
    <xf numFmtId="0" fontId="29" fillId="15" borderId="12" xfId="0" applyFont="1" applyFill="1" applyBorder="1" applyAlignment="1" applyProtection="1">
      <alignment horizontal="center" vertical="center" wrapText="1"/>
    </xf>
    <xf numFmtId="0" fontId="29" fillId="16" borderId="12" xfId="0" applyFont="1" applyFill="1" applyBorder="1" applyAlignment="1" applyProtection="1">
      <alignment horizontal="center" vertical="center" wrapText="1"/>
    </xf>
    <xf numFmtId="0" fontId="10" fillId="16" borderId="12" xfId="0" applyFont="1" applyFill="1" applyBorder="1" applyAlignment="1" applyProtection="1">
      <alignment horizontal="center" vertical="center" wrapText="1"/>
    </xf>
    <xf numFmtId="3" fontId="22" fillId="15" borderId="12" xfId="0" applyNumberFormat="1" applyFont="1" applyFill="1" applyBorder="1" applyAlignment="1" applyProtection="1">
      <alignment horizontal="center" vertical="center" wrapText="1"/>
    </xf>
    <xf numFmtId="3" fontId="10" fillId="15" borderId="12" xfId="0" applyNumberFormat="1" applyFont="1" applyFill="1" applyBorder="1" applyAlignment="1" applyProtection="1">
      <alignment horizontal="center" vertical="center" wrapText="1"/>
    </xf>
    <xf numFmtId="0" fontId="22" fillId="15" borderId="12" xfId="0" applyFont="1" applyFill="1" applyBorder="1" applyAlignment="1" applyProtection="1">
      <alignment horizontal="center" vertical="center" wrapText="1"/>
    </xf>
    <xf numFmtId="0" fontId="8" fillId="15" borderId="11" xfId="0" applyFont="1" applyFill="1" applyBorder="1" applyAlignment="1" applyProtection="1">
      <alignment horizontal="center" vertical="center" wrapText="1"/>
    </xf>
    <xf numFmtId="0" fontId="24" fillId="15" borderId="12" xfId="0" applyFont="1" applyFill="1" applyBorder="1" applyAlignment="1" applyProtection="1">
      <alignment horizontal="center" vertical="center" wrapText="1"/>
    </xf>
    <xf numFmtId="2" fontId="24" fillId="15" borderId="12" xfId="0" applyNumberFormat="1" applyFont="1" applyFill="1" applyBorder="1" applyAlignment="1" applyProtection="1">
      <alignment horizontal="center" vertical="center" wrapText="1"/>
    </xf>
    <xf numFmtId="0" fontId="8" fillId="17" borderId="12" xfId="0" applyFont="1" applyFill="1" applyBorder="1" applyAlignment="1" applyProtection="1">
      <alignment horizontal="center" vertical="center" wrapText="1"/>
    </xf>
    <xf numFmtId="0" fontId="20" fillId="17" borderId="12" xfId="0" applyFont="1" applyFill="1" applyBorder="1" applyAlignment="1" applyProtection="1">
      <alignment horizontal="center" vertical="center" wrapText="1"/>
    </xf>
    <xf numFmtId="0" fontId="10" fillId="17" borderId="12" xfId="0" applyFont="1" applyFill="1" applyBorder="1" applyAlignment="1" applyProtection="1">
      <alignment horizontal="center" vertical="center" wrapText="1"/>
    </xf>
    <xf numFmtId="0" fontId="10" fillId="17" borderId="12" xfId="0" applyFont="1" applyFill="1" applyBorder="1" applyAlignment="1" applyProtection="1">
      <alignment horizontal="center" vertical="top" wrapText="1"/>
    </xf>
    <xf numFmtId="0" fontId="25" fillId="17" borderId="12" xfId="0" applyFont="1" applyFill="1" applyBorder="1" applyAlignment="1" applyProtection="1">
      <alignment horizontal="center" vertical="center" wrapText="1"/>
    </xf>
    <xf numFmtId="0" fontId="10" fillId="18" borderId="12" xfId="0" applyFont="1" applyFill="1" applyBorder="1" applyAlignment="1" applyProtection="1">
      <alignment horizontal="center" vertical="center" wrapText="1"/>
    </xf>
    <xf numFmtId="3" fontId="22" fillId="17" borderId="12" xfId="0" applyNumberFormat="1" applyFont="1" applyFill="1" applyBorder="1" applyAlignment="1" applyProtection="1">
      <alignment horizontal="center" vertical="center" wrapText="1"/>
    </xf>
    <xf numFmtId="3" fontId="10" fillId="17" borderId="12" xfId="0" applyNumberFormat="1" applyFont="1" applyFill="1" applyBorder="1" applyAlignment="1" applyProtection="1">
      <alignment horizontal="center" vertical="center" wrapText="1"/>
    </xf>
    <xf numFmtId="0" fontId="10" fillId="19" borderId="12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top" wrapText="1"/>
    </xf>
    <xf numFmtId="2" fontId="24" fillId="18" borderId="12" xfId="0" applyNumberFormat="1" applyFont="1" applyFill="1" applyBorder="1" applyAlignment="1" applyProtection="1">
      <alignment horizontal="center" vertical="center" wrapText="1"/>
    </xf>
    <xf numFmtId="0" fontId="10" fillId="17" borderId="14" xfId="0" applyFont="1" applyFill="1" applyBorder="1" applyAlignment="1" applyProtection="1">
      <alignment horizontal="center" vertical="top" wrapText="1"/>
    </xf>
    <xf numFmtId="0" fontId="25" fillId="17" borderId="14" xfId="0" applyFont="1" applyFill="1" applyBorder="1" applyAlignment="1" applyProtection="1">
      <alignment horizontal="center" vertical="center" wrapText="1"/>
    </xf>
    <xf numFmtId="0" fontId="10" fillId="17" borderId="14" xfId="0" applyFont="1" applyFill="1" applyBorder="1" applyAlignment="1" applyProtection="1">
      <alignment horizontal="center" vertical="center" wrapText="1"/>
    </xf>
    <xf numFmtId="0" fontId="10" fillId="18" borderId="14" xfId="0" applyFont="1" applyFill="1" applyBorder="1" applyAlignment="1" applyProtection="1">
      <alignment horizontal="center" vertical="center" wrapText="1"/>
    </xf>
    <xf numFmtId="3" fontId="22" fillId="17" borderId="14" xfId="0" applyNumberFormat="1" applyFont="1" applyFill="1" applyBorder="1" applyAlignment="1" applyProtection="1">
      <alignment horizontal="center" vertical="center" wrapText="1"/>
    </xf>
    <xf numFmtId="3" fontId="10" fillId="17" borderId="14" xfId="0" applyNumberFormat="1" applyFont="1" applyFill="1" applyBorder="1" applyAlignment="1" applyProtection="1">
      <alignment horizontal="center" vertical="center" wrapText="1"/>
    </xf>
    <xf numFmtId="0" fontId="22" fillId="17" borderId="14" xfId="0" applyFont="1" applyFill="1" applyBorder="1" applyAlignment="1" applyProtection="1">
      <alignment horizontal="center" vertical="center" wrapText="1"/>
    </xf>
    <xf numFmtId="0" fontId="10" fillId="19" borderId="14" xfId="0" applyFont="1" applyFill="1" applyBorder="1" applyAlignment="1" applyProtection="1">
      <alignment horizontal="center" vertical="center" wrapText="1"/>
    </xf>
    <xf numFmtId="0" fontId="8" fillId="19" borderId="15" xfId="0" applyFont="1" applyFill="1" applyBorder="1" applyAlignment="1" applyProtection="1">
      <alignment horizontal="center" vertical="top" wrapText="1"/>
    </xf>
    <xf numFmtId="0" fontId="14" fillId="0" borderId="32" xfId="0" applyFont="1" applyBorder="1" applyAlignment="1" applyProtection="1">
      <alignment horizontal="center" vertical="center" wrapText="1"/>
    </xf>
    <xf numFmtId="0" fontId="8" fillId="12" borderId="23" xfId="0" applyFont="1" applyFill="1" applyBorder="1" applyAlignment="1" applyProtection="1">
      <alignment horizontal="center" vertical="center" wrapText="1"/>
    </xf>
    <xf numFmtId="0" fontId="8" fillId="12" borderId="24" xfId="0" applyFont="1" applyFill="1" applyBorder="1" applyAlignment="1" applyProtection="1">
      <alignment horizontal="center" vertical="center" wrapText="1"/>
    </xf>
    <xf numFmtId="0" fontId="8" fillId="12" borderId="33" xfId="0" applyFont="1" applyFill="1" applyBorder="1" applyAlignment="1" applyProtection="1">
      <alignment horizontal="center" vertical="center" wrapText="1"/>
    </xf>
    <xf numFmtId="0" fontId="4" fillId="12" borderId="4" xfId="0" applyFont="1" applyFill="1" applyBorder="1" applyAlignment="1" applyProtection="1">
      <alignment horizontal="center" vertical="top" wrapText="1"/>
    </xf>
    <xf numFmtId="0" fontId="4" fillId="12" borderId="5" xfId="0" applyFont="1" applyFill="1" applyBorder="1" applyAlignment="1" applyProtection="1">
      <alignment horizontal="center" vertical="top" wrapText="1"/>
    </xf>
    <xf numFmtId="0" fontId="8" fillId="12" borderId="34" xfId="0" applyFont="1" applyFill="1" applyBorder="1" applyAlignment="1" applyProtection="1">
      <alignment horizontal="center" vertical="center" wrapText="1"/>
    </xf>
    <xf numFmtId="0" fontId="8" fillId="12" borderId="12" xfId="0" applyFont="1" applyFill="1" applyBorder="1" applyAlignment="1" applyProtection="1">
      <alignment horizontal="center" vertical="center" wrapText="1"/>
    </xf>
    <xf numFmtId="0" fontId="8" fillId="12" borderId="1" xfId="0" applyFont="1" applyFill="1" applyBorder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horizontal="left" vertical="center" wrapText="1"/>
    </xf>
    <xf numFmtId="0" fontId="10" fillId="12" borderId="3" xfId="0" applyFont="1" applyFill="1" applyBorder="1" applyAlignment="1" applyProtection="1">
      <alignment horizontal="left" vertical="center" wrapText="1"/>
    </xf>
    <xf numFmtId="0" fontId="10" fillId="12" borderId="1" xfId="0" applyFont="1" applyFill="1" applyBorder="1" applyAlignment="1" applyProtection="1">
      <alignment horizontal="center" vertical="center" wrapText="1"/>
    </xf>
    <xf numFmtId="0" fontId="10" fillId="12" borderId="31" xfId="0" applyFont="1" applyFill="1" applyBorder="1" applyAlignment="1" applyProtection="1">
      <alignment horizontal="center" vertical="center" wrapText="1"/>
    </xf>
    <xf numFmtId="0" fontId="10" fillId="13" borderId="35" xfId="0" applyFont="1" applyFill="1" applyBorder="1" applyAlignment="1" applyProtection="1">
      <alignment horizontal="center" vertical="center" wrapText="1"/>
    </xf>
    <xf numFmtId="0" fontId="10" fillId="12" borderId="36" xfId="0" applyFont="1" applyFill="1" applyBorder="1" applyAlignment="1" applyProtection="1">
      <alignment horizontal="center" vertical="center" wrapText="1"/>
    </xf>
    <xf numFmtId="0" fontId="10" fillId="12" borderId="37" xfId="0" applyFont="1" applyFill="1" applyBorder="1" applyAlignment="1" applyProtection="1">
      <alignment horizontal="center" vertical="center" wrapText="1"/>
    </xf>
    <xf numFmtId="0" fontId="10" fillId="12" borderId="35" xfId="0" applyFont="1" applyFill="1" applyBorder="1" applyAlignment="1" applyProtection="1">
      <alignment horizontal="center" vertical="center" wrapText="1"/>
    </xf>
    <xf numFmtId="0" fontId="10" fillId="12" borderId="35" xfId="0" applyFont="1" applyFill="1" applyBorder="1" applyAlignment="1" applyProtection="1">
      <alignment vertical="top" wrapText="1"/>
    </xf>
    <xf numFmtId="3" fontId="31" fillId="20" borderId="12" xfId="2" applyNumberFormat="1" applyFont="1" applyFill="1" applyBorder="1" applyAlignment="1" applyProtection="1">
      <alignment horizontal="center" vertical="center"/>
    </xf>
    <xf numFmtId="0" fontId="8" fillId="12" borderId="4" xfId="0" applyFont="1" applyFill="1" applyBorder="1" applyAlignment="1" applyProtection="1">
      <alignment horizontal="center" vertical="center" wrapText="1"/>
    </xf>
    <xf numFmtId="0" fontId="10" fillId="12" borderId="4" xfId="0" applyFont="1" applyFill="1" applyBorder="1" applyAlignment="1" applyProtection="1">
      <alignment horizontal="left" vertical="center" wrapText="1"/>
    </xf>
    <xf numFmtId="0" fontId="10" fillId="12" borderId="6" xfId="0" applyFont="1" applyFill="1" applyBorder="1" applyAlignment="1" applyProtection="1">
      <alignment horizontal="left" vertical="center" wrapText="1"/>
    </xf>
    <xf numFmtId="0" fontId="10" fillId="12" borderId="4" xfId="0" applyFont="1" applyFill="1" applyBorder="1" applyAlignment="1" applyProtection="1">
      <alignment horizontal="center" vertical="center" wrapText="1"/>
    </xf>
    <xf numFmtId="0" fontId="10" fillId="12" borderId="30" xfId="0" applyFont="1" applyFill="1" applyBorder="1" applyAlignment="1" applyProtection="1">
      <alignment horizontal="center" vertical="center" wrapText="1"/>
    </xf>
    <xf numFmtId="0" fontId="10" fillId="13" borderId="14" xfId="0" applyFont="1" applyFill="1" applyBorder="1" applyAlignment="1" applyProtection="1">
      <alignment horizontal="center" vertical="center" wrapText="1"/>
    </xf>
    <xf numFmtId="0" fontId="10" fillId="12" borderId="38" xfId="0" applyFont="1" applyFill="1" applyBorder="1" applyAlignment="1" applyProtection="1">
      <alignment horizontal="center" vertical="center" wrapText="1"/>
    </xf>
    <xf numFmtId="0" fontId="10" fillId="12" borderId="14" xfId="0" applyFont="1" applyFill="1" applyBorder="1" applyAlignment="1" applyProtection="1">
      <alignment horizontal="center" vertical="center" wrapText="1"/>
    </xf>
    <xf numFmtId="0" fontId="10" fillId="12" borderId="14" xfId="0" applyFont="1" applyFill="1" applyBorder="1" applyAlignment="1" applyProtection="1">
      <alignment vertical="top" wrapText="1"/>
    </xf>
    <xf numFmtId="0" fontId="10" fillId="12" borderId="14" xfId="0" applyFont="1" applyFill="1" applyBorder="1" applyAlignment="1" applyProtection="1">
      <alignment vertical="center" wrapText="1"/>
    </xf>
    <xf numFmtId="0" fontId="31" fillId="20" borderId="12" xfId="2" applyFont="1" applyFill="1" applyBorder="1" applyAlignment="1" applyProtection="1">
      <alignment horizontal="center" vertical="center"/>
    </xf>
    <xf numFmtId="0" fontId="8" fillId="15" borderId="23" xfId="0" applyFont="1" applyFill="1" applyBorder="1" applyAlignment="1" applyProtection="1">
      <alignment horizontal="center" vertical="center" wrapText="1"/>
    </xf>
    <xf numFmtId="0" fontId="8" fillId="15" borderId="24" xfId="0" applyFont="1" applyFill="1" applyBorder="1" applyAlignment="1" applyProtection="1">
      <alignment horizontal="center" vertical="center" wrapText="1"/>
    </xf>
    <xf numFmtId="0" fontId="8" fillId="15" borderId="33" xfId="0" applyFont="1" applyFill="1" applyBorder="1" applyAlignment="1" applyProtection="1">
      <alignment horizontal="center" vertical="center" wrapText="1"/>
    </xf>
    <xf numFmtId="0" fontId="4" fillId="15" borderId="4" xfId="0" applyFont="1" applyFill="1" applyBorder="1" applyAlignment="1" applyProtection="1">
      <alignment horizontal="center" vertical="top" wrapText="1"/>
    </xf>
    <xf numFmtId="0" fontId="4" fillId="15" borderId="5" xfId="0" applyFont="1" applyFill="1" applyBorder="1" applyAlignment="1" applyProtection="1">
      <alignment horizontal="center" vertical="top" wrapText="1"/>
    </xf>
    <xf numFmtId="0" fontId="8" fillId="15" borderId="34" xfId="0" applyFont="1" applyFill="1" applyBorder="1" applyAlignment="1" applyProtection="1">
      <alignment horizontal="center" vertical="center" wrapText="1"/>
    </xf>
    <xf numFmtId="0" fontId="4" fillId="15" borderId="12" xfId="0" applyFont="1" applyFill="1" applyBorder="1" applyAlignment="1" applyProtection="1">
      <alignment horizontal="center" vertical="center" wrapText="1"/>
    </xf>
    <xf numFmtId="0" fontId="8" fillId="15" borderId="39" xfId="0" applyFont="1" applyFill="1" applyBorder="1" applyAlignment="1" applyProtection="1">
      <alignment horizontal="center" vertical="center" wrapText="1"/>
    </xf>
    <xf numFmtId="0" fontId="10" fillId="15" borderId="39" xfId="0" applyFont="1" applyFill="1" applyBorder="1" applyAlignment="1" applyProtection="1">
      <alignment horizontal="left" vertical="center" wrapText="1"/>
    </xf>
    <xf numFmtId="0" fontId="10" fillId="15" borderId="40" xfId="0" applyFont="1" applyFill="1" applyBorder="1" applyAlignment="1" applyProtection="1">
      <alignment horizontal="left" vertical="center" wrapText="1"/>
    </xf>
    <xf numFmtId="0" fontId="10" fillId="15" borderId="39" xfId="0" applyFont="1" applyFill="1" applyBorder="1" applyAlignment="1" applyProtection="1">
      <alignment horizontal="center" vertical="center" wrapText="1"/>
    </xf>
    <xf numFmtId="0" fontId="10" fillId="15" borderId="41" xfId="0" applyFont="1" applyFill="1" applyBorder="1" applyAlignment="1" applyProtection="1">
      <alignment horizontal="center" vertical="top" wrapText="1"/>
    </xf>
    <xf numFmtId="0" fontId="10" fillId="16" borderId="35" xfId="0" applyFont="1" applyFill="1" applyBorder="1" applyAlignment="1" applyProtection="1">
      <alignment horizontal="center" vertical="center" wrapText="1"/>
    </xf>
    <xf numFmtId="0" fontId="10" fillId="15" borderId="37" xfId="0" applyFont="1" applyFill="1" applyBorder="1" applyAlignment="1" applyProtection="1">
      <alignment horizontal="center" vertical="top" wrapText="1"/>
    </xf>
    <xf numFmtId="0" fontId="10" fillId="15" borderId="35" xfId="0" applyFont="1" applyFill="1" applyBorder="1" applyAlignment="1" applyProtection="1">
      <alignment horizontal="center" vertical="top" wrapText="1"/>
    </xf>
    <xf numFmtId="0" fontId="10" fillId="15" borderId="35" xfId="0" applyFont="1" applyFill="1" applyBorder="1" applyAlignment="1" applyProtection="1">
      <alignment vertical="center" wrapText="1"/>
    </xf>
    <xf numFmtId="0" fontId="31" fillId="16" borderId="12" xfId="2" applyFont="1" applyFill="1" applyBorder="1" applyAlignment="1" applyProtection="1">
      <alignment horizontal="center" vertical="center"/>
    </xf>
    <xf numFmtId="0" fontId="8" fillId="15" borderId="16" xfId="0" applyFont="1" applyFill="1" applyBorder="1" applyAlignment="1" applyProtection="1">
      <alignment horizontal="center" vertical="center" wrapText="1"/>
    </xf>
    <xf numFmtId="0" fontId="10" fillId="15" borderId="16" xfId="0" applyFont="1" applyFill="1" applyBorder="1" applyAlignment="1" applyProtection="1">
      <alignment horizontal="left" vertical="center" wrapText="1"/>
    </xf>
    <xf numFmtId="0" fontId="10" fillId="15" borderId="20" xfId="0" applyFont="1" applyFill="1" applyBorder="1" applyAlignment="1" applyProtection="1">
      <alignment horizontal="left" vertical="center" wrapText="1"/>
    </xf>
    <xf numFmtId="0" fontId="10" fillId="15" borderId="16" xfId="0" applyFont="1" applyFill="1" applyBorder="1" applyAlignment="1" applyProtection="1">
      <alignment horizontal="center" vertical="center" wrapText="1"/>
    </xf>
    <xf numFmtId="0" fontId="10" fillId="15" borderId="42" xfId="0" applyFont="1" applyFill="1" applyBorder="1" applyAlignment="1" applyProtection="1">
      <alignment horizontal="center" vertical="top" wrapText="1"/>
    </xf>
    <xf numFmtId="0" fontId="10" fillId="16" borderId="14" xfId="0" applyFont="1" applyFill="1" applyBorder="1" applyAlignment="1" applyProtection="1">
      <alignment horizontal="center" vertical="center" wrapText="1"/>
    </xf>
    <xf numFmtId="0" fontId="10" fillId="15" borderId="1" xfId="0" applyFont="1" applyFill="1" applyBorder="1" applyAlignment="1" applyProtection="1">
      <alignment horizontal="center" vertical="top" wrapText="1"/>
    </xf>
    <xf numFmtId="0" fontId="10" fillId="15" borderId="43" xfId="0" applyFont="1" applyFill="1" applyBorder="1" applyAlignment="1" applyProtection="1">
      <alignment horizontal="center" vertical="top" wrapText="1"/>
    </xf>
    <xf numFmtId="0" fontId="10" fillId="15" borderId="38" xfId="0" applyFont="1" applyFill="1" applyBorder="1" applyAlignment="1" applyProtection="1">
      <alignment horizontal="center" vertical="top" wrapText="1"/>
    </xf>
    <xf numFmtId="0" fontId="10" fillId="15" borderId="14" xfId="0" applyFont="1" applyFill="1" applyBorder="1" applyAlignment="1" applyProtection="1">
      <alignment horizontal="center" vertical="top" wrapText="1"/>
    </xf>
    <xf numFmtId="0" fontId="10" fillId="15" borderId="14" xfId="0" applyFont="1" applyFill="1" applyBorder="1" applyAlignment="1" applyProtection="1">
      <alignment vertical="center" wrapText="1"/>
    </xf>
    <xf numFmtId="0" fontId="8" fillId="17" borderId="1" xfId="0" applyFont="1" applyFill="1" applyBorder="1" applyAlignment="1" applyProtection="1">
      <alignment horizontal="center" vertical="center" wrapText="1"/>
    </xf>
    <xf numFmtId="0" fontId="8" fillId="17" borderId="2" xfId="0" applyFont="1" applyFill="1" applyBorder="1" applyAlignment="1" applyProtection="1">
      <alignment horizontal="center" vertical="center" wrapText="1"/>
    </xf>
    <xf numFmtId="0" fontId="8" fillId="17" borderId="3" xfId="0" applyFont="1" applyFill="1" applyBorder="1" applyAlignment="1" applyProtection="1">
      <alignment horizontal="center" vertical="center" wrapText="1"/>
    </xf>
    <xf numFmtId="0" fontId="4" fillId="17" borderId="4" xfId="0" applyFont="1" applyFill="1" applyBorder="1" applyAlignment="1" applyProtection="1">
      <alignment horizontal="center" vertical="top" wrapText="1"/>
    </xf>
    <xf numFmtId="0" fontId="4" fillId="17" borderId="5" xfId="0" applyFont="1" applyFill="1" applyBorder="1" applyAlignment="1" applyProtection="1">
      <alignment horizontal="center" vertical="top" wrapText="1"/>
    </xf>
    <xf numFmtId="0" fontId="8" fillId="17" borderId="34" xfId="0" applyFont="1" applyFill="1" applyBorder="1" applyAlignment="1" applyProtection="1">
      <alignment horizontal="center" vertical="center" wrapText="1"/>
    </xf>
    <xf numFmtId="0" fontId="4" fillId="17" borderId="12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8" fillId="17" borderId="29" xfId="0" applyFont="1" applyFill="1" applyBorder="1" applyAlignment="1" applyProtection="1">
      <alignment horizontal="center" vertical="center" wrapText="1"/>
    </xf>
    <xf numFmtId="0" fontId="10" fillId="17" borderId="29" xfId="0" applyFont="1" applyFill="1" applyBorder="1" applyAlignment="1" applyProtection="1">
      <alignment horizontal="left" vertical="center" wrapText="1"/>
    </xf>
    <xf numFmtId="0" fontId="10" fillId="17" borderId="29" xfId="0" applyFont="1" applyFill="1" applyBorder="1" applyAlignment="1" applyProtection="1">
      <alignment horizontal="center" vertical="center" wrapText="1"/>
    </xf>
    <xf numFmtId="0" fontId="10" fillId="17" borderId="44" xfId="0" applyFont="1" applyFill="1" applyBorder="1" applyAlignment="1" applyProtection="1">
      <alignment horizontal="center" vertical="center" wrapText="1"/>
    </xf>
    <xf numFmtId="0" fontId="10" fillId="18" borderId="35" xfId="0" applyFont="1" applyFill="1" applyBorder="1" applyAlignment="1" applyProtection="1">
      <alignment horizontal="center" vertical="center" wrapText="1"/>
    </xf>
    <xf numFmtId="0" fontId="10" fillId="17" borderId="23" xfId="0" applyFont="1" applyFill="1" applyBorder="1" applyAlignment="1" applyProtection="1">
      <alignment horizontal="center" vertical="center" wrapText="1"/>
    </xf>
    <xf numFmtId="0" fontId="10" fillId="17" borderId="37" xfId="0" applyFont="1" applyFill="1" applyBorder="1" applyAlignment="1" applyProtection="1">
      <alignment horizontal="center" vertical="top" wrapText="1"/>
    </xf>
    <xf numFmtId="0" fontId="10" fillId="17" borderId="35" xfId="0" applyFont="1" applyFill="1" applyBorder="1" applyAlignment="1" applyProtection="1">
      <alignment horizontal="center" vertical="top" wrapText="1"/>
    </xf>
    <xf numFmtId="0" fontId="10" fillId="17" borderId="35" xfId="0" applyFont="1" applyFill="1" applyBorder="1" applyAlignment="1" applyProtection="1">
      <alignment horizontal="left" vertical="top" wrapText="1"/>
    </xf>
    <xf numFmtId="0" fontId="31" fillId="18" borderId="12" xfId="2" applyFont="1" applyFill="1" applyBorder="1" applyAlignment="1" applyProtection="1">
      <alignment horizontal="center" vertical="center"/>
    </xf>
    <xf numFmtId="0" fontId="10" fillId="17" borderId="4" xfId="0" applyFont="1" applyFill="1" applyBorder="1" applyAlignment="1" applyProtection="1">
      <alignment horizontal="center" vertical="center" wrapText="1"/>
    </xf>
    <xf numFmtId="0" fontId="10" fillId="17" borderId="45" xfId="0" applyFont="1" applyFill="1" applyBorder="1" applyAlignment="1" applyProtection="1">
      <alignment horizontal="center" vertical="top" wrapText="1"/>
    </xf>
    <xf numFmtId="0" fontId="10" fillId="17" borderId="12" xfId="0" applyFont="1" applyFill="1" applyBorder="1" applyAlignment="1" applyProtection="1">
      <alignment horizontal="left" vertical="top" wrapText="1"/>
    </xf>
    <xf numFmtId="0" fontId="10" fillId="17" borderId="12" xfId="0" applyFont="1" applyFill="1" applyBorder="1" applyAlignment="1" applyProtection="1">
      <alignment horizontal="left" vertical="center" wrapText="1"/>
    </xf>
    <xf numFmtId="0" fontId="10" fillId="17" borderId="46" xfId="0" applyFont="1" applyFill="1" applyBorder="1" applyAlignment="1" applyProtection="1">
      <alignment horizontal="center" vertical="top" wrapText="1"/>
    </xf>
    <xf numFmtId="0" fontId="10" fillId="17" borderId="28" xfId="0" applyFont="1" applyFill="1" applyBorder="1" applyAlignment="1" applyProtection="1">
      <alignment horizontal="center" vertical="top" wrapText="1"/>
    </xf>
    <xf numFmtId="0" fontId="10" fillId="17" borderId="28" xfId="0" applyFont="1" applyFill="1" applyBorder="1" applyAlignment="1" applyProtection="1">
      <alignment horizontal="left" vertical="top" wrapText="1"/>
    </xf>
    <xf numFmtId="0" fontId="10" fillId="17" borderId="28" xfId="0" applyFont="1" applyFill="1" applyBorder="1" applyAlignment="1" applyProtection="1">
      <alignment horizontal="left" vertical="center" wrapText="1"/>
    </xf>
    <xf numFmtId="0" fontId="32" fillId="0" borderId="0" xfId="0" applyFont="1" applyProtection="1"/>
    <xf numFmtId="0" fontId="15" fillId="0" borderId="0" xfId="0" applyFont="1" applyProtection="1"/>
    <xf numFmtId="0" fontId="25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25" fillId="0" borderId="0" xfId="0" applyFont="1" applyProtection="1"/>
    <xf numFmtId="0" fontId="31" fillId="2" borderId="0" xfId="0" applyFont="1" applyFill="1" applyBorder="1" applyAlignment="1" applyProtection="1">
      <alignment horizontal="center" vertical="center" wrapText="1"/>
    </xf>
    <xf numFmtId="0" fontId="32" fillId="2" borderId="0" xfId="0" applyFont="1" applyFill="1" applyProtection="1"/>
    <xf numFmtId="0" fontId="15" fillId="2" borderId="0" xfId="0" applyFont="1" applyFill="1" applyProtection="1"/>
    <xf numFmtId="0" fontId="22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/>
    </xf>
    <xf numFmtId="0" fontId="35" fillId="2" borderId="0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5" fillId="2" borderId="26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37" fillId="0" borderId="12" xfId="3" applyFont="1" applyFill="1" applyBorder="1" applyAlignment="1" applyProtection="1">
      <alignment horizontal="center" vertical="center" wrapText="1"/>
    </xf>
    <xf numFmtId="0" fontId="38" fillId="13" borderId="12" xfId="4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8" fillId="18" borderId="12" xfId="4" applyFont="1" applyFill="1" applyBorder="1" applyAlignment="1" applyProtection="1">
      <alignment horizontal="center" vertical="center"/>
    </xf>
    <xf numFmtId="0" fontId="38" fillId="16" borderId="12" xfId="4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2"/>
    <cellStyle name="Normal 2 2 2" xfId="3"/>
    <cellStyle name="Normal 4 7 2 4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18</xdr:col>
      <xdr:colOff>3022937</xdr:colOff>
      <xdr:row>55</xdr:row>
      <xdr:rowOff>526177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2043935" y="1136332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2022/CARPETA%20ENTREGA%20A%20RECEPCI&#211;N/PLANEACI&#211;N,%20EVALUACI&#211;N%20Y%20MONITOREO/6.MIR&#180;s/12.%20DICIEMBRE%20MIR/2.MIR%20Inclusi&#243;n%202021%20Diciembre%20Ava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 Inclusión"/>
      <sheetName val="Desglose metas 2021"/>
      <sheetName val="UBR"/>
      <sheetName val="CULTURA"/>
      <sheetName val="CEAMIVIDA"/>
      <sheetName val="CAPIS"/>
      <sheetName val="DIPAM"/>
      <sheetName val="Hoja2"/>
    </sheetNames>
    <sheetDataSet>
      <sheetData sheetId="0"/>
      <sheetData sheetId="1">
        <row r="11">
          <cell r="J11">
            <v>727</v>
          </cell>
          <cell r="K11">
            <v>971</v>
          </cell>
          <cell r="L11">
            <v>1373</v>
          </cell>
          <cell r="M11">
            <v>970</v>
          </cell>
          <cell r="N11">
            <v>1421</v>
          </cell>
          <cell r="O11">
            <v>2220</v>
          </cell>
          <cell r="P11">
            <v>2138</v>
          </cell>
          <cell r="Q11">
            <v>2010</v>
          </cell>
          <cell r="R11">
            <v>693</v>
          </cell>
          <cell r="S11">
            <v>3456</v>
          </cell>
          <cell r="T11">
            <v>4398</v>
          </cell>
          <cell r="U11">
            <v>2820</v>
          </cell>
        </row>
        <row r="17">
          <cell r="J17">
            <v>727</v>
          </cell>
          <cell r="K17">
            <v>971</v>
          </cell>
          <cell r="L17">
            <v>1373</v>
          </cell>
          <cell r="M17">
            <v>970</v>
          </cell>
          <cell r="N17">
            <v>1421</v>
          </cell>
          <cell r="O17">
            <v>2220</v>
          </cell>
          <cell r="P17">
            <v>2138</v>
          </cell>
          <cell r="Q17">
            <v>2010</v>
          </cell>
          <cell r="R17">
            <v>693</v>
          </cell>
          <cell r="S17">
            <v>3456</v>
          </cell>
          <cell r="T17">
            <v>4398</v>
          </cell>
          <cell r="U17">
            <v>2820</v>
          </cell>
        </row>
        <row r="23">
          <cell r="J23">
            <v>816</v>
          </cell>
          <cell r="K23">
            <v>1236</v>
          </cell>
          <cell r="L23">
            <v>1719</v>
          </cell>
          <cell r="M23">
            <v>908</v>
          </cell>
          <cell r="N23">
            <v>1333</v>
          </cell>
          <cell r="O23">
            <v>2194</v>
          </cell>
          <cell r="P23">
            <v>3055</v>
          </cell>
          <cell r="Q23">
            <v>2499</v>
          </cell>
          <cell r="R23">
            <v>2743</v>
          </cell>
          <cell r="S23">
            <v>6855</v>
          </cell>
          <cell r="T23">
            <v>6798</v>
          </cell>
          <cell r="U23">
            <v>8339</v>
          </cell>
        </row>
        <row r="29">
          <cell r="J29">
            <v>727</v>
          </cell>
          <cell r="K29">
            <v>971</v>
          </cell>
          <cell r="L29">
            <v>1373</v>
          </cell>
          <cell r="M29">
            <v>970</v>
          </cell>
          <cell r="N29">
            <v>1421</v>
          </cell>
          <cell r="O29">
            <v>2220</v>
          </cell>
          <cell r="P29">
            <v>2138</v>
          </cell>
          <cell r="Q29">
            <v>2010</v>
          </cell>
          <cell r="R29">
            <v>693</v>
          </cell>
          <cell r="S29">
            <v>3456</v>
          </cell>
          <cell r="T29">
            <v>4398</v>
          </cell>
          <cell r="U29">
            <v>2820</v>
          </cell>
        </row>
        <row r="31">
          <cell r="J31">
            <v>0</v>
          </cell>
          <cell r="K31">
            <v>1835</v>
          </cell>
          <cell r="L31">
            <v>2204</v>
          </cell>
          <cell r="M31">
            <v>0</v>
          </cell>
          <cell r="N31">
            <v>0</v>
          </cell>
          <cell r="O31">
            <v>5444</v>
          </cell>
          <cell r="P31">
            <v>2436</v>
          </cell>
          <cell r="Q31">
            <v>2688</v>
          </cell>
          <cell r="R31">
            <v>1920</v>
          </cell>
          <cell r="S31">
            <v>3480</v>
          </cell>
          <cell r="T31">
            <v>2410</v>
          </cell>
          <cell r="U31">
            <v>2478</v>
          </cell>
        </row>
        <row r="33">
          <cell r="J33">
            <v>0</v>
          </cell>
          <cell r="K33">
            <v>57</v>
          </cell>
          <cell r="L33">
            <v>1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58</v>
          </cell>
          <cell r="R33">
            <v>0</v>
          </cell>
          <cell r="S33">
            <v>0</v>
          </cell>
          <cell r="T33">
            <v>63</v>
          </cell>
          <cell r="U33">
            <v>63</v>
          </cell>
        </row>
        <row r="38">
          <cell r="J38">
            <v>21</v>
          </cell>
          <cell r="K38">
            <v>42</v>
          </cell>
          <cell r="L38">
            <v>32</v>
          </cell>
          <cell r="M38">
            <v>32</v>
          </cell>
          <cell r="N38">
            <v>29</v>
          </cell>
          <cell r="O38">
            <v>93</v>
          </cell>
          <cell r="P38">
            <v>197</v>
          </cell>
          <cell r="Q38">
            <v>86</v>
          </cell>
          <cell r="R38">
            <v>190</v>
          </cell>
          <cell r="S38">
            <v>496</v>
          </cell>
          <cell r="T38">
            <v>1365</v>
          </cell>
          <cell r="U38">
            <v>0</v>
          </cell>
        </row>
        <row r="43">
          <cell r="J43">
            <v>134</v>
          </cell>
          <cell r="K43">
            <v>303</v>
          </cell>
          <cell r="L43">
            <v>220</v>
          </cell>
          <cell r="M43">
            <v>228</v>
          </cell>
          <cell r="N43">
            <v>176</v>
          </cell>
          <cell r="O43">
            <v>255</v>
          </cell>
          <cell r="P43">
            <v>515</v>
          </cell>
          <cell r="Q43">
            <v>320</v>
          </cell>
          <cell r="R43">
            <v>642</v>
          </cell>
          <cell r="S43">
            <v>2148</v>
          </cell>
          <cell r="T43">
            <v>2345</v>
          </cell>
          <cell r="U43">
            <v>1250</v>
          </cell>
        </row>
        <row r="44">
          <cell r="S44">
            <v>1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1</v>
          </cell>
        </row>
        <row r="50">
          <cell r="S50">
            <v>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G57"/>
  <sheetViews>
    <sheetView showGridLines="0" tabSelected="1" view="pageBreakPreview" zoomScale="20" zoomScaleNormal="20" zoomScaleSheetLayoutView="20" workbookViewId="0">
      <selection activeCell="B4" sqref="B4:T4"/>
    </sheetView>
  </sheetViews>
  <sheetFormatPr baseColWidth="10" defaultColWidth="8.85546875" defaultRowHeight="101.25" customHeight="1"/>
  <cols>
    <col min="1" max="1" width="14.5703125" style="2" customWidth="1"/>
    <col min="2" max="2" width="53.42578125" style="311" customWidth="1"/>
    <col min="3" max="3" width="44.85546875" style="311" customWidth="1"/>
    <col min="4" max="4" width="87.42578125" style="311" customWidth="1"/>
    <col min="5" max="5" width="27.5703125" style="311" customWidth="1"/>
    <col min="6" max="6" width="61.28515625" style="311" customWidth="1"/>
    <col min="7" max="7" width="59.5703125" style="311" customWidth="1"/>
    <col min="8" max="8" width="159.140625" style="311" customWidth="1"/>
    <col min="9" max="9" width="93.140625" style="311" customWidth="1"/>
    <col min="10" max="10" width="62" style="311" customWidth="1"/>
    <col min="11" max="11" width="58.28515625" style="311" customWidth="1"/>
    <col min="12" max="12" width="45.7109375" style="311" customWidth="1"/>
    <col min="13" max="13" width="42.42578125" style="311" customWidth="1"/>
    <col min="14" max="14" width="51.28515625" style="311" customWidth="1"/>
    <col min="15" max="15" width="49.42578125" style="311" customWidth="1"/>
    <col min="16" max="16" width="52.42578125" style="311" customWidth="1"/>
    <col min="17" max="17" width="53.5703125" style="311" customWidth="1"/>
    <col min="18" max="18" width="53.42578125" style="311" customWidth="1"/>
    <col min="19" max="19" width="62" style="311" customWidth="1"/>
    <col min="20" max="20" width="79.140625" style="311" customWidth="1"/>
    <col min="21" max="21" width="214.140625" style="311" customWidth="1"/>
    <col min="22" max="22" width="65.7109375" style="311" customWidth="1"/>
    <col min="23" max="23" width="77.85546875" style="311" customWidth="1"/>
    <col min="24" max="24" width="60.140625" style="311" customWidth="1"/>
    <col min="25" max="25" width="64" style="311" customWidth="1"/>
    <col min="26" max="29" width="61.7109375" style="311" customWidth="1"/>
    <col min="30" max="30" width="87.28515625" style="311" bestFit="1" customWidth="1"/>
    <col min="31" max="32" width="87.28515625" style="311" customWidth="1"/>
    <col min="33" max="33" width="82.7109375" style="311" customWidth="1"/>
    <col min="34" max="34" width="82.7109375" style="2" customWidth="1"/>
    <col min="35" max="35" width="102" style="2" customWidth="1"/>
    <col min="36" max="46" width="96.42578125" style="2" customWidth="1"/>
    <col min="47" max="16384" width="8.85546875" style="2"/>
  </cols>
  <sheetData>
    <row r="1" spans="1:241" ht="101.25" customHeight="1" thickBot="1">
      <c r="A1"/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5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1"/>
      <c r="AI1" s="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</row>
    <row r="2" spans="1:241" ht="101.25" customHeight="1" thickBot="1">
      <c r="A2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9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</row>
    <row r="3" spans="1:241" ht="101.25" customHeight="1" thickBot="1">
      <c r="A3"/>
      <c r="B3" s="51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4"/>
      <c r="AI3" s="4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</row>
    <row r="4" spans="1:241" ht="101.25" customHeight="1">
      <c r="A4"/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"/>
      <c r="AI4" s="5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</row>
    <row r="5" spans="1:241" ht="101.25" customHeight="1">
      <c r="A5"/>
      <c r="B5" s="57" t="s">
        <v>3</v>
      </c>
      <c r="C5" s="58"/>
      <c r="D5" s="58"/>
      <c r="E5" s="58"/>
      <c r="F5" s="59"/>
      <c r="G5" s="60" t="s">
        <v>4</v>
      </c>
      <c r="H5" s="58"/>
      <c r="I5" s="58"/>
      <c r="J5" s="58"/>
      <c r="K5" s="58"/>
      <c r="L5" s="59"/>
      <c r="M5" s="61" t="s">
        <v>5</v>
      </c>
      <c r="N5" s="62" t="s">
        <v>6</v>
      </c>
      <c r="O5" s="63"/>
      <c r="P5" s="63"/>
      <c r="Q5" s="63"/>
      <c r="R5" s="63"/>
      <c r="S5" s="63"/>
      <c r="T5" s="64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"/>
      <c r="AI5" s="6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</row>
    <row r="6" spans="1:241" ht="101.25" customHeight="1">
      <c r="A6"/>
      <c r="B6" s="66" t="s">
        <v>7</v>
      </c>
      <c r="C6" s="67"/>
      <c r="D6" s="67"/>
      <c r="E6" s="67"/>
      <c r="F6" s="68"/>
      <c r="G6" s="69" t="s">
        <v>8</v>
      </c>
      <c r="H6" s="69"/>
      <c r="I6" s="69"/>
      <c r="J6" s="69"/>
      <c r="K6" s="69"/>
      <c r="L6" s="69"/>
      <c r="M6" s="70">
        <v>2021</v>
      </c>
      <c r="N6" s="71"/>
      <c r="O6" s="72"/>
      <c r="P6" s="72"/>
      <c r="Q6" s="72"/>
      <c r="R6" s="72"/>
      <c r="S6" s="72"/>
      <c r="T6" s="73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"/>
      <c r="AI6" s="7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</row>
    <row r="7" spans="1:241" ht="101.25" customHeight="1">
      <c r="A7"/>
      <c r="B7" s="75" t="s">
        <v>9</v>
      </c>
      <c r="C7" s="75"/>
      <c r="D7" s="75"/>
      <c r="E7" s="75"/>
      <c r="F7" s="75"/>
      <c r="G7" s="75" t="s">
        <v>10</v>
      </c>
      <c r="H7" s="75"/>
      <c r="I7" s="75"/>
      <c r="J7" s="75"/>
      <c r="K7" s="75"/>
      <c r="L7" s="75"/>
      <c r="M7" s="76" t="s">
        <v>11</v>
      </c>
      <c r="N7" s="76"/>
      <c r="O7" s="76"/>
      <c r="P7" s="76"/>
      <c r="Q7" s="76"/>
      <c r="R7" s="76"/>
      <c r="S7" s="76"/>
      <c r="T7" s="76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"/>
      <c r="AI7" s="6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</row>
    <row r="8" spans="1:241" ht="101.25" customHeight="1" thickBot="1">
      <c r="A8"/>
      <c r="B8" s="77"/>
      <c r="C8" s="78"/>
      <c r="D8" s="78"/>
      <c r="E8" s="78"/>
      <c r="F8" s="79"/>
      <c r="G8" s="80"/>
      <c r="H8" s="81"/>
      <c r="I8" s="81"/>
      <c r="J8" s="81"/>
      <c r="K8" s="81"/>
      <c r="L8" s="82"/>
      <c r="M8" s="83"/>
      <c r="N8" s="84"/>
      <c r="O8" s="84"/>
      <c r="P8" s="84"/>
      <c r="Q8" s="84"/>
      <c r="R8" s="84"/>
      <c r="S8" s="84"/>
      <c r="T8" s="85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"/>
      <c r="AI8" s="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</row>
    <row r="9" spans="1:241" ht="101.25" customHeight="1">
      <c r="A9"/>
      <c r="B9" s="87" t="s">
        <v>12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9"/>
      <c r="AI9" s="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</row>
    <row r="10" spans="1:241" ht="101.25" customHeight="1">
      <c r="A10"/>
      <c r="B10" s="89" t="s">
        <v>13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9"/>
      <c r="AI10" s="9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</row>
    <row r="11" spans="1:241" ht="101.25" customHeight="1">
      <c r="A11"/>
      <c r="B11" s="57" t="s">
        <v>14</v>
      </c>
      <c r="C11" s="58"/>
      <c r="D11" s="58"/>
      <c r="E11" s="59"/>
      <c r="F11" s="90" t="s">
        <v>15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10"/>
      <c r="AI11" s="10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</row>
    <row r="12" spans="1:241" ht="101.25" customHeight="1" thickBot="1">
      <c r="A12"/>
      <c r="B12" s="94" t="s">
        <v>16</v>
      </c>
      <c r="C12" s="95"/>
      <c r="D12" s="95"/>
      <c r="E12" s="96"/>
      <c r="F12" s="97" t="s">
        <v>17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9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10"/>
      <c r="AI12" s="10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</row>
    <row r="13" spans="1:241" ht="101.25" customHeight="1">
      <c r="A13"/>
      <c r="B13" s="55" t="s">
        <v>12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9"/>
      <c r="AI13" s="9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</row>
    <row r="14" spans="1:241" ht="101.25" customHeight="1">
      <c r="A14"/>
      <c r="B14" s="89" t="s">
        <v>18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9"/>
      <c r="AI14" s="9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</row>
    <row r="15" spans="1:241" ht="101.25" customHeight="1">
      <c r="A15"/>
      <c r="B15" s="75" t="s">
        <v>14</v>
      </c>
      <c r="C15" s="75"/>
      <c r="D15" s="75"/>
      <c r="E15" s="75"/>
      <c r="F15" s="90" t="s">
        <v>19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2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10"/>
      <c r="AI15" s="10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</row>
    <row r="16" spans="1:241" ht="409.6" customHeight="1">
      <c r="A16"/>
      <c r="B16" s="75" t="s">
        <v>16</v>
      </c>
      <c r="C16" s="75"/>
      <c r="D16" s="75"/>
      <c r="E16" s="75"/>
      <c r="F16" s="100" t="s">
        <v>20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2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1"/>
      <c r="AI16" s="11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</row>
    <row r="17" spans="1:241" ht="243.75" customHeight="1" thickBot="1">
      <c r="A17"/>
      <c r="B17" s="104" t="s">
        <v>21</v>
      </c>
      <c r="C17" s="105"/>
      <c r="D17" s="105"/>
      <c r="E17" s="106"/>
      <c r="F17" s="107" t="s">
        <v>22</v>
      </c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9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1"/>
      <c r="AI17" s="11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</row>
    <row r="18" spans="1:241" ht="101.25" customHeight="1">
      <c r="A18"/>
      <c r="B18" s="110" t="s">
        <v>12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9"/>
      <c r="AI18" s="9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</row>
    <row r="19" spans="1:241" ht="101.25" customHeight="1">
      <c r="A19"/>
      <c r="B19" s="111" t="s">
        <v>23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9"/>
      <c r="AI19" s="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</row>
    <row r="20" spans="1:241" ht="101.25" customHeight="1">
      <c r="A20"/>
      <c r="B20" s="112" t="s">
        <v>14</v>
      </c>
      <c r="C20" s="113"/>
      <c r="D20" s="113"/>
      <c r="E20" s="114"/>
      <c r="F20" s="90" t="s">
        <v>24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2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10"/>
      <c r="AI20" s="1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</row>
    <row r="21" spans="1:241" ht="101.25" customHeight="1">
      <c r="A21"/>
      <c r="B21" s="112" t="s">
        <v>16</v>
      </c>
      <c r="C21" s="113"/>
      <c r="D21" s="113"/>
      <c r="E21" s="114"/>
      <c r="F21" s="90" t="s">
        <v>25</v>
      </c>
      <c r="G21" s="91"/>
      <c r="H21" s="91"/>
      <c r="I21" s="115"/>
      <c r="J21" s="115"/>
      <c r="K21" s="115"/>
      <c r="L21" s="115"/>
      <c r="M21" s="115"/>
      <c r="N21" s="115"/>
      <c r="O21" s="91"/>
      <c r="P21" s="91"/>
      <c r="Q21" s="91"/>
      <c r="R21" s="91"/>
      <c r="S21" s="91"/>
      <c r="T21" s="92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10"/>
      <c r="AI21" s="10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</row>
    <row r="22" spans="1:241" ht="101.25" customHeight="1">
      <c r="A22"/>
      <c r="B22" s="112" t="s">
        <v>26</v>
      </c>
      <c r="C22" s="113"/>
      <c r="D22" s="113"/>
      <c r="E22" s="114"/>
      <c r="F22" s="116" t="s">
        <v>27</v>
      </c>
      <c r="G22" s="117" t="s">
        <v>28</v>
      </c>
      <c r="H22" s="118" t="s">
        <v>29</v>
      </c>
      <c r="I22" s="117" t="s">
        <v>30</v>
      </c>
      <c r="J22" s="117" t="s">
        <v>31</v>
      </c>
      <c r="K22" s="117"/>
      <c r="L22" s="119"/>
      <c r="M22" s="119"/>
      <c r="N22" s="119"/>
      <c r="O22" s="119"/>
      <c r="P22" s="119"/>
      <c r="Q22" s="119"/>
      <c r="R22" s="119"/>
      <c r="S22" s="119"/>
      <c r="T22" s="120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</row>
    <row r="23" spans="1:241" ht="101.25" customHeight="1" thickBot="1">
      <c r="A23"/>
      <c r="B23" s="112" t="s">
        <v>32</v>
      </c>
      <c r="C23" s="113"/>
      <c r="D23" s="113"/>
      <c r="E23" s="114"/>
      <c r="F23" s="122" t="s">
        <v>33</v>
      </c>
      <c r="G23" s="122" t="s">
        <v>34</v>
      </c>
      <c r="H23" s="122" t="s">
        <v>35</v>
      </c>
      <c r="I23" s="123"/>
      <c r="J23" s="123"/>
      <c r="K23" s="124"/>
      <c r="L23" s="119"/>
      <c r="M23" s="119"/>
      <c r="N23" s="119"/>
      <c r="O23" s="119"/>
      <c r="P23" s="119"/>
      <c r="Q23" s="119"/>
      <c r="R23" s="119"/>
      <c r="S23" s="119"/>
      <c r="T23" s="119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3"/>
      <c r="AI23" s="1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</row>
    <row r="24" spans="1:241" ht="101.25" customHeight="1" thickBot="1">
      <c r="A24"/>
      <c r="B24" s="126"/>
      <c r="C24" s="126"/>
      <c r="D24" s="126"/>
      <c r="E24" s="126"/>
      <c r="F24" s="126"/>
      <c r="G24" s="127"/>
      <c r="H24" s="127"/>
      <c r="I24" s="127"/>
      <c r="J24" s="127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4"/>
      <c r="AI24" s="1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</row>
    <row r="25" spans="1:241" s="15" customFormat="1" ht="101.25" customHeight="1" thickBot="1">
      <c r="B25" s="129" t="s">
        <v>36</v>
      </c>
      <c r="C25" s="129"/>
      <c r="D25" s="129"/>
      <c r="E25" s="130" t="s">
        <v>37</v>
      </c>
      <c r="F25" s="131" t="s">
        <v>38</v>
      </c>
      <c r="G25" s="129" t="s">
        <v>39</v>
      </c>
      <c r="H25" s="129"/>
      <c r="I25" s="129"/>
      <c r="J25" s="129"/>
      <c r="K25" s="129"/>
      <c r="L25" s="129"/>
      <c r="M25" s="132" t="s">
        <v>40</v>
      </c>
      <c r="N25" s="133"/>
      <c r="O25" s="132" t="s">
        <v>41</v>
      </c>
      <c r="P25" s="134"/>
      <c r="Q25" s="133"/>
      <c r="R25" s="135" t="s">
        <v>42</v>
      </c>
      <c r="S25" s="135" t="s">
        <v>43</v>
      </c>
      <c r="T25" s="132" t="s">
        <v>44</v>
      </c>
      <c r="U25" s="136" t="s">
        <v>45</v>
      </c>
      <c r="V25" s="137" t="s">
        <v>46</v>
      </c>
      <c r="W25" s="137" t="s">
        <v>47</v>
      </c>
      <c r="X25" s="137" t="s">
        <v>48</v>
      </c>
      <c r="Y25" s="137" t="s">
        <v>49</v>
      </c>
      <c r="Z25" s="137" t="s">
        <v>50</v>
      </c>
      <c r="AA25" s="137" t="s">
        <v>51</v>
      </c>
      <c r="AB25" s="137" t="s">
        <v>52</v>
      </c>
      <c r="AC25" s="137" t="s">
        <v>53</v>
      </c>
      <c r="AD25" s="137" t="s">
        <v>54</v>
      </c>
      <c r="AE25" s="137" t="s">
        <v>55</v>
      </c>
      <c r="AF25" s="137" t="s">
        <v>56</v>
      </c>
      <c r="AG25" s="137" t="s">
        <v>57</v>
      </c>
      <c r="AH25" s="16"/>
      <c r="AI25" s="17"/>
    </row>
    <row r="26" spans="1:241" s="15" customFormat="1" ht="193.5" customHeight="1">
      <c r="B26" s="131"/>
      <c r="C26" s="131"/>
      <c r="D26" s="131"/>
      <c r="E26" s="138"/>
      <c r="F26" s="139"/>
      <c r="G26" s="140" t="s">
        <v>58</v>
      </c>
      <c r="H26" s="140" t="s">
        <v>59</v>
      </c>
      <c r="I26" s="140" t="s">
        <v>60</v>
      </c>
      <c r="J26" s="141" t="s">
        <v>61</v>
      </c>
      <c r="K26" s="140" t="s">
        <v>62</v>
      </c>
      <c r="L26" s="140" t="s">
        <v>63</v>
      </c>
      <c r="M26" s="142" t="s">
        <v>64</v>
      </c>
      <c r="N26" s="142" t="s">
        <v>65</v>
      </c>
      <c r="O26" s="142" t="s">
        <v>66</v>
      </c>
      <c r="P26" s="142" t="s">
        <v>67</v>
      </c>
      <c r="Q26" s="143" t="s">
        <v>68</v>
      </c>
      <c r="R26" s="144"/>
      <c r="S26" s="144"/>
      <c r="T26" s="145"/>
      <c r="U26" s="136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6"/>
      <c r="AI26" s="17"/>
    </row>
    <row r="27" spans="1:241" ht="409.5" customHeight="1">
      <c r="A27" s="18"/>
      <c r="B27" s="146" t="s">
        <v>69</v>
      </c>
      <c r="C27" s="147" t="s">
        <v>70</v>
      </c>
      <c r="D27" s="147"/>
      <c r="E27" s="148" t="s">
        <v>71</v>
      </c>
      <c r="F27" s="149"/>
      <c r="G27" s="150" t="s">
        <v>72</v>
      </c>
      <c r="H27" s="150" t="s">
        <v>73</v>
      </c>
      <c r="I27" s="151" t="s">
        <v>74</v>
      </c>
      <c r="J27" s="152" t="s">
        <v>75</v>
      </c>
      <c r="K27" s="152" t="s">
        <v>76</v>
      </c>
      <c r="L27" s="152" t="s">
        <v>77</v>
      </c>
      <c r="M27" s="152">
        <v>2020</v>
      </c>
      <c r="N27" s="152" t="s">
        <v>78</v>
      </c>
      <c r="O27" s="153">
        <v>8496</v>
      </c>
      <c r="P27" s="154">
        <v>555852</v>
      </c>
      <c r="Q27" s="155">
        <f>O27/P27</f>
        <v>1.5284644113900823E-2</v>
      </c>
      <c r="R27" s="152" t="s">
        <v>79</v>
      </c>
      <c r="S27" s="152" t="s">
        <v>80</v>
      </c>
      <c r="T27" s="156" t="s">
        <v>81</v>
      </c>
      <c r="U27" s="157" t="s">
        <v>82</v>
      </c>
      <c r="V27" s="158">
        <f>(727)/555852*100</f>
        <v>0.13079021034376057</v>
      </c>
      <c r="W27" s="158">
        <f>(727+971)/555852*100</f>
        <v>0.3054769974741478</v>
      </c>
      <c r="X27" s="158">
        <f>(727+971+1373)/555852*100</f>
        <v>0.55248519390053463</v>
      </c>
      <c r="Y27" s="158">
        <f>(727+971+1373+970)/555852*100</f>
        <v>0.72699207702769808</v>
      </c>
      <c r="Z27" s="158">
        <f>(727+971+1373+970+1421)/555852*100</f>
        <v>0.9826356656088312</v>
      </c>
      <c r="AA27" s="158">
        <f>(727+971+1373+970+1421+2220)/555852*100</f>
        <v>1.3820225527658441</v>
      </c>
      <c r="AB27" s="158">
        <f>(727+971+1373+970+1421+2220+2138)/555852*100</f>
        <v>1.7666573116584989</v>
      </c>
      <c r="AC27" s="158">
        <f>(727+971+1373+970+1421+2220+2138+2010)/555852*100</f>
        <v>2.1282643581384972</v>
      </c>
      <c r="AD27" s="158">
        <f>(727+971+1373+970+1421+2220+2138+2010+693)/555852*100</f>
        <v>2.2529378323726457</v>
      </c>
      <c r="AE27" s="158">
        <f>(SUM('[1]Desglose metas 2021'!J11:S11)/555852*100)</f>
        <v>2.8746860675143742</v>
      </c>
      <c r="AF27" s="158">
        <f>(SUM('[1]Desglose metas 2021'!J11:T11)/555852*100)</f>
        <v>3.6659038736929972</v>
      </c>
      <c r="AG27" s="158">
        <f>(SUM('[1]Desglose metas 2021'!J11:U11)/555852*100)</f>
        <v>4.1732331627843386</v>
      </c>
      <c r="AH27" s="19"/>
      <c r="AI27" s="20"/>
    </row>
    <row r="28" spans="1:241" ht="409.5" customHeight="1">
      <c r="A28" s="18"/>
      <c r="B28" s="146" t="s">
        <v>83</v>
      </c>
      <c r="C28" s="147" t="s">
        <v>84</v>
      </c>
      <c r="D28" s="147"/>
      <c r="E28" s="148" t="s">
        <v>85</v>
      </c>
      <c r="F28" s="149"/>
      <c r="G28" s="150" t="s">
        <v>86</v>
      </c>
      <c r="H28" s="159" t="s">
        <v>87</v>
      </c>
      <c r="I28" s="151" t="s">
        <v>88</v>
      </c>
      <c r="J28" s="152" t="s">
        <v>75</v>
      </c>
      <c r="K28" s="152" t="s">
        <v>76</v>
      </c>
      <c r="L28" s="152" t="s">
        <v>77</v>
      </c>
      <c r="M28" s="152">
        <v>2020</v>
      </c>
      <c r="N28" s="152" t="s">
        <v>89</v>
      </c>
      <c r="O28" s="153">
        <v>8496</v>
      </c>
      <c r="P28" s="154">
        <v>250576</v>
      </c>
      <c r="Q28" s="155">
        <f>O28/P28</f>
        <v>3.3905880850520403E-2</v>
      </c>
      <c r="R28" s="152" t="s">
        <v>79</v>
      </c>
      <c r="S28" s="152" t="s">
        <v>90</v>
      </c>
      <c r="T28" s="156" t="s">
        <v>81</v>
      </c>
      <c r="U28" s="157" t="s">
        <v>91</v>
      </c>
      <c r="V28" s="158">
        <f>(727)/250576*100</f>
        <v>0.29013153693889282</v>
      </c>
      <c r="W28" s="158">
        <f>(727+971)/250576*100</f>
        <v>0.67763872038822548</v>
      </c>
      <c r="X28" s="158">
        <f>(727+971+1373)/250576*100</f>
        <v>1.2255762722686929</v>
      </c>
      <c r="Y28" s="158">
        <f>(727+971+1373+970)/250576*100</f>
        <v>1.6126843751995401</v>
      </c>
      <c r="Z28" s="158">
        <f>(727+971+1373+970+1421)/250576*100</f>
        <v>2.1797777919673074</v>
      </c>
      <c r="AA28" s="158">
        <f>(727+971+1373+970+1421+2220)/250576*100</f>
        <v>3.0657365430049164</v>
      </c>
      <c r="AB28" s="158">
        <f>(727+971+1373+970+1421+2220+2138)/250576*100</f>
        <v>3.918970691526722</v>
      </c>
      <c r="AC28" s="158">
        <f>(727+971+1373+970+1421+2220+2138+2010)/250576*100</f>
        <v>4.7211225336823963</v>
      </c>
      <c r="AD28" s="158">
        <f>(727+971+1373+970+1421+2220+2138+2010+693)/250576*100</f>
        <v>4.9976853329927842</v>
      </c>
      <c r="AE28" s="158">
        <f>(SUM('[1]Desglose metas 2021'!J17:S17)/250576*100)</f>
        <v>6.3769076048783599</v>
      </c>
      <c r="AF28" s="158">
        <f>(SUM('[1]Desglose metas 2021'!J17:T17)/250576*100)</f>
        <v>8.1320637251771917</v>
      </c>
      <c r="AG28" s="158">
        <f>(SUM('[1]Desglose metas 2021'!J17:U17)/250576*100)</f>
        <v>9.2574707873060458</v>
      </c>
      <c r="AH28" s="19"/>
      <c r="AI28" s="20"/>
    </row>
    <row r="29" spans="1:241" ht="409.6" customHeight="1">
      <c r="A29" s="18"/>
      <c r="B29" s="160" t="s">
        <v>92</v>
      </c>
      <c r="C29" s="161" t="s">
        <v>93</v>
      </c>
      <c r="D29" s="161" t="s">
        <v>94</v>
      </c>
      <c r="E29" s="162" t="s">
        <v>95</v>
      </c>
      <c r="F29" s="163"/>
      <c r="G29" s="164" t="s">
        <v>96</v>
      </c>
      <c r="H29" s="165" t="s">
        <v>97</v>
      </c>
      <c r="I29" s="164" t="s">
        <v>98</v>
      </c>
      <c r="J29" s="163" t="s">
        <v>99</v>
      </c>
      <c r="K29" s="163" t="s">
        <v>100</v>
      </c>
      <c r="L29" s="166" t="s">
        <v>101</v>
      </c>
      <c r="M29" s="167">
        <v>2020</v>
      </c>
      <c r="N29" s="167" t="s">
        <v>102</v>
      </c>
      <c r="O29" s="168">
        <v>42539</v>
      </c>
      <c r="P29" s="169">
        <v>42539</v>
      </c>
      <c r="Q29" s="170" t="s">
        <v>103</v>
      </c>
      <c r="R29" s="164" t="s">
        <v>104</v>
      </c>
      <c r="S29" s="163" t="s">
        <v>105</v>
      </c>
      <c r="T29" s="171" t="s">
        <v>106</v>
      </c>
      <c r="U29" s="172" t="s">
        <v>107</v>
      </c>
      <c r="V29" s="173">
        <f>(816)/42539</f>
        <v>1.9182397329509392E-2</v>
      </c>
      <c r="W29" s="173">
        <f>(816+1236)/42539</f>
        <v>4.8238087402148619E-2</v>
      </c>
      <c r="X29" s="173">
        <f>(816+1236+1719)/42539</f>
        <v>8.8648064129387152E-2</v>
      </c>
      <c r="Y29" s="173">
        <f>(816+1236+1719+908)/42539</f>
        <v>0.10999318272643926</v>
      </c>
      <c r="Z29" s="173">
        <f>(816+1236+1719+908+1333)/42539</f>
        <v>0.14132913326594418</v>
      </c>
      <c r="AA29" s="173">
        <f>(816+1236+1719+908+1333+2194)/42539</f>
        <v>0.19290533392886527</v>
      </c>
      <c r="AB29" s="173">
        <f>(816+1236+1719+908+1333+2194+3055)/42539</f>
        <v>0.26472178471520252</v>
      </c>
      <c r="AC29" s="173">
        <f>(816+1236+1719+908+1333+2194+3055+2499)/42539</f>
        <v>0.32346787653682502</v>
      </c>
      <c r="AD29" s="173">
        <f>(816+1236+1719+908+1333+2194+3055+2499+2743)/42539</f>
        <v>0.38794988128540869</v>
      </c>
      <c r="AE29" s="173">
        <f>(SUM('[1]Desglose metas 2021'!J23:S23)/42539)</f>
        <v>0.54909612355720638</v>
      </c>
      <c r="AF29" s="173">
        <f>(SUM('[1]Desglose metas 2021'!J23:T23)/42539)</f>
        <v>0.70890241895672201</v>
      </c>
      <c r="AG29" s="173">
        <f>(SUM('[1]Desglose metas 2021'!J23:U23)/42539)</f>
        <v>0.90493429558757843</v>
      </c>
      <c r="AH29" s="21"/>
      <c r="AI29" s="22"/>
    </row>
    <row r="30" spans="1:241" ht="409.6" customHeight="1">
      <c r="A30" s="18"/>
      <c r="B30" s="160"/>
      <c r="C30" s="161"/>
      <c r="D30" s="161"/>
      <c r="E30" s="162" t="s">
        <v>95</v>
      </c>
      <c r="F30" s="163"/>
      <c r="G30" s="164" t="s">
        <v>108</v>
      </c>
      <c r="H30" s="165" t="s">
        <v>109</v>
      </c>
      <c r="I30" s="164" t="s">
        <v>110</v>
      </c>
      <c r="J30" s="163" t="s">
        <v>99</v>
      </c>
      <c r="K30" s="163" t="s">
        <v>100</v>
      </c>
      <c r="L30" s="166" t="s">
        <v>101</v>
      </c>
      <c r="M30" s="167">
        <v>2020</v>
      </c>
      <c r="N30" s="167" t="s">
        <v>111</v>
      </c>
      <c r="O30" s="168">
        <v>8496</v>
      </c>
      <c r="P30" s="169">
        <v>8496</v>
      </c>
      <c r="Q30" s="174" t="s">
        <v>112</v>
      </c>
      <c r="R30" s="164" t="s">
        <v>104</v>
      </c>
      <c r="S30" s="163" t="s">
        <v>105</v>
      </c>
      <c r="T30" s="171" t="s">
        <v>106</v>
      </c>
      <c r="U30" s="172" t="s">
        <v>113</v>
      </c>
      <c r="V30" s="173">
        <f>(727)/8496*100</f>
        <v>8.5569679849340865</v>
      </c>
      <c r="W30" s="173">
        <f>(727+971)/8496*100</f>
        <v>19.985875706214689</v>
      </c>
      <c r="X30" s="173">
        <f>(727+971+1373)/8496*100</f>
        <v>36.146421845574388</v>
      </c>
      <c r="Y30" s="173">
        <f>(727+971+1373+970)/8496*100</f>
        <v>47.563559322033896</v>
      </c>
      <c r="Z30" s="173">
        <f>(727+971+1373+970+1421)/8496*100</f>
        <v>64.289077212806021</v>
      </c>
      <c r="AA30" s="173">
        <f>(727+971+1373+970+1421+2220)/8496*100</f>
        <v>90.419020715630879</v>
      </c>
      <c r="AB30" s="173">
        <f>(727+971+1373+970+1421+2220+2138)/8496*100</f>
        <v>115.58380414312617</v>
      </c>
      <c r="AC30" s="173">
        <f>(727+971+1373+970+1421+2220+2138+2010)/8496*100</f>
        <v>139.24199623352166</v>
      </c>
      <c r="AD30" s="173">
        <f>(727+971+1373+970+1421+2220+2138+2010+693)/8496*100</f>
        <v>147.3987758945386</v>
      </c>
      <c r="AE30" s="173">
        <f>(SUM('[1]Desglose metas 2021'!J29:S29)/8496*100)</f>
        <v>188.07674199623352</v>
      </c>
      <c r="AF30" s="173">
        <f>(SUM('[1]Desglose metas 2021'!J29:T29)/8496*100)</f>
        <v>239.84227871939737</v>
      </c>
      <c r="AG30" s="173">
        <f>(SUM('[1]Desglose metas 2021'!J29:U29)/8496*100)</f>
        <v>273.03436911487762</v>
      </c>
      <c r="AH30" s="21"/>
      <c r="AI30" s="22"/>
    </row>
    <row r="31" spans="1:241" ht="261" customHeight="1">
      <c r="A31"/>
      <c r="B31" s="160"/>
      <c r="C31" s="175" t="s">
        <v>114</v>
      </c>
      <c r="D31" s="175" t="s">
        <v>115</v>
      </c>
      <c r="E31" s="176" t="s">
        <v>95</v>
      </c>
      <c r="F31" s="177"/>
      <c r="G31" s="178" t="s">
        <v>116</v>
      </c>
      <c r="H31" s="179" t="s">
        <v>117</v>
      </c>
      <c r="I31" s="178" t="s">
        <v>118</v>
      </c>
      <c r="J31" s="177" t="s">
        <v>99</v>
      </c>
      <c r="K31" s="177" t="s">
        <v>100</v>
      </c>
      <c r="L31" s="180" t="s">
        <v>101</v>
      </c>
      <c r="M31" s="181">
        <v>2020</v>
      </c>
      <c r="N31" s="182" t="s">
        <v>119</v>
      </c>
      <c r="O31" s="183">
        <v>16764</v>
      </c>
      <c r="P31" s="184">
        <v>16764</v>
      </c>
      <c r="Q31" s="185" t="s">
        <v>120</v>
      </c>
      <c r="R31" s="177" t="s">
        <v>121</v>
      </c>
      <c r="S31" s="178" t="s">
        <v>105</v>
      </c>
      <c r="T31" s="177" t="s">
        <v>122</v>
      </c>
      <c r="U31" s="186" t="s">
        <v>123</v>
      </c>
      <c r="V31" s="187">
        <f>(0)/16764*100</f>
        <v>0</v>
      </c>
      <c r="W31" s="188">
        <f>(0+1835)/16764*100</f>
        <v>10.946074922452876</v>
      </c>
      <c r="X31" s="188">
        <f>(0+1835+2204)/16764*100</f>
        <v>24.093295156287279</v>
      </c>
      <c r="Y31" s="188">
        <f>(0+1835+2204+0)/16764*100</f>
        <v>24.093295156287279</v>
      </c>
      <c r="Z31" s="188">
        <f>(0+1835+2204+0+0)/16764*100</f>
        <v>24.093295156287279</v>
      </c>
      <c r="AA31" s="188">
        <f>(0+1835+2204+0+0+5444)/16764*100</f>
        <v>56.567644953471728</v>
      </c>
      <c r="AB31" s="188">
        <f>(0+1835+2204+0+0+5444+2436)/16764*100</f>
        <v>71.098783106657123</v>
      </c>
      <c r="AC31" s="188">
        <f>(0+1835+2204+0+0+5444+2436+2688)/16764*100</f>
        <v>87.133142448103072</v>
      </c>
      <c r="AD31" s="188">
        <f>(0+1835+2204+0+0+5444+2436+2688+1920)/16764*100</f>
        <v>98.586256263421618</v>
      </c>
      <c r="AE31" s="188">
        <f>(SUM('[1]Desglose metas 2021'!J31:S31)/16764*100)</f>
        <v>119.34502505368647</v>
      </c>
      <c r="AF31" s="188">
        <f>(SUM('[1]Desglose metas 2021'!J31:T31)/16764*100)</f>
        <v>133.72106895728945</v>
      </c>
      <c r="AG31" s="188">
        <f>(SUM('[1]Desglose metas 2021'!J31:U31)/16764*100)</f>
        <v>148.50274397518493</v>
      </c>
      <c r="AH31" s="23"/>
      <c r="AI31" s="24"/>
    </row>
    <row r="32" spans="1:241" ht="231" customHeight="1">
      <c r="A32"/>
      <c r="B32" s="160"/>
      <c r="C32" s="175"/>
      <c r="D32" s="175"/>
      <c r="E32" s="176" t="s">
        <v>95</v>
      </c>
      <c r="F32" s="177"/>
      <c r="G32" s="178" t="s">
        <v>124</v>
      </c>
      <c r="H32" s="179" t="s">
        <v>125</v>
      </c>
      <c r="I32" s="178" t="s">
        <v>126</v>
      </c>
      <c r="J32" s="177" t="s">
        <v>99</v>
      </c>
      <c r="K32" s="177" t="s">
        <v>100</v>
      </c>
      <c r="L32" s="180" t="s">
        <v>101</v>
      </c>
      <c r="M32" s="181">
        <v>2020</v>
      </c>
      <c r="N32" s="182" t="s">
        <v>127</v>
      </c>
      <c r="O32" s="185">
        <v>65</v>
      </c>
      <c r="P32" s="177">
        <v>65</v>
      </c>
      <c r="Q32" s="185" t="s">
        <v>128</v>
      </c>
      <c r="R32" s="177" t="s">
        <v>121</v>
      </c>
      <c r="S32" s="178" t="s">
        <v>105</v>
      </c>
      <c r="T32" s="177" t="s">
        <v>122</v>
      </c>
      <c r="U32" s="186" t="s">
        <v>129</v>
      </c>
      <c r="V32" s="187">
        <f>(0)/65*100</f>
        <v>0</v>
      </c>
      <c r="W32" s="188">
        <f>(0+57)/65*100</f>
        <v>87.692307692307693</v>
      </c>
      <c r="X32" s="188">
        <f>(0+57+1)/65*100</f>
        <v>89.230769230769241</v>
      </c>
      <c r="Y32" s="188">
        <f>(0+57+1+0)/65*100</f>
        <v>89.230769230769241</v>
      </c>
      <c r="Z32" s="188">
        <f>(0+57+1+0+0)/65*100</f>
        <v>89.230769230769241</v>
      </c>
      <c r="AA32" s="188">
        <f>(0+57+1+0+0+0)/65*100</f>
        <v>89.230769230769241</v>
      </c>
      <c r="AB32" s="188">
        <f>(0+57+1+0+0+0+0)/65*100</f>
        <v>89.230769230769241</v>
      </c>
      <c r="AC32" s="188">
        <f>(0+57+1+0+0+0+0+0)/65*100</f>
        <v>89.230769230769241</v>
      </c>
      <c r="AD32" s="188">
        <f>(0+57+1+0+0+0+0+0+0)/65*100</f>
        <v>89.230769230769241</v>
      </c>
      <c r="AE32" s="188">
        <f>(SUM('[1]Desglose metas 2021'!J33:S33)/65*100)</f>
        <v>178.46153846153848</v>
      </c>
      <c r="AF32" s="188">
        <f>(SUM('[1]Desglose metas 2021'!J33:T33)/65*100)</f>
        <v>275.38461538461536</v>
      </c>
      <c r="AG32" s="188">
        <f>(SUM('[1]Desglose metas 2021'!J33:U33)/65*100)</f>
        <v>372.30769230769232</v>
      </c>
      <c r="AH32" s="23"/>
      <c r="AI32" s="24"/>
    </row>
    <row r="33" spans="1:35" ht="225" customHeight="1">
      <c r="A33"/>
      <c r="B33" s="160"/>
      <c r="C33" s="189" t="s">
        <v>130</v>
      </c>
      <c r="D33" s="189" t="s">
        <v>131</v>
      </c>
      <c r="E33" s="190" t="s">
        <v>95</v>
      </c>
      <c r="F33" s="191"/>
      <c r="G33" s="192" t="s">
        <v>132</v>
      </c>
      <c r="H33" s="193" t="s">
        <v>133</v>
      </c>
      <c r="I33" s="192" t="s">
        <v>134</v>
      </c>
      <c r="J33" s="191" t="s">
        <v>99</v>
      </c>
      <c r="K33" s="191" t="s">
        <v>100</v>
      </c>
      <c r="L33" s="191" t="s">
        <v>101</v>
      </c>
      <c r="M33" s="194">
        <v>2020</v>
      </c>
      <c r="N33" s="194" t="s">
        <v>135</v>
      </c>
      <c r="O33" s="195">
        <v>7766</v>
      </c>
      <c r="P33" s="196">
        <v>7776</v>
      </c>
      <c r="Q33" s="195" t="s">
        <v>136</v>
      </c>
      <c r="R33" s="192" t="s">
        <v>137</v>
      </c>
      <c r="S33" s="192" t="s">
        <v>105</v>
      </c>
      <c r="T33" s="197" t="s">
        <v>138</v>
      </c>
      <c r="U33" s="198" t="s">
        <v>139</v>
      </c>
      <c r="V33" s="199">
        <f>(21)/7776*100</f>
        <v>0.27006172839506171</v>
      </c>
      <c r="W33" s="199">
        <f>(21+42)/7776*100</f>
        <v>0.81018518518518512</v>
      </c>
      <c r="X33" s="199">
        <f>(21+42+32)/7776*100</f>
        <v>1.2217078189300412</v>
      </c>
      <c r="Y33" s="199">
        <f>(21+42+32+32)/7776*100</f>
        <v>1.6332304526748969</v>
      </c>
      <c r="Z33" s="199">
        <f>(21+42+32+32+29)/7776*100</f>
        <v>2.0061728395061729</v>
      </c>
      <c r="AA33" s="199">
        <f>(21+42+32+32+29+91)/7776*100</f>
        <v>3.1764403292181069</v>
      </c>
      <c r="AB33" s="199">
        <f>(21+42+32+32+29+91+197)/7776*100</f>
        <v>5.7098765432098766</v>
      </c>
      <c r="AC33" s="199">
        <f>(21+42+32+32+29+91+197+88)/7776*100</f>
        <v>6.8415637860082299</v>
      </c>
      <c r="AD33" s="199">
        <f>(21+42+32+32+29+91+197+88+190)/7776*100</f>
        <v>9.2849794238683128</v>
      </c>
      <c r="AE33" s="199">
        <f>(SUM('[1]Desglose metas 2021'!J38:S38)/7776*100)</f>
        <v>15.663580246913581</v>
      </c>
      <c r="AF33" s="199">
        <f>(SUM('[1]Desglose metas 2021'!J38:T38)/7776*100)</f>
        <v>33.217592592592595</v>
      </c>
      <c r="AG33" s="199">
        <f>(SUM('[1]Desglose metas 2021'!J38:U38)/7776*100)</f>
        <v>33.217592592592595</v>
      </c>
      <c r="AH33" s="25"/>
      <c r="AI33" s="26"/>
    </row>
    <row r="34" spans="1:35" ht="330" customHeight="1" thickBot="1">
      <c r="A34"/>
      <c r="B34" s="160"/>
      <c r="C34" s="189"/>
      <c r="D34" s="189"/>
      <c r="E34" s="190" t="s">
        <v>95</v>
      </c>
      <c r="F34" s="191"/>
      <c r="G34" s="200" t="s">
        <v>140</v>
      </c>
      <c r="H34" s="201" t="s">
        <v>141</v>
      </c>
      <c r="I34" s="200" t="s">
        <v>142</v>
      </c>
      <c r="J34" s="202" t="s">
        <v>99</v>
      </c>
      <c r="K34" s="202" t="s">
        <v>100</v>
      </c>
      <c r="L34" s="202" t="s">
        <v>101</v>
      </c>
      <c r="M34" s="203">
        <v>2020</v>
      </c>
      <c r="N34" s="203" t="s">
        <v>143</v>
      </c>
      <c r="O34" s="204">
        <v>5011</v>
      </c>
      <c r="P34" s="205">
        <v>5011</v>
      </c>
      <c r="Q34" s="206" t="s">
        <v>144</v>
      </c>
      <c r="R34" s="200" t="s">
        <v>137</v>
      </c>
      <c r="S34" s="200" t="s">
        <v>105</v>
      </c>
      <c r="T34" s="207" t="s">
        <v>138</v>
      </c>
      <c r="U34" s="208" t="s">
        <v>145</v>
      </c>
      <c r="V34" s="199">
        <f>(134)/5011*100</f>
        <v>2.6741169427260028</v>
      </c>
      <c r="W34" s="199">
        <f>(134+303)/5011*100</f>
        <v>8.7208142087407712</v>
      </c>
      <c r="X34" s="199">
        <f>(134+303+220)/5011*100</f>
        <v>13.111155457992416</v>
      </c>
      <c r="Y34" s="199">
        <f>(134+303+220+228)/5011*100</f>
        <v>17.661145479944125</v>
      </c>
      <c r="Z34" s="199">
        <f>(134+303+220+228+176)/5011*100</f>
        <v>21.17341847934544</v>
      </c>
      <c r="AA34" s="199">
        <f>(134+303+220+228+176+255)/5011*100</f>
        <v>26.262223109159848</v>
      </c>
      <c r="AB34" s="199">
        <f>(134+303+220+228+176+255+515)/5011*100</f>
        <v>36.539612851726197</v>
      </c>
      <c r="AC34" s="199">
        <f>(134+303+220+228+176+255+515+320)/5011*100</f>
        <v>42.925563759728597</v>
      </c>
      <c r="AD34" s="199">
        <f>(134+303+220+228+176+255+515+320+642)/5011*100</f>
        <v>55.737377768908402</v>
      </c>
      <c r="AE34" s="199">
        <f>(SUM('[1]Desglose metas 2021'!J43:S43)/5011*100)</f>
        <v>98.603073238874472</v>
      </c>
      <c r="AF34" s="199">
        <f>(SUM('[1]Desglose metas 2021'!J43:T43)/5011*100)</f>
        <v>145.40011973657954</v>
      </c>
      <c r="AG34" s="199">
        <f>(SUM('[1]Desglose metas 2021'!J43:U43)/5011*100)</f>
        <v>170.34524047096389</v>
      </c>
      <c r="AH34" s="25"/>
      <c r="AI34" s="27"/>
    </row>
    <row r="35" spans="1:35" ht="101.25" customHeight="1" thickBot="1">
      <c r="A35"/>
      <c r="B35" s="209" t="s">
        <v>146</v>
      </c>
      <c r="C35" s="210" t="s">
        <v>147</v>
      </c>
      <c r="D35" s="211"/>
      <c r="E35" s="211"/>
      <c r="F35" s="212"/>
      <c r="G35" s="213" t="str">
        <f>D29</f>
        <v>2.1 Servicios otorgados a las personas con discapacidad y personas adultas mayores para contribuir a la inclusión</v>
      </c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5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8"/>
      <c r="AI35" s="28"/>
    </row>
    <row r="36" spans="1:35" ht="287.25" customHeight="1" thickBot="1">
      <c r="A36"/>
      <c r="B36" s="209"/>
      <c r="C36" s="217" t="s">
        <v>148</v>
      </c>
      <c r="D36" s="218" t="s">
        <v>149</v>
      </c>
      <c r="E36" s="219"/>
      <c r="F36" s="220"/>
      <c r="G36" s="221" t="s">
        <v>150</v>
      </c>
      <c r="H36" s="221" t="s">
        <v>151</v>
      </c>
      <c r="I36" s="221" t="s">
        <v>152</v>
      </c>
      <c r="J36" s="221" t="s">
        <v>99</v>
      </c>
      <c r="K36" s="221" t="s">
        <v>100</v>
      </c>
      <c r="L36" s="221" t="s">
        <v>153</v>
      </c>
      <c r="M36" s="222">
        <v>2020</v>
      </c>
      <c r="N36" s="222">
        <v>5</v>
      </c>
      <c r="O36" s="221" t="s">
        <v>154</v>
      </c>
      <c r="P36" s="221">
        <v>5</v>
      </c>
      <c r="Q36" s="223">
        <v>5</v>
      </c>
      <c r="R36" s="224" t="s">
        <v>79</v>
      </c>
      <c r="S36" s="225" t="s">
        <v>79</v>
      </c>
      <c r="T36" s="226" t="s">
        <v>155</v>
      </c>
      <c r="U36" s="226" t="s">
        <v>156</v>
      </c>
      <c r="V36" s="227">
        <v>1</v>
      </c>
      <c r="W36" s="227">
        <v>2</v>
      </c>
      <c r="X36" s="227">
        <v>0</v>
      </c>
      <c r="Y36" s="227">
        <v>3</v>
      </c>
      <c r="Z36" s="227">
        <v>0</v>
      </c>
      <c r="AA36" s="227">
        <v>4</v>
      </c>
      <c r="AB36" s="227">
        <v>4</v>
      </c>
      <c r="AC36" s="227">
        <v>4</v>
      </c>
      <c r="AD36" s="227">
        <v>1</v>
      </c>
      <c r="AE36" s="227">
        <f>SUM('[1]Desglose metas 2021'!S44)</f>
        <v>1</v>
      </c>
      <c r="AF36" s="227">
        <f>SUM('[1]Desglose metas 2021'!T44)</f>
        <v>0</v>
      </c>
      <c r="AG36" s="227">
        <f>SUM('[1]Desglose metas 2021'!U44)</f>
        <v>0</v>
      </c>
      <c r="AH36" s="29"/>
      <c r="AI36" s="30"/>
    </row>
    <row r="37" spans="1:35" ht="292.5" customHeight="1" thickBot="1">
      <c r="A37"/>
      <c r="B37" s="209"/>
      <c r="C37" s="228" t="s">
        <v>157</v>
      </c>
      <c r="D37" s="229" t="s">
        <v>158</v>
      </c>
      <c r="E37" s="230"/>
      <c r="F37" s="231"/>
      <c r="G37" s="232" t="s">
        <v>159</v>
      </c>
      <c r="H37" s="232" t="s">
        <v>160</v>
      </c>
      <c r="I37" s="232" t="s">
        <v>161</v>
      </c>
      <c r="J37" s="232" t="s">
        <v>99</v>
      </c>
      <c r="K37" s="232" t="s">
        <v>100</v>
      </c>
      <c r="L37" s="232" t="s">
        <v>153</v>
      </c>
      <c r="M37" s="233">
        <v>2020</v>
      </c>
      <c r="N37" s="233">
        <v>1</v>
      </c>
      <c r="O37" s="232" t="s">
        <v>154</v>
      </c>
      <c r="P37" s="232">
        <v>5</v>
      </c>
      <c r="Q37" s="220">
        <v>5</v>
      </c>
      <c r="R37" s="234" t="s">
        <v>159</v>
      </c>
      <c r="S37" s="235" t="s">
        <v>159</v>
      </c>
      <c r="T37" s="236" t="s">
        <v>162</v>
      </c>
      <c r="U37" s="237" t="s">
        <v>163</v>
      </c>
      <c r="V37" s="238">
        <v>0</v>
      </c>
      <c r="W37" s="238">
        <v>1</v>
      </c>
      <c r="X37" s="238">
        <v>0</v>
      </c>
      <c r="Y37" s="238">
        <v>0</v>
      </c>
      <c r="Z37" s="238">
        <v>0</v>
      </c>
      <c r="AA37" s="238">
        <v>2</v>
      </c>
      <c r="AB37" s="238">
        <v>2</v>
      </c>
      <c r="AC37" s="238">
        <v>2</v>
      </c>
      <c r="AD37" s="238">
        <v>0</v>
      </c>
      <c r="AE37" s="227">
        <f>SUM('[1]Desglose metas 2021'!S45)</f>
        <v>0</v>
      </c>
      <c r="AF37" s="227">
        <f>SUM('[1]Desglose metas 2021'!T45)</f>
        <v>0</v>
      </c>
      <c r="AG37" s="227">
        <f>SUM('[1]Desglose metas 2021'!U45)</f>
        <v>0</v>
      </c>
      <c r="AH37" s="31"/>
      <c r="AI37" s="32"/>
    </row>
    <row r="38" spans="1:35" ht="101.25" customHeight="1" thickBot="1">
      <c r="A38"/>
      <c r="B38" s="209"/>
      <c r="C38" s="239" t="s">
        <v>164</v>
      </c>
      <c r="D38" s="240"/>
      <c r="E38" s="240"/>
      <c r="F38" s="241"/>
      <c r="G38" s="242" t="str">
        <f>D31</f>
        <v>2.2 Apoyos entregados  a personas con discapacidad y adultas mayores para contribuir a la inclusión</v>
      </c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4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33"/>
      <c r="AI38" s="24"/>
    </row>
    <row r="39" spans="1:35" ht="101.25" customHeight="1" thickBot="1">
      <c r="A39"/>
      <c r="B39" s="209"/>
      <c r="C39" s="246" t="s">
        <v>165</v>
      </c>
      <c r="D39" s="247" t="s">
        <v>166</v>
      </c>
      <c r="E39" s="248"/>
      <c r="F39" s="249"/>
      <c r="G39" s="250" t="s">
        <v>150</v>
      </c>
      <c r="H39" s="250" t="s">
        <v>151</v>
      </c>
      <c r="I39" s="250" t="s">
        <v>152</v>
      </c>
      <c r="J39" s="250" t="s">
        <v>99</v>
      </c>
      <c r="K39" s="250" t="s">
        <v>100</v>
      </c>
      <c r="L39" s="250" t="s">
        <v>153</v>
      </c>
      <c r="M39" s="251">
        <v>2020</v>
      </c>
      <c r="N39" s="251">
        <v>1</v>
      </c>
      <c r="O39" s="250" t="s">
        <v>154</v>
      </c>
      <c r="P39" s="250">
        <v>1</v>
      </c>
      <c r="Q39" s="250">
        <v>1</v>
      </c>
      <c r="R39" s="252" t="s">
        <v>79</v>
      </c>
      <c r="S39" s="253" t="s">
        <v>79</v>
      </c>
      <c r="T39" s="253" t="s">
        <v>155</v>
      </c>
      <c r="U39" s="254" t="s">
        <v>167</v>
      </c>
      <c r="V39" s="255">
        <v>0</v>
      </c>
      <c r="W39" s="255">
        <v>1</v>
      </c>
      <c r="X39" s="255">
        <v>0</v>
      </c>
      <c r="Y39" s="255">
        <v>2</v>
      </c>
      <c r="Z39" s="255">
        <v>2</v>
      </c>
      <c r="AA39" s="255">
        <v>2</v>
      </c>
      <c r="AB39" s="255">
        <v>2</v>
      </c>
      <c r="AC39" s="255">
        <v>2</v>
      </c>
      <c r="AD39" s="255">
        <v>0</v>
      </c>
      <c r="AE39" s="255">
        <f>SUM('[1]Desglose metas 2021'!S46)</f>
        <v>0</v>
      </c>
      <c r="AF39" s="255">
        <f>SUM('[1]Desglose metas 2021'!T46)</f>
        <v>0</v>
      </c>
      <c r="AG39" s="255">
        <f>SUM('[1]Desglose metas 2021'!U46)</f>
        <v>0</v>
      </c>
      <c r="AH39" s="34"/>
      <c r="AI39" s="35"/>
    </row>
    <row r="40" spans="1:35" ht="101.25" customHeight="1" thickBot="1">
      <c r="A40"/>
      <c r="B40" s="209"/>
      <c r="C40" s="256" t="s">
        <v>168</v>
      </c>
      <c r="D40" s="257" t="s">
        <v>169</v>
      </c>
      <c r="E40" s="258"/>
      <c r="F40" s="259"/>
      <c r="G40" s="260" t="s">
        <v>170</v>
      </c>
      <c r="H40" s="260" t="s">
        <v>171</v>
      </c>
      <c r="I40" s="260" t="s">
        <v>172</v>
      </c>
      <c r="J40" s="260" t="s">
        <v>99</v>
      </c>
      <c r="K40" s="260" t="s">
        <v>100</v>
      </c>
      <c r="L40" s="260" t="s">
        <v>153</v>
      </c>
      <c r="M40" s="261">
        <v>2020</v>
      </c>
      <c r="N40" s="261">
        <v>1</v>
      </c>
      <c r="O40" s="262" t="s">
        <v>154</v>
      </c>
      <c r="P40" s="262">
        <v>1</v>
      </c>
      <c r="Q40" s="263">
        <v>1</v>
      </c>
      <c r="R40" s="264" t="s">
        <v>173</v>
      </c>
      <c r="S40" s="265" t="s">
        <v>173</v>
      </c>
      <c r="T40" s="265" t="s">
        <v>155</v>
      </c>
      <c r="U40" s="266" t="s">
        <v>174</v>
      </c>
      <c r="V40" s="255">
        <v>0</v>
      </c>
      <c r="W40" s="255">
        <v>1</v>
      </c>
      <c r="X40" s="255">
        <v>0</v>
      </c>
      <c r="Y40" s="255">
        <v>2</v>
      </c>
      <c r="Z40" s="255">
        <v>2</v>
      </c>
      <c r="AA40" s="255">
        <v>2</v>
      </c>
      <c r="AB40" s="255">
        <v>2</v>
      </c>
      <c r="AC40" s="255">
        <v>2</v>
      </c>
      <c r="AD40" s="255">
        <v>0</v>
      </c>
      <c r="AE40" s="255">
        <f>SUM('[1]Desglose metas 2021'!S47)</f>
        <v>0</v>
      </c>
      <c r="AF40" s="255">
        <f>SUM('[1]Desglose metas 2021'!T47)</f>
        <v>0</v>
      </c>
      <c r="AG40" s="255">
        <f>SUM('[1]Desglose metas 2021'!U47)</f>
        <v>0</v>
      </c>
      <c r="AH40" s="34"/>
      <c r="AI40" s="35"/>
    </row>
    <row r="41" spans="1:35" ht="101.25" customHeight="1" thickBot="1">
      <c r="B41" s="209"/>
      <c r="C41" s="267" t="s">
        <v>175</v>
      </c>
      <c r="D41" s="268"/>
      <c r="E41" s="268"/>
      <c r="F41" s="269"/>
      <c r="G41" s="270" t="str">
        <f>D33</f>
        <v>2.3 Capacitaciones impartidas a personas con discapacidad y adultas mayores para contribuir a la inclusión</v>
      </c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2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36"/>
      <c r="AI41" s="37"/>
    </row>
    <row r="42" spans="1:35" ht="337.5" customHeight="1" thickBot="1">
      <c r="B42" s="274"/>
      <c r="C42" s="275" t="s">
        <v>176</v>
      </c>
      <c r="D42" s="276" t="s">
        <v>177</v>
      </c>
      <c r="E42" s="276"/>
      <c r="F42" s="277"/>
      <c r="G42" s="278" t="s">
        <v>178</v>
      </c>
      <c r="H42" s="278" t="s">
        <v>179</v>
      </c>
      <c r="I42" s="278" t="s">
        <v>180</v>
      </c>
      <c r="J42" s="278" t="s">
        <v>99</v>
      </c>
      <c r="K42" s="278" t="s">
        <v>100</v>
      </c>
      <c r="L42" s="278" t="s">
        <v>153</v>
      </c>
      <c r="M42" s="279">
        <v>2020</v>
      </c>
      <c r="N42" s="279">
        <v>18</v>
      </c>
      <c r="O42" s="278" t="s">
        <v>154</v>
      </c>
      <c r="P42" s="278">
        <v>4</v>
      </c>
      <c r="Q42" s="280">
        <v>4</v>
      </c>
      <c r="R42" s="281" t="s">
        <v>178</v>
      </c>
      <c r="S42" s="282" t="s">
        <v>178</v>
      </c>
      <c r="T42" s="283" t="s">
        <v>138</v>
      </c>
      <c r="U42" s="283" t="s">
        <v>181</v>
      </c>
      <c r="V42" s="284">
        <v>0</v>
      </c>
      <c r="W42" s="284">
        <v>1</v>
      </c>
      <c r="X42" s="284">
        <v>0</v>
      </c>
      <c r="Y42" s="284">
        <v>2</v>
      </c>
      <c r="Z42" s="284">
        <v>2</v>
      </c>
      <c r="AA42" s="284">
        <v>2</v>
      </c>
      <c r="AB42" s="284">
        <v>3</v>
      </c>
      <c r="AC42" s="284">
        <v>3</v>
      </c>
      <c r="AD42" s="284">
        <v>0</v>
      </c>
      <c r="AE42" s="284">
        <f>SUM('[1]Desglose metas 2021'!S48)</f>
        <v>0</v>
      </c>
      <c r="AF42" s="284">
        <f>SUM('[1]Desglose metas 2021'!T48)</f>
        <v>0</v>
      </c>
      <c r="AG42" s="284">
        <f>SUM('[1]Desglose metas 2021'!U48)</f>
        <v>0</v>
      </c>
      <c r="AH42" s="38"/>
      <c r="AI42" s="39"/>
    </row>
    <row r="43" spans="1:35" ht="294.75" customHeight="1" thickBot="1">
      <c r="B43" s="274"/>
      <c r="C43" s="275" t="s">
        <v>182</v>
      </c>
      <c r="D43" s="276" t="s">
        <v>183</v>
      </c>
      <c r="E43" s="276"/>
      <c r="F43" s="277"/>
      <c r="G43" s="277" t="s">
        <v>184</v>
      </c>
      <c r="H43" s="277" t="s">
        <v>185</v>
      </c>
      <c r="I43" s="277" t="s">
        <v>186</v>
      </c>
      <c r="J43" s="277" t="s">
        <v>99</v>
      </c>
      <c r="K43" s="277" t="s">
        <v>100</v>
      </c>
      <c r="L43" s="277" t="s">
        <v>153</v>
      </c>
      <c r="M43" s="194">
        <v>2020</v>
      </c>
      <c r="N43" s="194">
        <v>0</v>
      </c>
      <c r="O43" s="277" t="s">
        <v>154</v>
      </c>
      <c r="P43" s="277">
        <v>3</v>
      </c>
      <c r="Q43" s="285">
        <v>3</v>
      </c>
      <c r="R43" s="286" t="s">
        <v>184</v>
      </c>
      <c r="S43" s="192" t="s">
        <v>184</v>
      </c>
      <c r="T43" s="287" t="s">
        <v>187</v>
      </c>
      <c r="U43" s="288" t="s">
        <v>188</v>
      </c>
      <c r="V43" s="284">
        <v>0</v>
      </c>
      <c r="W43" s="284">
        <v>1</v>
      </c>
      <c r="X43" s="284">
        <v>2</v>
      </c>
      <c r="Y43" s="284">
        <v>2</v>
      </c>
      <c r="Z43" s="284">
        <v>2</v>
      </c>
      <c r="AA43" s="284">
        <v>2</v>
      </c>
      <c r="AB43" s="284">
        <v>2</v>
      </c>
      <c r="AC43" s="284">
        <v>2</v>
      </c>
      <c r="AD43" s="284">
        <v>0</v>
      </c>
      <c r="AE43" s="284">
        <f>SUM('[1]Desglose metas 2021'!S49)</f>
        <v>1</v>
      </c>
      <c r="AF43" s="284">
        <f>SUM('[1]Desglose metas 2021'!T49)</f>
        <v>0</v>
      </c>
      <c r="AG43" s="284">
        <f>SUM('[1]Desglose metas 2021'!U49)</f>
        <v>0</v>
      </c>
      <c r="AH43" s="38"/>
      <c r="AI43" s="40"/>
    </row>
    <row r="44" spans="1:35" ht="255" customHeight="1" thickBot="1">
      <c r="B44" s="274"/>
      <c r="C44" s="275" t="s">
        <v>189</v>
      </c>
      <c r="D44" s="276" t="s">
        <v>190</v>
      </c>
      <c r="E44" s="276"/>
      <c r="F44" s="277"/>
      <c r="G44" s="277" t="s">
        <v>191</v>
      </c>
      <c r="H44" s="277" t="s">
        <v>192</v>
      </c>
      <c r="I44" s="277" t="s">
        <v>193</v>
      </c>
      <c r="J44" s="277" t="s">
        <v>99</v>
      </c>
      <c r="K44" s="277" t="s">
        <v>100</v>
      </c>
      <c r="L44" s="277" t="s">
        <v>153</v>
      </c>
      <c r="M44" s="194">
        <v>2020</v>
      </c>
      <c r="N44" s="194">
        <v>5</v>
      </c>
      <c r="O44" s="277" t="s">
        <v>154</v>
      </c>
      <c r="P44" s="277">
        <v>5</v>
      </c>
      <c r="Q44" s="285">
        <v>5</v>
      </c>
      <c r="R44" s="289" t="s">
        <v>191</v>
      </c>
      <c r="S44" s="290" t="s">
        <v>191</v>
      </c>
      <c r="T44" s="291" t="s">
        <v>138</v>
      </c>
      <c r="U44" s="292" t="s">
        <v>194</v>
      </c>
      <c r="V44" s="284">
        <v>0</v>
      </c>
      <c r="W44" s="284">
        <v>1</v>
      </c>
      <c r="X44" s="284">
        <v>2</v>
      </c>
      <c r="Y44" s="284">
        <v>3</v>
      </c>
      <c r="Z44" s="284">
        <v>4</v>
      </c>
      <c r="AA44" s="284">
        <v>6</v>
      </c>
      <c r="AB44" s="284">
        <v>9</v>
      </c>
      <c r="AC44" s="284">
        <v>9</v>
      </c>
      <c r="AD44" s="284">
        <v>1</v>
      </c>
      <c r="AE44" s="284">
        <f>SUM('[1]Desglose metas 2021'!S50)</f>
        <v>2</v>
      </c>
      <c r="AF44" s="284">
        <f>SUM('[1]Desglose metas 2021'!T50)</f>
        <v>0</v>
      </c>
      <c r="AG44" s="284">
        <f>SUM('[1]Desglose metas 2021'!U50)</f>
        <v>0</v>
      </c>
      <c r="AH44" s="38"/>
      <c r="AI44" s="40"/>
    </row>
    <row r="45" spans="1:35" ht="101.25" customHeight="1"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41"/>
      <c r="AI45" s="41"/>
    </row>
    <row r="46" spans="1:35" ht="101.25" customHeight="1">
      <c r="B46" s="293"/>
      <c r="C46" s="295" t="s">
        <v>195</v>
      </c>
      <c r="D46" s="295"/>
      <c r="E46" s="295"/>
      <c r="F46" s="295"/>
      <c r="G46" s="295"/>
      <c r="H46" s="296"/>
      <c r="I46" s="297"/>
      <c r="J46" s="295" t="s">
        <v>196</v>
      </c>
      <c r="K46" s="295"/>
      <c r="L46" s="295"/>
      <c r="M46" s="293"/>
      <c r="N46" s="298" t="s">
        <v>197</v>
      </c>
      <c r="O46" s="298"/>
      <c r="P46" s="298"/>
      <c r="Q46" s="298"/>
      <c r="R46" s="298"/>
      <c r="S46" s="299"/>
      <c r="T46" s="299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42"/>
      <c r="AI46" s="42"/>
    </row>
    <row r="47" spans="1:35" ht="101.25" customHeight="1">
      <c r="B47" s="293"/>
      <c r="C47" s="301"/>
      <c r="D47" s="301"/>
      <c r="E47" s="301"/>
      <c r="F47" s="301"/>
      <c r="G47" s="301"/>
      <c r="H47" s="301"/>
      <c r="I47" s="297"/>
      <c r="J47" s="301"/>
      <c r="K47" s="301"/>
      <c r="L47" s="301"/>
      <c r="M47" s="293"/>
      <c r="N47" s="302"/>
      <c r="O47" s="302"/>
      <c r="P47" s="302"/>
      <c r="Q47" s="302"/>
      <c r="R47" s="302"/>
      <c r="S47" s="299"/>
      <c r="T47" s="299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42"/>
      <c r="AI47" s="42"/>
    </row>
    <row r="48" spans="1:35" ht="101.25" customHeight="1">
      <c r="B48" s="303" t="s">
        <v>198</v>
      </c>
      <c r="C48" s="302"/>
      <c r="D48" s="302"/>
      <c r="E48" s="302"/>
      <c r="F48" s="302"/>
      <c r="G48" s="302"/>
      <c r="H48" s="302"/>
      <c r="I48" s="293"/>
      <c r="J48" s="302"/>
      <c r="K48" s="302"/>
      <c r="L48" s="302"/>
      <c r="M48" s="293"/>
      <c r="N48" s="302"/>
      <c r="O48" s="302"/>
      <c r="P48" s="302"/>
      <c r="Q48" s="302"/>
      <c r="R48" s="302"/>
      <c r="S48" s="299"/>
      <c r="T48" s="299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42"/>
      <c r="AI48" s="42"/>
    </row>
    <row r="49" spans="2:35" ht="101.25" customHeight="1">
      <c r="B49" s="304" t="s">
        <v>199</v>
      </c>
      <c r="C49" s="305"/>
      <c r="D49" s="305"/>
      <c r="E49" s="305"/>
      <c r="F49" s="305"/>
      <c r="G49" s="305"/>
      <c r="H49" s="128"/>
      <c r="I49" s="294"/>
      <c r="J49" s="305"/>
      <c r="K49" s="305"/>
      <c r="L49" s="305"/>
      <c r="M49" s="294"/>
      <c r="N49" s="306"/>
      <c r="O49" s="306"/>
      <c r="P49" s="306"/>
      <c r="Q49" s="306"/>
      <c r="R49" s="306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42"/>
      <c r="AI49" s="42"/>
    </row>
    <row r="50" spans="2:35" ht="101.25" customHeight="1">
      <c r="B50" s="304" t="s">
        <v>200</v>
      </c>
      <c r="C50" s="305"/>
      <c r="D50" s="305"/>
      <c r="E50" s="305"/>
      <c r="F50" s="305"/>
      <c r="G50" s="305"/>
      <c r="H50" s="128"/>
      <c r="I50" s="294"/>
      <c r="J50" s="305"/>
      <c r="K50" s="305"/>
      <c r="L50" s="305"/>
      <c r="M50" s="294"/>
      <c r="N50" s="306"/>
      <c r="O50" s="306"/>
      <c r="P50" s="306"/>
      <c r="Q50" s="306"/>
      <c r="R50" s="306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42"/>
      <c r="AI50" s="42"/>
    </row>
    <row r="51" spans="2:35" ht="101.25" customHeight="1">
      <c r="B51" s="300"/>
      <c r="C51" s="307"/>
      <c r="D51" s="307"/>
      <c r="E51" s="307"/>
      <c r="F51" s="307"/>
      <c r="G51" s="307"/>
      <c r="H51" s="308"/>
      <c r="I51" s="294"/>
      <c r="J51" s="307"/>
      <c r="K51" s="307"/>
      <c r="L51" s="307"/>
      <c r="M51" s="294"/>
      <c r="N51" s="307"/>
      <c r="O51" s="307"/>
      <c r="P51" s="307"/>
      <c r="Q51" s="307"/>
      <c r="R51" s="307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42"/>
      <c r="AI51" s="42"/>
    </row>
    <row r="52" spans="2:35" ht="101.25" customHeight="1"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42"/>
      <c r="AI52" s="42"/>
    </row>
    <row r="53" spans="2:35" ht="101.25" customHeight="1"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42"/>
      <c r="AI53" s="42"/>
    </row>
    <row r="54" spans="2:35" ht="101.25" customHeight="1"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42"/>
      <c r="AI54" s="42"/>
    </row>
    <row r="55" spans="2:35" ht="101.25" customHeight="1">
      <c r="B55" s="309" t="s">
        <v>201</v>
      </c>
      <c r="C55" s="310" t="s">
        <v>202</v>
      </c>
    </row>
    <row r="56" spans="2:35" ht="101.25" customHeight="1">
      <c r="B56" s="309"/>
      <c r="C56" s="312" t="s">
        <v>203</v>
      </c>
    </row>
    <row r="57" spans="2:35" ht="101.25" customHeight="1">
      <c r="B57" s="309"/>
      <c r="C57" s="313" t="s">
        <v>204</v>
      </c>
    </row>
  </sheetData>
  <sheetProtection algorithmName="SHA-512" hashValue="DTs/GvABZYDhDu50XKD52SfQBmTv4OVy74RrjdaJG66SjB5+eu8Mg5G5PhG58tjz+aoYuFuCEoK3XdIvpZSMTw==" saltValue="XMNNPhvd0Asslly84dX/Sg==" spinCount="100000" sheet="1" objects="1" scenarios="1"/>
  <dataConsolidate/>
  <mergeCells count="89">
    <mergeCell ref="C49:G49"/>
    <mergeCell ref="J49:L49"/>
    <mergeCell ref="C50:G50"/>
    <mergeCell ref="J50:L50"/>
    <mergeCell ref="B55:B57"/>
    <mergeCell ref="G41:T41"/>
    <mergeCell ref="D42:E42"/>
    <mergeCell ref="D43:E43"/>
    <mergeCell ref="D44:E44"/>
    <mergeCell ref="C46:G46"/>
    <mergeCell ref="J46:L46"/>
    <mergeCell ref="N46:R46"/>
    <mergeCell ref="B35:B44"/>
    <mergeCell ref="C35:F35"/>
    <mergeCell ref="G35:T35"/>
    <mergeCell ref="D36:E36"/>
    <mergeCell ref="D37:E37"/>
    <mergeCell ref="C38:F38"/>
    <mergeCell ref="G38:T38"/>
    <mergeCell ref="D39:E39"/>
    <mergeCell ref="D40:E40"/>
    <mergeCell ref="C41:F41"/>
    <mergeCell ref="B29:B34"/>
    <mergeCell ref="C29:C30"/>
    <mergeCell ref="D29:D30"/>
    <mergeCell ref="C31:C32"/>
    <mergeCell ref="D31:D32"/>
    <mergeCell ref="C33:C34"/>
    <mergeCell ref="D33:D34"/>
    <mergeCell ref="AD25:AD26"/>
    <mergeCell ref="AE25:AE26"/>
    <mergeCell ref="AF25:AF26"/>
    <mergeCell ref="AG25:AG26"/>
    <mergeCell ref="C27:D27"/>
    <mergeCell ref="C28:D28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25:W26"/>
    <mergeCell ref="B25:D26"/>
    <mergeCell ref="E25:E26"/>
    <mergeCell ref="F25:F26"/>
    <mergeCell ref="G25:L25"/>
    <mergeCell ref="M25:N25"/>
    <mergeCell ref="O25:Q25"/>
    <mergeCell ref="B20:E20"/>
    <mergeCell ref="F20:T20"/>
    <mergeCell ref="B21:E21"/>
    <mergeCell ref="F21:T21"/>
    <mergeCell ref="B22:E22"/>
    <mergeCell ref="B23:E23"/>
    <mergeCell ref="B16:E16"/>
    <mergeCell ref="F16:T16"/>
    <mergeCell ref="B17:E17"/>
    <mergeCell ref="F17:T17"/>
    <mergeCell ref="B18:T18"/>
    <mergeCell ref="B19:T19"/>
    <mergeCell ref="B12:E12"/>
    <mergeCell ref="F12:T12"/>
    <mergeCell ref="B13:T13"/>
    <mergeCell ref="B14:T14"/>
    <mergeCell ref="B15:E15"/>
    <mergeCell ref="F15:T15"/>
    <mergeCell ref="G8:L8"/>
    <mergeCell ref="M8:T8"/>
    <mergeCell ref="B9:T9"/>
    <mergeCell ref="B10:T10"/>
    <mergeCell ref="B11:E11"/>
    <mergeCell ref="F11:T11"/>
    <mergeCell ref="B6:F6"/>
    <mergeCell ref="G6:L6"/>
    <mergeCell ref="N6:T6"/>
    <mergeCell ref="B7:F7"/>
    <mergeCell ref="G7:L7"/>
    <mergeCell ref="M7:T7"/>
    <mergeCell ref="B2:T2"/>
    <mergeCell ref="B3:T3"/>
    <mergeCell ref="B4:T4"/>
    <mergeCell ref="B5:F5"/>
    <mergeCell ref="G5:L5"/>
    <mergeCell ref="N5:T5"/>
  </mergeCells>
  <dataValidations count="1">
    <dataValidation type="list" allowBlank="1" showInputMessage="1" showErrorMessage="1" sqref="F20:AI21 E29:E34 J42:L44 J36:L37 J27:L34 J39:L40 B6:L6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scale="10" firstPageNumber="0" fitToHeight="0" orientation="landscape" useFirstPageNumber="1" r:id="rId1"/>
  <rowBreaks count="3" manualBreakCount="3">
    <brk id="24" max="29" man="1"/>
    <brk id="32" max="29" man="1"/>
    <brk id="41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MIR Inclusión</vt:lpstr>
      <vt:lpstr>'MIR Inclusión'!Área_de_impresión</vt:lpstr>
      <vt:lpstr>'MIR Inclusión'!Print_Area_0</vt:lpstr>
      <vt:lpstr>'MIR Inclusión'!Títulos_a_imprimir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2022-01-25T17:28:39Z</dcterms:created>
  <dcterms:modified xsi:type="dcterms:W3CDTF">2022-01-25T17:29:48Z</dcterms:modified>
</cp:coreProperties>
</file>