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2812D8F8-84C3-4798-953E-03EB57A1AACD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" sheetId="3" r:id="rId1"/>
    <sheet name="FIN PROPÓSITO" sheetId="5" state="hidden" r:id="rId2"/>
    <sheet name="Estático" sheetId="6" state="hidden" r:id="rId3"/>
    <sheet name="Porfinporproposito" sheetId="7" state="hidden" r:id="rId4"/>
    <sheet name="Hoja 3" sheetId="8" state="hidden" r:id="rId5"/>
    <sheet name="FIN" sheetId="9" state="hidden" r:id="rId6"/>
    <sheet name="PROPÓSITO" sheetId="10" state="hidden" r:id="rId7"/>
    <sheet name="Hoja3" sheetId="11" state="hidden" r:id="rId8"/>
  </sheets>
  <calcPr calcId="191029"/>
</workbook>
</file>

<file path=xl/calcChain.xml><?xml version="1.0" encoding="utf-8"?>
<calcChain xmlns="http://schemas.openxmlformats.org/spreadsheetml/2006/main">
  <c r="O34" i="6" l="1"/>
  <c r="O33" i="6"/>
  <c r="F6" i="10"/>
  <c r="F4" i="10"/>
  <c r="F2" i="10"/>
  <c r="E6" i="9"/>
  <c r="E4" i="9"/>
  <c r="E2" i="9"/>
  <c r="C18" i="8"/>
  <c r="E15" i="8"/>
  <c r="B13" i="8"/>
  <c r="E10" i="8"/>
  <c r="A8" i="8"/>
  <c r="D5" i="8"/>
  <c r="C2" i="8"/>
  <c r="F19" i="7"/>
  <c r="B18" i="7"/>
  <c r="J16" i="7"/>
  <c r="F15" i="7"/>
  <c r="B14" i="7"/>
  <c r="J12" i="7"/>
  <c r="F11" i="7"/>
  <c r="B10" i="7"/>
  <c r="J8" i="7"/>
  <c r="F7" i="7"/>
  <c r="B6" i="7"/>
  <c r="J4" i="7"/>
  <c r="F3" i="7"/>
  <c r="B2" i="7"/>
  <c r="AC48" i="6"/>
  <c r="X47" i="6"/>
  <c r="S46" i="6"/>
  <c r="E6" i="10"/>
  <c r="E4" i="10"/>
  <c r="E2" i="10"/>
  <c r="D6" i="9"/>
  <c r="D2" i="9"/>
  <c r="D17" i="8"/>
  <c r="F14" i="8"/>
  <c r="C12" i="8"/>
  <c r="F9" i="8"/>
  <c r="E6" i="8"/>
  <c r="B4" i="8"/>
  <c r="D1" i="8"/>
  <c r="M18" i="7"/>
  <c r="I17" i="7"/>
  <c r="E16" i="7"/>
  <c r="M14" i="7"/>
  <c r="I13" i="7"/>
  <c r="E12" i="7"/>
  <c r="M10" i="7"/>
  <c r="I9" i="7"/>
  <c r="E8" i="7"/>
  <c r="M6" i="7"/>
  <c r="I5" i="7"/>
  <c r="E4" i="7"/>
  <c r="M2" i="7"/>
  <c r="Y49" i="6"/>
  <c r="T48" i="6"/>
  <c r="AD46" i="6"/>
  <c r="C6" i="10"/>
  <c r="C4" i="10"/>
  <c r="C2" i="10"/>
  <c r="B6" i="9"/>
  <c r="B4" i="9"/>
  <c r="B2" i="9"/>
  <c r="F17" i="8"/>
  <c r="B15" i="8"/>
  <c r="A12" i="8"/>
  <c r="D9" i="8"/>
  <c r="A7" i="8"/>
  <c r="D4" i="8"/>
  <c r="F1" i="8"/>
  <c r="C19" i="7"/>
  <c r="K17" i="7"/>
  <c r="G16" i="7"/>
  <c r="C15" i="7"/>
  <c r="K13" i="7"/>
  <c r="G12" i="7"/>
  <c r="C11" i="7"/>
  <c r="K9" i="7"/>
  <c r="G8" i="7"/>
  <c r="C7" i="7"/>
  <c r="K5" i="7"/>
  <c r="G4" i="7"/>
  <c r="C3" i="7"/>
  <c r="AA49" i="6"/>
  <c r="Z48" i="6"/>
  <c r="U47" i="6"/>
  <c r="B6" i="10"/>
  <c r="B4" i="10"/>
  <c r="B2" i="10"/>
  <c r="A6" i="9"/>
  <c r="A4" i="9"/>
  <c r="A2" i="9"/>
  <c r="E17" i="8"/>
  <c r="A15" i="8"/>
  <c r="D12" i="8"/>
  <c r="A10" i="8"/>
  <c r="D7" i="8"/>
  <c r="C4" i="8"/>
  <c r="E1" i="8"/>
  <c r="B19" i="7"/>
  <c r="J17" i="7"/>
  <c r="F16" i="7"/>
  <c r="B15" i="7"/>
  <c r="J13" i="7"/>
  <c r="F12" i="7"/>
  <c r="B11" i="7"/>
  <c r="J9" i="7"/>
  <c r="F8" i="7"/>
  <c r="B7" i="7"/>
  <c r="J5" i="7"/>
  <c r="F4" i="7"/>
  <c r="B3" i="7"/>
  <c r="AD49" i="6"/>
  <c r="Y48" i="6"/>
  <c r="T47" i="6"/>
  <c r="AD45" i="6"/>
  <c r="A6" i="10"/>
  <c r="A4" i="10"/>
  <c r="A2" i="10"/>
  <c r="D5" i="9"/>
  <c r="D1" i="9"/>
  <c r="F16" i="8"/>
  <c r="B14" i="8"/>
  <c r="E11" i="8"/>
  <c r="B9" i="8"/>
  <c r="A6" i="8"/>
  <c r="D3" i="8"/>
  <c r="M19" i="7"/>
  <c r="I18" i="7"/>
  <c r="E17" i="7"/>
  <c r="M15" i="7"/>
  <c r="I14" i="7"/>
  <c r="E13" i="7"/>
  <c r="M11" i="7"/>
  <c r="I10" i="7"/>
  <c r="E9" i="7"/>
  <c r="M7" i="7"/>
  <c r="I6" i="7"/>
  <c r="E5" i="7"/>
  <c r="M3" i="7"/>
  <c r="I2" i="7"/>
  <c r="U49" i="6"/>
  <c r="AA47" i="6"/>
  <c r="E7" i="10"/>
  <c r="G5" i="10"/>
  <c r="G3" i="10"/>
  <c r="G1" i="10"/>
  <c r="F5" i="9"/>
  <c r="F3" i="9"/>
  <c r="F1" i="9"/>
  <c r="B17" i="8"/>
  <c r="D14" i="8"/>
  <c r="C11" i="8"/>
  <c r="F8" i="8"/>
  <c r="C6" i="8"/>
  <c r="F3" i="8"/>
  <c r="B1" i="8"/>
  <c r="K18" i="7"/>
  <c r="G17" i="7"/>
  <c r="C16" i="7"/>
  <c r="K14" i="7"/>
  <c r="G13" i="7"/>
  <c r="C12" i="7"/>
  <c r="K10" i="7"/>
  <c r="G9" i="7"/>
  <c r="C8" i="7"/>
  <c r="K6" i="7"/>
  <c r="G5" i="7"/>
  <c r="C4" i="7"/>
  <c r="K2" i="7"/>
  <c r="W49" i="6"/>
  <c r="V48" i="6"/>
  <c r="AB46" i="6"/>
  <c r="G7" i="10"/>
  <c r="F5" i="10"/>
  <c r="F3" i="10"/>
  <c r="F1" i="10"/>
  <c r="E5" i="9"/>
  <c r="E3" i="9"/>
  <c r="E1" i="9"/>
  <c r="A17" i="8"/>
  <c r="C14" i="8"/>
  <c r="F11" i="8"/>
  <c r="C9" i="8"/>
  <c r="F6" i="8"/>
  <c r="E3" i="8"/>
  <c r="A1" i="8"/>
  <c r="J18" i="7"/>
  <c r="F17" i="7"/>
  <c r="B16" i="7"/>
  <c r="J14" i="7"/>
  <c r="F13" i="7"/>
  <c r="B12" i="7"/>
  <c r="J10" i="7"/>
  <c r="F9" i="7"/>
  <c r="B8" i="7"/>
  <c r="J6" i="7"/>
  <c r="F5" i="7"/>
  <c r="B4" i="7"/>
  <c r="J2" i="7"/>
  <c r="Z49" i="6"/>
  <c r="U48" i="6"/>
  <c r="AA46" i="6"/>
  <c r="F7" i="10"/>
  <c r="E5" i="10"/>
  <c r="E3" i="10"/>
  <c r="E1" i="10"/>
  <c r="D4" i="9"/>
  <c r="F18" i="8"/>
  <c r="B16" i="8"/>
  <c r="E13" i="8"/>
  <c r="A11" i="8"/>
  <c r="D8" i="8"/>
  <c r="C5" i="8"/>
  <c r="F2" i="8"/>
  <c r="I19" i="7"/>
  <c r="E18" i="7"/>
  <c r="M16" i="7"/>
  <c r="I15" i="7"/>
  <c r="E14" i="7"/>
  <c r="M12" i="7"/>
  <c r="I11" i="7"/>
  <c r="E10" i="7"/>
  <c r="M8" i="7"/>
  <c r="I7" i="7"/>
  <c r="E6" i="7"/>
  <c r="M4" i="7"/>
  <c r="I3" i="7"/>
  <c r="E2" i="7"/>
  <c r="AB48" i="6"/>
  <c r="W47" i="6"/>
  <c r="D7" i="10"/>
  <c r="C5" i="10"/>
  <c r="C3" i="10"/>
  <c r="C1" i="10"/>
  <c r="B5" i="9"/>
  <c r="B3" i="9"/>
  <c r="B1" i="9"/>
  <c r="D16" i="8"/>
  <c r="C13" i="8"/>
  <c r="F10" i="8"/>
  <c r="B8" i="8"/>
  <c r="E5" i="8"/>
  <c r="B3" i="8"/>
  <c r="K19" i="7"/>
  <c r="G18" i="7"/>
  <c r="C17" i="7"/>
  <c r="K15" i="7"/>
  <c r="G14" i="7"/>
  <c r="C13" i="7"/>
  <c r="K11" i="7"/>
  <c r="G10" i="7"/>
  <c r="C9" i="7"/>
  <c r="K7" i="7"/>
  <c r="G6" i="7"/>
  <c r="C5" i="7"/>
  <c r="K3" i="7"/>
  <c r="G2" i="7"/>
  <c r="S49" i="6"/>
  <c r="AC47" i="6"/>
  <c r="X46" i="6"/>
  <c r="A7" i="10"/>
  <c r="E18" i="8"/>
  <c r="F5" i="8"/>
  <c r="D17" i="7"/>
  <c r="L11" i="7"/>
  <c r="H6" i="7"/>
  <c r="X49" i="6"/>
  <c r="Y45" i="6"/>
  <c r="S44" i="6"/>
  <c r="AC42" i="6"/>
  <c r="X41" i="6"/>
  <c r="S40" i="6"/>
  <c r="AC38" i="6"/>
  <c r="X37" i="6"/>
  <c r="S36" i="6"/>
  <c r="B17" i="5"/>
  <c r="B13" i="5"/>
  <c r="A5" i="5"/>
  <c r="C1" i="5"/>
  <c r="C6" i="9"/>
  <c r="C15" i="8"/>
  <c r="B5" i="8"/>
  <c r="L16" i="7"/>
  <c r="H11" i="7"/>
  <c r="D6" i="7"/>
  <c r="T49" i="6"/>
  <c r="X45" i="6"/>
  <c r="V44" i="6"/>
  <c r="AB42" i="6"/>
  <c r="W41" i="6"/>
  <c r="V40" i="6"/>
  <c r="AB38" i="6"/>
  <c r="W37" i="6"/>
  <c r="V36" i="6"/>
  <c r="G5" i="9"/>
  <c r="E14" i="8"/>
  <c r="E4" i="8"/>
  <c r="H16" i="7"/>
  <c r="D11" i="7"/>
  <c r="C7" i="10"/>
  <c r="A5" i="9"/>
  <c r="F13" i="8"/>
  <c r="A3" i="8"/>
  <c r="J15" i="7"/>
  <c r="F10" i="7"/>
  <c r="B5" i="7"/>
  <c r="AB47" i="6"/>
  <c r="A3" i="10"/>
  <c r="D15" i="8"/>
  <c r="F4" i="8"/>
  <c r="I16" i="7"/>
  <c r="E11" i="7"/>
  <c r="M5" i="7"/>
  <c r="X48" i="6"/>
  <c r="G2" i="10"/>
  <c r="D18" i="8"/>
  <c r="E7" i="8"/>
  <c r="C18" i="7"/>
  <c r="K12" i="7"/>
  <c r="G7" i="7"/>
  <c r="C2" i="7"/>
  <c r="AA45" i="6"/>
  <c r="G2" i="9"/>
  <c r="C3" i="8"/>
  <c r="H14" i="7"/>
  <c r="L7" i="7"/>
  <c r="W48" i="6"/>
  <c r="AA44" i="6"/>
  <c r="V43" i="6"/>
  <c r="T41" i="6"/>
  <c r="Z39" i="6"/>
  <c r="AB37" i="6"/>
  <c r="AD35" i="6"/>
  <c r="B15" i="5"/>
  <c r="C6" i="5"/>
  <c r="D6" i="10"/>
  <c r="C2" i="9"/>
  <c r="F7" i="8"/>
  <c r="H15" i="7"/>
  <c r="L8" i="7"/>
  <c r="D2" i="7"/>
  <c r="S45" i="6"/>
  <c r="Y43" i="6"/>
  <c r="AA41" i="6"/>
  <c r="AC39" i="6"/>
  <c r="T38" i="6"/>
  <c r="Z36" i="6"/>
  <c r="G3" i="9"/>
  <c r="E9" i="8"/>
  <c r="L17" i="7"/>
  <c r="L9" i="7"/>
  <c r="H4" i="7"/>
  <c r="U46" i="6"/>
  <c r="Y44" i="6"/>
  <c r="T43" i="6"/>
  <c r="AD41" i="6"/>
  <c r="Y40" i="6"/>
  <c r="T39" i="6"/>
  <c r="AD37" i="6"/>
  <c r="Y36" i="6"/>
  <c r="T35" i="6"/>
  <c r="D14" i="5"/>
  <c r="A6" i="5"/>
  <c r="A2" i="5"/>
  <c r="D1" i="10"/>
  <c r="E16" i="8"/>
  <c r="D6" i="8"/>
  <c r="H17" i="7"/>
  <c r="D12" i="7"/>
  <c r="L6" i="7"/>
  <c r="AB49" i="6"/>
  <c r="Z45" i="6"/>
  <c r="T44" i="6"/>
  <c r="AD42" i="6"/>
  <c r="Y41" i="6"/>
  <c r="T40" i="6"/>
  <c r="AD38" i="6"/>
  <c r="Y37" i="6"/>
  <c r="T36" i="6"/>
  <c r="A17" i="5"/>
  <c r="B6" i="5"/>
  <c r="C14" i="5"/>
  <c r="D1" i="5"/>
  <c r="D5" i="5"/>
  <c r="C15" i="5"/>
  <c r="B5" i="5"/>
  <c r="E12" i="8"/>
  <c r="H18" i="7"/>
  <c r="Y46" i="6"/>
  <c r="AD43" i="6"/>
  <c r="W40" i="6"/>
  <c r="AA36" i="6"/>
  <c r="V35" i="6"/>
  <c r="A3" i="5"/>
  <c r="F12" i="8"/>
  <c r="L12" i="7"/>
  <c r="V46" i="6"/>
  <c r="Z44" i="6"/>
  <c r="AD40" i="6"/>
  <c r="U39" i="6"/>
  <c r="Y35" i="6"/>
  <c r="A2" i="8"/>
  <c r="D7" i="7"/>
  <c r="V45" i="6"/>
  <c r="W42" i="6"/>
  <c r="V41" i="6"/>
  <c r="V37" i="6"/>
  <c r="B5" i="10"/>
  <c r="A3" i="9"/>
  <c r="B11" i="8"/>
  <c r="J19" i="7"/>
  <c r="F14" i="7"/>
  <c r="B9" i="7"/>
  <c r="J3" i="7"/>
  <c r="W46" i="6"/>
  <c r="A1" i="10"/>
  <c r="A13" i="8"/>
  <c r="B2" i="8"/>
  <c r="E15" i="7"/>
  <c r="M9" i="7"/>
  <c r="I4" i="7"/>
  <c r="S47" i="6"/>
  <c r="F6" i="9"/>
  <c r="F15" i="8"/>
  <c r="A5" i="8"/>
  <c r="K16" i="7"/>
  <c r="G11" i="7"/>
  <c r="C6" i="7"/>
  <c r="AD48" i="6"/>
  <c r="W45" i="6"/>
  <c r="A16" i="8"/>
  <c r="L19" i="7"/>
  <c r="D13" i="7"/>
  <c r="D5" i="7"/>
  <c r="V47" i="6"/>
  <c r="W44" i="6"/>
  <c r="Y42" i="6"/>
  <c r="AA40" i="6"/>
  <c r="V39" i="6"/>
  <c r="T37" i="6"/>
  <c r="Z35" i="6"/>
  <c r="B14" i="5"/>
  <c r="C4" i="5"/>
  <c r="D4" i="10"/>
  <c r="A18" i="8"/>
  <c r="E2" i="8"/>
  <c r="D14" i="7"/>
  <c r="H7" i="7"/>
  <c r="S48" i="6"/>
  <c r="AD44" i="6"/>
  <c r="U43" i="6"/>
  <c r="S41" i="6"/>
  <c r="Y39" i="6"/>
  <c r="AA37" i="6"/>
  <c r="AC35" i="6"/>
  <c r="G1" i="9"/>
  <c r="B7" i="8"/>
  <c r="D15" i="7"/>
  <c r="H8" i="7"/>
  <c r="D3" i="7"/>
  <c r="AB45" i="6"/>
  <c r="U44" i="6"/>
  <c r="AA42" i="6"/>
  <c r="Z41" i="6"/>
  <c r="U40" i="6"/>
  <c r="AA38" i="6"/>
  <c r="Z37" i="6"/>
  <c r="U36" i="6"/>
  <c r="D17" i="5"/>
  <c r="D13" i="5"/>
  <c r="C5" i="5"/>
  <c r="A1" i="5"/>
  <c r="C5" i="9"/>
  <c r="A14" i="8"/>
  <c r="A4" i="8"/>
  <c r="D16" i="7"/>
  <c r="L10" i="7"/>
  <c r="H5" i="7"/>
  <c r="AA48" i="6"/>
  <c r="U45" i="6"/>
  <c r="AA43" i="6"/>
  <c r="Z42" i="6"/>
  <c r="U41" i="6"/>
  <c r="AA39" i="6"/>
  <c r="Z38" i="6"/>
  <c r="U37" i="6"/>
  <c r="AA35" i="6"/>
  <c r="A15" i="5"/>
  <c r="D3" i="5"/>
  <c r="C12" i="5"/>
  <c r="A16" i="5"/>
  <c r="B4" i="5"/>
  <c r="C13" i="5"/>
  <c r="D2" i="5"/>
  <c r="B3" i="10"/>
  <c r="A1" i="9"/>
  <c r="E8" i="8"/>
  <c r="F18" i="7"/>
  <c r="B13" i="7"/>
  <c r="J7" i="7"/>
  <c r="F2" i="7"/>
  <c r="B7" i="10"/>
  <c r="D3" i="9"/>
  <c r="D10" i="8"/>
  <c r="E19" i="7"/>
  <c r="M13" i="7"/>
  <c r="I8" i="7"/>
  <c r="E3" i="7"/>
  <c r="G6" i="10"/>
  <c r="F4" i="9"/>
  <c r="D2" i="8"/>
  <c r="G15" i="7"/>
  <c r="C10" i="7"/>
  <c r="K4" i="7"/>
  <c r="Y47" i="6"/>
  <c r="G6" i="9"/>
  <c r="D13" i="8"/>
  <c r="H10" i="7"/>
  <c r="L3" i="7"/>
  <c r="U42" i="6"/>
  <c r="Y38" i="6"/>
  <c r="B12" i="5"/>
  <c r="D2" i="10"/>
  <c r="H19" i="7"/>
  <c r="L4" i="7"/>
  <c r="X42" i="6"/>
  <c r="S37" i="6"/>
  <c r="C17" i="8"/>
  <c r="L13" i="7"/>
  <c r="AD47" i="6"/>
  <c r="AB43" i="6"/>
  <c r="AB39" i="6"/>
  <c r="W38" i="6"/>
  <c r="AB35" i="6"/>
  <c r="B1" i="10"/>
  <c r="J11" i="7"/>
  <c r="B18" i="8"/>
  <c r="E7" i="7"/>
  <c r="B10" i="8"/>
  <c r="G3" i="7"/>
  <c r="L15" i="7"/>
  <c r="Z43" i="6"/>
  <c r="W36" i="6"/>
  <c r="C4" i="9"/>
  <c r="H3" i="7"/>
  <c r="Z40" i="6"/>
  <c r="B12" i="8"/>
  <c r="AC46" i="6"/>
  <c r="AC40" i="6"/>
  <c r="X35" i="6"/>
  <c r="D11" i="5"/>
  <c r="D3" i="10"/>
  <c r="A9" i="8"/>
  <c r="H13" i="7"/>
  <c r="L2" i="7"/>
  <c r="X44" i="6"/>
  <c r="AC41" i="6"/>
  <c r="S39" i="6"/>
  <c r="X36" i="6"/>
  <c r="A11" i="5"/>
  <c r="B3" i="5"/>
  <c r="C17" i="5"/>
  <c r="AB40" i="6"/>
  <c r="W35" i="6"/>
  <c r="A14" i="5"/>
  <c r="C11" i="5"/>
  <c r="B6" i="8"/>
  <c r="H2" i="7"/>
  <c r="D18" i="7"/>
  <c r="AD36" i="6"/>
  <c r="X43" i="6"/>
  <c r="D15" i="5"/>
  <c r="C1" i="9"/>
  <c r="L18" i="7"/>
  <c r="Z46" i="6"/>
  <c r="X40" i="6"/>
  <c r="S35" i="6"/>
  <c r="A12" i="5"/>
  <c r="A5" i="10"/>
  <c r="I12" i="7"/>
  <c r="K8" i="7"/>
  <c r="T45" i="6"/>
  <c r="C2" i="5"/>
  <c r="T42" i="6"/>
  <c r="L5" i="7"/>
  <c r="D12" i="5"/>
  <c r="L14" i="7"/>
  <c r="AB44" i="6"/>
  <c r="V42" i="6"/>
  <c r="W39" i="6"/>
  <c r="A13" i="5"/>
  <c r="B1" i="5"/>
  <c r="C16" i="8"/>
  <c r="F6" i="7"/>
  <c r="C7" i="8"/>
  <c r="AC49" i="6"/>
  <c r="G19" i="7"/>
  <c r="T46" i="6"/>
  <c r="D9" i="7"/>
  <c r="AB41" i="6"/>
  <c r="B16" i="5"/>
  <c r="C10" i="8"/>
  <c r="AC45" i="6"/>
  <c r="X38" i="6"/>
  <c r="D19" i="7"/>
  <c r="AC44" i="6"/>
  <c r="X39" i="6"/>
  <c r="D16" i="5"/>
  <c r="A4" i="5"/>
  <c r="C3" i="9"/>
  <c r="C1" i="8"/>
  <c r="H9" i="7"/>
  <c r="Z47" i="6"/>
  <c r="W43" i="6"/>
  <c r="V38" i="6"/>
  <c r="B2" i="5"/>
  <c r="V49" i="6"/>
  <c r="M17" i="7"/>
  <c r="G4" i="10"/>
  <c r="C14" i="7"/>
  <c r="G4" i="9"/>
  <c r="AD39" i="6"/>
  <c r="B11" i="5"/>
  <c r="AC43" i="6"/>
  <c r="H12" i="7"/>
  <c r="S38" i="6"/>
  <c r="C3" i="5"/>
  <c r="D8" i="7"/>
  <c r="S43" i="6"/>
  <c r="AC37" i="6"/>
  <c r="C16" i="5"/>
  <c r="D6" i="5"/>
  <c r="B17" i="7"/>
  <c r="F2" i="9"/>
  <c r="C8" i="8"/>
  <c r="U38" i="6"/>
  <c r="D10" i="7"/>
  <c r="U35" i="6"/>
  <c r="S42" i="6"/>
  <c r="AC36" i="6"/>
  <c r="D5" i="10"/>
  <c r="D11" i="8"/>
  <c r="D4" i="7"/>
  <c r="AB36" i="6"/>
  <c r="D4" i="5"/>
  <c r="F4" i="5" l="1"/>
  <c r="AE42" i="6"/>
  <c r="F6" i="5"/>
  <c r="AE43" i="6"/>
  <c r="E3" i="5"/>
  <c r="AE38" i="6"/>
  <c r="D19" i="5"/>
  <c r="E2" i="5"/>
  <c r="AE35" i="6"/>
  <c r="AE39" i="6"/>
  <c r="AE37" i="6"/>
  <c r="H13" i="8"/>
  <c r="H10" i="8"/>
  <c r="F2" i="5"/>
  <c r="C19" i="5"/>
  <c r="F3" i="5"/>
  <c r="E5" i="5"/>
  <c r="AE41" i="6"/>
  <c r="AE48" i="6"/>
  <c r="E4" i="5"/>
  <c r="AE47" i="6"/>
  <c r="F5" i="5"/>
  <c r="AE45" i="6"/>
  <c r="E6" i="5"/>
  <c r="AE36" i="6"/>
  <c r="AE40" i="6"/>
  <c r="AE44" i="6"/>
  <c r="AE49" i="6"/>
  <c r="I3" i="10"/>
  <c r="I5" i="10"/>
  <c r="I3" i="9"/>
  <c r="I5" i="9"/>
  <c r="H7" i="8"/>
  <c r="H4" i="8"/>
  <c r="I2" i="10"/>
  <c r="I4" i="10"/>
  <c r="AE46" i="6"/>
  <c r="I2" i="9"/>
  <c r="I4" i="9"/>
  <c r="E8" i="5" l="1"/>
  <c r="G8" i="5" s="1"/>
  <c r="AG43" i="6"/>
  <c r="J1" i="10"/>
  <c r="AF44" i="6"/>
  <c r="AG44" i="6"/>
  <c r="AG45" i="6"/>
  <c r="AG48" i="6"/>
  <c r="AG37" i="6"/>
  <c r="AG49" i="6"/>
  <c r="J1" i="9"/>
  <c r="AG40" i="6"/>
  <c r="AG41" i="6"/>
  <c r="AF41" i="6"/>
  <c r="F8" i="5"/>
  <c r="AG39" i="6"/>
  <c r="AG38" i="6"/>
  <c r="AE34" i="6" s="1"/>
  <c r="AF38" i="6"/>
  <c r="AG42" i="6"/>
  <c r="AG46" i="6"/>
  <c r="AG36" i="6"/>
  <c r="AG47" i="6"/>
  <c r="AF35" i="6"/>
  <c r="AG35" i="6"/>
  <c r="AF48" i="6"/>
  <c r="AF49" i="6"/>
  <c r="AF40" i="6"/>
  <c r="AF39" i="6"/>
  <c r="AF42" i="6"/>
  <c r="AF45" i="6"/>
  <c r="AF46" i="6"/>
  <c r="AF36" i="6"/>
  <c r="AF37" i="6"/>
  <c r="AF47" i="6"/>
  <c r="AF43" i="6"/>
  <c r="AE3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8" authorId="0" shapeId="0" xr:uid="{00000000-0006-0000-0100-000001000000}">
      <text>
        <r>
          <rPr>
            <sz val="11"/>
            <color theme="1"/>
            <rFont val="Calibri"/>
            <scheme val="minor"/>
          </rPr>
          <t>@irving.castillo@difgdl.gob.mx
_Asignado a Irving Dario Castillo Cisneros_
	-Jorge Flores Uribe</t>
        </r>
      </text>
    </comment>
  </commentList>
</comments>
</file>

<file path=xl/sharedStrings.xml><?xml version="1.0" encoding="utf-8"?>
<sst xmlns="http://schemas.openxmlformats.org/spreadsheetml/2006/main" count="1252" uniqueCount="785">
  <si>
    <t>Formato de Matriz de Indicadores de Resultados</t>
  </si>
  <si>
    <t>Ejercicio Fiscal 2023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</si>
  <si>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</si>
  <si>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</si>
  <si>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</si>
  <si>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</si>
  <si>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</si>
  <si>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</si>
  <si>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</si>
  <si>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</si>
  <si>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</si>
  <si>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</si>
  <si>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</si>
  <si>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</si>
  <si>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</si>
  <si>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</si>
  <si>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</si>
  <si>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</si>
  <si>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</si>
  <si>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</si>
  <si>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</si>
  <si>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</si>
  <si>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</si>
  <si>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</si>
  <si>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</si>
  <si>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Desarrollo Social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</si>
  <si>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</si>
  <si>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</si>
  <si>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</si>
  <si>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</si>
  <si>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</si>
  <si>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</si>
  <si>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</si>
  <si>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</si>
  <si>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</si>
  <si>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</si>
  <si>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</si>
  <si>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</si>
  <si>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</si>
  <si>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</si>
  <si>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Mes</t>
  </si>
  <si>
    <t>Junio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</si>
  <si>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</si>
  <si>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</si>
  <si>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</si>
  <si>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</si>
  <si>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</si>
  <si>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</si>
  <si>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</si>
  <si>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</si>
  <si>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</si>
  <si>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</si>
  <si>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</si>
  <si>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</si>
  <si>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</si>
  <si>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</si>
  <si>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</si>
  <si>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</si>
  <si>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</si>
  <si>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</si>
  <si>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</si>
  <si>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</si>
  <si>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</si>
  <si>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</si>
  <si>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</si>
  <si>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</si>
  <si>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</si>
  <si>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</si>
  <si>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</si>
  <si>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</si>
  <si>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</si>
  <si>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</si>
  <si>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Meta alcanzada</t>
  </si>
  <si>
    <t>Suma fin/propósito</t>
  </si>
  <si>
    <t>FIN</t>
  </si>
  <si>
    <t>Las personas adultas mayores, personas con discapacidad o con alguna condición de vulnerabilidad, reciben atención integral para su desarrollo pleno en el municipio de Guadalajara durante el 2023</t>
  </si>
  <si>
    <t>Porcentaje de personas adultas mayores, con discapacidad y con alguna condición de vulnerabilidad que recibieron atención en los servicios del eje Guadalajara sin Barreras en 2023</t>
  </si>
  <si>
    <t>Mide el porcentaje de personas adultos mayores, con discapacidad y con alguna condición de vulnerabilidad que recibieron atención en los servicios del eje Guadalajara Sin Barreras respecto de la meta planteada para el 2023</t>
  </si>
  <si>
    <t>Eficacia</t>
  </si>
  <si>
    <t xml:space="preserve">Estratégico </t>
  </si>
  <si>
    <t>Número de personas atendidas en los programas de CEAMIVIDA,, DIPAM, CAIPED y CADI / Número de personas programadas por atender en CEAMIVIDA,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</si>
  <si>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</si>
  <si>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</si>
  <si>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</si>
  <si>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</si>
  <si>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No disponible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</si>
  <si>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</si>
  <si>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</si>
  <si>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</si>
  <si>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t>
  </si>
  <si>
    <t>Porcentaje de cobertura de servicios de bienestar físico e inclusión para personas adultas mayores o que viven con alguna discapacidad en el municipio de Guadalajara en 2023</t>
  </si>
  <si>
    <t>Mide el porcentaje de cobertura de servicios de bienestar físico e inclusión para personas adultas mayores o que viven con alguna discapacidad en el municipio de Guadalajara respecto de la meta planteada para el 2023</t>
  </si>
  <si>
    <t>Número de servicios brindados en el eje de Guadalajara Sin Barreras/ número de servicios meta del eje Sin Barreras 2022*100</t>
  </si>
  <si>
    <t>Número de servicios brindados en el eje de Guadalajara Sin Barreras</t>
  </si>
  <si>
    <t xml:space="preserve"> número de servicios meta del eje Sin Barreras 2022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</si>
  <si>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</si>
  <si>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</si>
  <si>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</si>
  <si>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</si>
  <si>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C1.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</si>
  <si>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2023</t>
  </si>
  <si>
    <t>Mide el promedio de personas atendidas y sus familias en talleres recreativos, formativos, deportivos, consultas médicas y psicológicas impartidas en el programa de CEAMIVIDA en 2023</t>
  </si>
  <si>
    <t>(Número de personas atendidas en talleres recreativos, formativos, deportivos, consultas médicas y psicológicas impartidas en el programa de CEAMIVIDA durante el 2023)/4</t>
  </si>
  <si>
    <t>Número de personas atendidas en talleres recreativos, formativos, deportivos, consultas médicas y psicológicas impartidas en el programa de CEAMIVIDA durante el 2023</t>
  </si>
  <si>
    <t>Trimestral</t>
  </si>
  <si>
    <t>Promedio</t>
  </si>
  <si>
    <t>Expediente, listas de asistencia</t>
  </si>
  <si>
    <t>Los beneficiarios de CEAMIVIDA cuentan con el mínimo estado de salud para poder asistir al CEAMIVIDA.</t>
  </si>
  <si>
    <t>ACTIVIDAD 1.1</t>
  </si>
  <si>
    <t>A1C1. Atención psicológica o médica para personas con discapacidad intelectual  y sus familias brindadas en CEAMIVIDA</t>
  </si>
  <si>
    <t>Porcentaje de consultas psicológicas o médicas para personas con discapacidad intelectual brindadas en CEAMIVIDA en 2023</t>
  </si>
  <si>
    <t>Mide el porcentaje de consultas psicológicas o médicas para personas con discapacidad intelectual brindadas en CEAMIVIDA en 2023</t>
  </si>
  <si>
    <t>Gestión</t>
  </si>
  <si>
    <t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t>
  </si>
  <si>
    <t xml:space="preserve">Número de consultas psicológicas o médicas para personas con discapacidad intelectual  y sus familias brindadas  en CEAMIVIDA durante el 2023 </t>
  </si>
  <si>
    <t>Número de consultas psicológicas o médicas para personas con discapacidad intelectual  y sus familias programadas en CEAMIVIDA para el 2023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</si>
  <si>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</si>
  <si>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</si>
  <si>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</si>
  <si>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</si>
  <si>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A2C1. 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</si>
  <si>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2023</t>
  </si>
  <si>
    <t>Mide el porcentaje de sesiones de talleres recreativos, formativos y deportivos para personas con discapacidad intelectual implementados en CEAMIVIDA en 2023</t>
  </si>
  <si>
    <t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t>
  </si>
  <si>
    <t>Número de sesiones de talleres recreativos, formativos y deportivos para personas con discapacidad intelectual  y sus familias implementados en CEAMIVIDA  durante el 2023</t>
  </si>
  <si>
    <t>Número de sesiones de talleres recreativos, formativos y deportivos para personas con discapacidad intelectual  y sus familias programados en CEAMIVIDA para el 2023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</si>
  <si>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</si>
  <si>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</si>
  <si>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</si>
  <si>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C2. Servicios de atención integral a personas con discapacidad intelectual y Trastorno del Espectro Autismo brindados en CADI</t>
  </si>
  <si>
    <t>Promedio de personas atendidas en terapia especializada y que reciben terapias complementarias en CADI en el 2023</t>
  </si>
  <si>
    <t>Mide el promedio de personas atendidas en terapia especializada durante el transcurso del año 2023</t>
  </si>
  <si>
    <t>(Número de personas atendidas en terapia especializada para DI, TEA, durante el 2023)/ 4</t>
  </si>
  <si>
    <t>Número de personas atendidas en terapia especializada para DI, TEA, durante el 2023</t>
  </si>
  <si>
    <t>Los pacientes cuentan con los mínimos requisitos de salud para poder asistir a terapias a CADI,</t>
  </si>
  <si>
    <t>ACTIVIDAD 2.1</t>
  </si>
  <si>
    <t>A1C2. 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</si>
  <si>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2023</t>
  </si>
  <si>
    <t>Mide el porcentaje logrado de sesiones de terapia especializada y complementaria para personas con DI o TEA planteadas como meta anual del 2023</t>
  </si>
  <si>
    <t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t>
  </si>
  <si>
    <t>Número de sesiones de terapia especializada individual para discapacidad intelectual o trastorno del espectro autista, lenguaje y estimulación cognitiva durante el 2023</t>
  </si>
  <si>
    <t>Número de sesiones de terapia especializada individual y discapacidad intelectual o trastorno del espectro autista, lenguaje y estimulación cognitiva programadas para el 2023</t>
  </si>
  <si>
    <t>Expedientes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</si>
  <si>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</si>
  <si>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</si>
  <si>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2023</t>
  </si>
  <si>
    <t>Porcentaje de apoyos, servicios y actividades realizadas y dirigidas a personas con discapacidad, en 2023</t>
  </si>
  <si>
    <t>Mide el porcentaje de apoyos, servicios y actividades realizadas y dirigidas a personas con discapacidad en 2023</t>
  </si>
  <si>
    <t>(Número de apoyos, servicios y actividades realizados en 2023 /Número de apoyos, servicios y actividades programados para el 2023)*100</t>
  </si>
  <si>
    <t>Número de apoyos, servicios y actividades realizados en 2023</t>
  </si>
  <si>
    <t>Número de apoyos, servicios y actividades programados para el 2023</t>
  </si>
  <si>
    <t>Listas de asistencia, padrón de beneficiarios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</si>
  <si>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</si>
  <si>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</si>
  <si>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Otorgar medicamentos a personas adultas con discapacidad intelectual institucionalizadas para la garantía de sus derechos durante el 2023.</t>
  </si>
  <si>
    <t>Promedio de personas adultas con discapacidad intelectual institucionalizadas que reciben de manera oportuna medicamentos para la garantía de sus derechos durante el 2023</t>
  </si>
  <si>
    <t>Mide el Promedio de personas adultas con discapacidad intelectual institucionalizadas que reciben de manera oportuna medicamentos para la garantía de sus derechos durante el 2023</t>
  </si>
  <si>
    <t>(Número de personas con discapacidad institucionalizados que reciben medicamentos durante el 2023/ 4)</t>
  </si>
  <si>
    <t>Número de personas con discapacidad institucionalizados que reciben medicamentos durante el 2023</t>
  </si>
  <si>
    <t>Existen y están disponibilidad los medicamentos necesarios, en el mercado farmacéutico local y/o internacional,</t>
  </si>
  <si>
    <t>ACTIVIDAD 3.2</t>
  </si>
  <si>
    <t>Otorgar apoyo de vivienda temporal a personas con discapacidad intelectual o mental institucionalizados para la garantía de sus derechos durante el 2023.</t>
  </si>
  <si>
    <t>Porcentaje de personas con discapacidad intelectual o mental institucionalizados que recibieron apoyo de vivienda temporal para la garantía de sus derechos durante el 2023</t>
  </si>
  <si>
    <t>Mide el Porcentaje de personas con discapacidad intelectual o mental institucionalizados que recibieron apoyo de vivienda temporal para la garantía de sus derechos en 2023</t>
  </si>
  <si>
    <t>(Número de personas institucionalizados con discapacidad intelectual o mental que recibieron apoyo de vivienda temporal durante el 2023/ Número de personas  institucionalizados con discapacidad intelectual o mental programadas para el 2023)*100</t>
  </si>
  <si>
    <t>Número de personas institucionalizados con discapacidad intelectual o mental que recibieron apoyo de vivienda temporal durante el 2023</t>
  </si>
  <si>
    <t>Número de personas  institucionalizados con discapacidad intelectual o mental programadas para el 2023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</si>
  <si>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</si>
  <si>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</si>
  <si>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</si>
  <si>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2023.</t>
  </si>
  <si>
    <t>Porcentaje de talleres brindados durante el 2023</t>
  </si>
  <si>
    <t>Mide el Porcentaje de talleres brindados durante el 2023</t>
  </si>
  <si>
    <t>(Número de talleres impartidos durante el 2023/Número de talleres establecidos como meta para el 2023)*100</t>
  </si>
  <si>
    <t>Número de talleres impartidos durante el 2023</t>
  </si>
  <si>
    <t>Número de talleres establecidos como meta para el 2023</t>
  </si>
  <si>
    <t>Listas de asistencia y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</si>
  <si>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</si>
  <si>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</si>
  <si>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</si>
  <si>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2023</t>
  </si>
  <si>
    <t>Promedio de asistencias de personas adultas mayores a capacitación y taller de envejecimiento activo, durante el 2023</t>
  </si>
  <si>
    <t>Mide el promedio de asistencias de personas adultas mayores a capacitación y taller de envejecimiento activo durante el 2023</t>
  </si>
  <si>
    <t>Número de asistencias a una capacitación o taller durante el 2023/4</t>
  </si>
  <si>
    <t>Número de asistencias a una capacitación o taller durante el 2023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</si>
  <si>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</si>
  <si>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</si>
  <si>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</si>
  <si>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2023</t>
  </si>
  <si>
    <t>Porcentaje de encuentros intergeneracionales llevados a cabo en 2023</t>
  </si>
  <si>
    <t>Mide el porcentaje de encuentros intergeneracionales llevados a cabo en 2023</t>
  </si>
  <si>
    <t>(Número de encuentros intergeneracionales llevados a cabo en 2023/ número de encuentros intergeneracionales programados para el 2023)*100</t>
  </si>
  <si>
    <t>Número de encuentros intergeneracionales llevados a cabo en 2023</t>
  </si>
  <si>
    <t>Número de encuentros intergeneracionales programados para el 2023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</si>
  <si>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</si>
  <si>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</si>
  <si>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2023</t>
  </si>
  <si>
    <t>Porcentaje de cumplimiento en la entrega de raciones alimenticias entregadas en el comedor de DIPAM en 2023</t>
  </si>
  <si>
    <t>Mide el porcentaje de cumplimiento en la entrega de raciones alimenticias en el comedor de DIPAM, durante el 2023</t>
  </si>
  <si>
    <t>(Número de raciones alimentarias entregadas en DIPAM en 2023/ número de raciones alimentarias programadas como meta para el 2023)*100</t>
  </si>
  <si>
    <t>Número de raciones alimentarias entregadas en DIPAM en 2023</t>
  </si>
  <si>
    <t>Número de raciones alimentarias programadas como meta para el 2023</t>
  </si>
  <si>
    <t xml:space="preserve"> La oferta de alimentos en el mercado local es suficiente y nutritiva para cubrir la demanda de alimentos del programa de asistencia social.</t>
  </si>
  <si>
    <t>COMPONENTE 5</t>
  </si>
  <si>
    <t>C5.  Servicios de terapia física, atención psicológica y consulta médica de rehabilitación y de traumatología y ortopedia brindados en el CAIPED en 2023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</si>
  <si>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2023</t>
  </si>
  <si>
    <t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t>
  </si>
  <si>
    <t>(Número de personas atendidas en el Centro CAIPED durante el 2023/ número de personas programadas para el 2023)*100</t>
  </si>
  <si>
    <t>Número de personas atendidas en el Centro CAIPED, durante 2023</t>
  </si>
  <si>
    <t>Número de personas programadas para el 2023</t>
  </si>
  <si>
    <t>Padrón de beneficiarios o listas de asistencia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</si>
  <si>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</si>
  <si>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</si>
  <si>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en el Centro CAIPED en 2023</t>
  </si>
  <si>
    <t>Porcentaje de sesiones de terapia física a personas con discapacidad permanente o temporal y población en general en 2023</t>
  </si>
  <si>
    <t>Mide el porcentaje de sesiones de terapia física a personas con discapacidad permanente o temporal y población en general en 2023</t>
  </si>
  <si>
    <t>(Número de sesiones de terapia física brindadas en el centro CAIPED en 2023/ número de sesiones programadas para el  2023)*100</t>
  </si>
  <si>
    <t>Número de sesiones de terapia física brindadas en el centro CAIPED, dadas durante 2023</t>
  </si>
  <si>
    <t>Número de sesiones programadas para el 2023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</si>
  <si>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</si>
  <si>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</si>
  <si>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2023</t>
  </si>
  <si>
    <t>Porcentaje de sesiones de consulta médica en rehabilitación y traumatología/ortopedia a personas con discapacidad permanente o temporal y población en general en 2023</t>
  </si>
  <si>
    <t>Mide el porcentaje de sesiones de consulta médica en rehabilitación y traumatología/ortopedia a personas con discapacidad permanente o temporal y población en general en 2023</t>
  </si>
  <si>
    <t>(Número de sesiones de consulta médica en rehabilitación y traumatología-ortopedia brindadas en el centro CAIPED, en el 2023/ número de sesiones programadas para el 2023)*100</t>
  </si>
  <si>
    <t xml:space="preserve">Número de sesiones de consulta médica en rehabilitación y traumatología, dadas durante 2023
</t>
  </si>
  <si>
    <t>La población objetivo cuenta con acceso a los servicios de salud y transporte público para acudir al centro CAIPED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</si>
  <si>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</si>
  <si>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</si>
  <si>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</si>
  <si>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</si>
  <si>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</si>
  <si>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</si>
  <si>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</si>
  <si>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</si>
  <si>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</si>
  <si>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</si>
  <si>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</si>
  <si>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</si>
  <si>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</si>
  <si>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</si>
  <si>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</si>
  <si>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GEOGRÁFICA</t>
  </si>
  <si>
    <t>GÉNERO</t>
  </si>
  <si>
    <t>DIRECCIONES O UNIDADES PARTICIPANTES</t>
  </si>
  <si>
    <t>FUNCIONARIO RESPONSABLE DEL PROGRAMA</t>
  </si>
  <si>
    <t>61,4%</t>
  </si>
  <si>
    <t>57,8%</t>
  </si>
  <si>
    <t>66,9%</t>
  </si>
  <si>
    <t>75,3%</t>
  </si>
  <si>
    <t>106,7%</t>
  </si>
  <si>
    <t>96%</t>
  </si>
  <si>
    <t>22,7%</t>
  </si>
  <si>
    <t>48,8%</t>
  </si>
  <si>
    <t>61,9%</t>
  </si>
  <si>
    <t>59,2%</t>
  </si>
  <si>
    <t>102,7%</t>
  </si>
  <si>
    <t>META</t>
  </si>
  <si>
    <t>ALCANCE</t>
  </si>
  <si>
    <t>(Número de personas atendidas en talleres recreativos, formativos, deportivos, consultas médicas y psicológicas impartidas en el programa de CEAMIVIDA durante el 2023)/12</t>
  </si>
  <si>
    <t>(Número de personas atendidas en terapia especializada para DI, TEA, durante el 2023)/ 12</t>
  </si>
  <si>
    <t>(Número de personas con discapacidad institucionalizados que reciben medicamentos durante el 2023/ 12)</t>
  </si>
  <si>
    <t>Porcentaje de personas con discapacidad intelectual o mental institucionalizados que recibieron apoyo de vivienda temporal para la garantía de sus derechos en 2023</t>
  </si>
  <si>
    <t>Número de asistencias a una capacitación o taller durante el 2023/12</t>
  </si>
  <si>
    <t>sUBIDA</t>
  </si>
  <si>
    <t>Sin comentarios.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</si>
  <si>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</si>
  <si>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</si>
  <si>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</si>
  <si>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</si>
  <si>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</si>
  <si>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</si>
  <si>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</si>
  <si>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</si>
  <si>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</si>
  <si>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</si>
  <si>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</si>
  <si>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</si>
  <si>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</si>
  <si>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</si>
  <si>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</si>
  <si>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</si>
  <si>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</si>
  <si>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</si>
  <si>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</si>
  <si>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</si>
  <si>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</si>
  <si>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</si>
  <si>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</si>
  <si>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</si>
  <si>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</si>
  <si>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</si>
  <si>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</si>
  <si>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</si>
  <si>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</si>
  <si>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</si>
  <si>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</si>
  <si>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</si>
  <si>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</si>
  <si>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</si>
  <si>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</si>
  <si>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</si>
  <si>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</si>
  <si>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</si>
  <si>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</si>
  <si>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</si>
  <si>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</si>
  <si>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</si>
  <si>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</si>
  <si>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</si>
  <si>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</si>
  <si>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</si>
  <si>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</si>
  <si>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</si>
  <si>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</si>
  <si>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</si>
  <si>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</si>
  <si>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</si>
  <si>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</si>
  <si>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</si>
  <si>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</si>
  <si>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</si>
  <si>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</si>
  <si>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</si>
  <si>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</si>
  <si>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</si>
  <si>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</si>
  <si>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</si>
  <si>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</si>
  <si>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</si>
  <si>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</si>
  <si>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</si>
  <si>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</si>
  <si>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</si>
  <si>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</si>
  <si>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</si>
  <si>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</si>
  <si>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</si>
  <si>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</si>
  <si>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</si>
  <si>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</si>
  <si>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</si>
  <si>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</si>
  <si>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</si>
  <si>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</si>
  <si>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</si>
  <si>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</si>
  <si>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</si>
  <si>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</si>
  <si>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</si>
  <si>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</si>
  <si>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</si>
  <si>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</si>
  <si>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</si>
  <si>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</si>
  <si>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</si>
  <si>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</si>
  <si>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</si>
  <si>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</si>
  <si>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</si>
  <si>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</si>
  <si>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</si>
  <si>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</si>
  <si>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</si>
  <si>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</si>
  <si>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</si>
  <si>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</si>
  <si>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</si>
  <si>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</si>
  <si>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</si>
  <si>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</si>
  <si>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</si>
  <si>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</si>
  <si>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</si>
  <si>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</si>
  <si>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</si>
  <si>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</si>
  <si>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</si>
  <si>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</si>
  <si>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</si>
  <si>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</si>
  <si>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</si>
  <si>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</si>
  <si>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</si>
  <si>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</si>
  <si>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</si>
  <si>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</si>
  <si>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</si>
  <si>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</si>
  <si>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</si>
  <si>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</si>
  <si>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</si>
  <si>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</si>
  <si>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</si>
  <si>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</si>
  <si>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</si>
  <si>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</si>
  <si>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</si>
  <si>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</si>
  <si>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</si>
  <si>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</si>
  <si>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</si>
  <si>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</si>
  <si>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</si>
  <si>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</si>
  <si>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</si>
  <si>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</si>
  <si>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</si>
  <si>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</si>
  <si>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</si>
  <si>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</si>
  <si>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</si>
  <si>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</si>
  <si>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</si>
  <si>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</si>
  <si>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</si>
  <si>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</si>
  <si>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</si>
  <si>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</si>
  <si>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</si>
  <si>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</si>
  <si>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</si>
  <si>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</si>
  <si>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</si>
  <si>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</si>
  <si>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</si>
  <si>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</si>
  <si>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</si>
  <si>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</si>
  <si>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</si>
  <si>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</si>
  <si>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</si>
  <si>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</si>
  <si>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</si>
  <si>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</si>
  <si>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</si>
  <si>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</si>
  <si>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</si>
  <si>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</si>
  <si>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</si>
  <si>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</si>
  <si>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</si>
  <si>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</si>
  <si>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</si>
  <si>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</si>
  <si>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</si>
  <si>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</si>
  <si>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</si>
  <si>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</si>
  <si>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</si>
  <si>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</si>
  <si>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</si>
  <si>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</si>
  <si>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</si>
  <si>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</si>
  <si>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</si>
  <si>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</si>
  <si>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</si>
  <si>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</si>
  <si>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</si>
  <si>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</si>
  <si>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</si>
  <si>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</si>
  <si>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</si>
  <si>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</si>
  <si>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</si>
  <si>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</si>
  <si>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</si>
  <si>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</si>
  <si>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</si>
  <si>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</si>
  <si>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</si>
  <si>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</si>
  <si>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</si>
  <si>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</si>
  <si>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</si>
  <si>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</si>
  <si>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</si>
  <si>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</si>
  <si>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</si>
  <si>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</si>
  <si>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</si>
  <si>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</si>
  <si>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</si>
  <si>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</si>
  <si>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</si>
  <si>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</si>
  <si>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</si>
  <si>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</si>
  <si>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</si>
  <si>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</si>
  <si>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</si>
  <si>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</si>
  <si>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</si>
  <si>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</si>
  <si>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</si>
  <si>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</si>
  <si>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</si>
  <si>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</si>
  <si>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</si>
  <si>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</si>
  <si>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</si>
  <si>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</si>
  <si>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</si>
  <si>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</si>
  <si>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</si>
  <si>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</si>
  <si>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</si>
  <si>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</si>
  <si>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</si>
  <si>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</si>
  <si>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</si>
  <si>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</si>
  <si>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</si>
  <si>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</si>
  <si>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</si>
  <si>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</si>
  <si>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</si>
  <si>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</si>
  <si>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</si>
  <si>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</si>
  <si>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</si>
  <si>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</si>
  <si>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</si>
  <si>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</si>
  <si>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</si>
  <si>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</si>
  <si>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</si>
  <si>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</si>
  <si>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</si>
  <si>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</si>
  <si>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</si>
  <si>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</si>
  <si>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</si>
  <si>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</si>
  <si>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</si>
  <si>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</si>
  <si>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</si>
  <si>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</si>
  <si>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</si>
  <si>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</si>
  <si>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</si>
  <si>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</si>
  <si>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</si>
  <si>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</si>
  <si>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</si>
  <si>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</si>
  <si>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</si>
  <si>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</si>
  <si>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</si>
  <si>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</si>
  <si>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</si>
  <si>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</si>
  <si>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</si>
  <si>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</si>
  <si>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</si>
  <si>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</si>
  <si>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</si>
  <si>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</si>
  <si>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</si>
  <si>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</si>
  <si>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</si>
  <si>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</si>
  <si>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</si>
  <si>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</si>
  <si>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</si>
  <si>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</si>
  <si>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</si>
  <si>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</si>
  <si>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</si>
  <si>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</si>
  <si>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</si>
  <si>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</si>
  <si>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</si>
  <si>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</si>
  <si>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</si>
  <si>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</si>
  <si>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</si>
  <si>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</si>
  <si>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</si>
  <si>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</si>
  <si>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</si>
  <si>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</si>
  <si>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</si>
  <si>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</si>
  <si>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</si>
  <si>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</si>
  <si>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</si>
  <si>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</si>
  <si>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</si>
  <si>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</si>
  <si>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</si>
  <si>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</si>
  <si>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</si>
  <si>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</si>
  <si>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</si>
  <si>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</si>
  <si>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</si>
  <si>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</si>
  <si>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</si>
  <si>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</si>
  <si>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</si>
  <si>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</si>
  <si>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</si>
  <si>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</si>
  <si>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</si>
  <si>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</si>
  <si>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</si>
  <si>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</si>
  <si>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</si>
  <si>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</si>
  <si>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</si>
  <si>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</si>
  <si>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</si>
  <si>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</si>
  <si>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</si>
  <si>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</si>
  <si>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</si>
  <si>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</si>
  <si>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</si>
  <si>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</si>
  <si>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</si>
  <si>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</si>
  <si>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</si>
  <si>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</si>
  <si>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</si>
  <si>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</si>
  <si>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</si>
  <si>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</si>
  <si>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</si>
  <si>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</si>
  <si>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</si>
  <si>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</si>
  <si>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</si>
  <si>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</si>
  <si>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</si>
  <si>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</si>
  <si>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</si>
  <si>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</si>
  <si>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</si>
  <si>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</si>
  <si>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</si>
  <si>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</si>
  <si>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</si>
  <si>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</si>
  <si>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</si>
  <si>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</si>
  <si>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</si>
  <si>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</si>
  <si>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</si>
  <si>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</si>
  <si>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</si>
  <si>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</si>
  <si>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</si>
  <si>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</si>
  <si>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</si>
  <si>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</si>
  <si>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</si>
  <si>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</si>
  <si>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</si>
  <si>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</si>
  <si>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</si>
  <si>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</si>
  <si>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</si>
  <si>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</si>
  <si>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</si>
  <si>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</si>
  <si>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</si>
  <si>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</si>
  <si>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</si>
  <si>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</si>
  <si>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</si>
  <si>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</si>
  <si>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</si>
  <si>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</si>
  <si>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</si>
  <si>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</si>
  <si>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</si>
  <si>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</si>
  <si>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</si>
  <si>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</si>
  <si>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</si>
  <si>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</si>
  <si>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</si>
  <si>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</si>
  <si>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</si>
  <si>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</si>
  <si>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</si>
  <si>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</si>
  <si>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</si>
  <si>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</si>
  <si>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</si>
  <si>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</si>
  <si>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</si>
  <si>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</si>
  <si>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</si>
  <si>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</si>
  <si>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</si>
  <si>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</si>
  <si>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</si>
  <si>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</si>
  <si>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</si>
  <si>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</si>
  <si>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</si>
  <si>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</si>
  <si>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</si>
  <si>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</si>
  <si>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</si>
  <si>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</si>
  <si>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</si>
  <si>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</si>
  <si>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</si>
  <si>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</si>
  <si>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</si>
  <si>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</si>
  <si>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</si>
  <si>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</si>
  <si>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</si>
  <si>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</si>
  <si>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</si>
  <si>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</si>
  <si>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</si>
  <si>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</si>
  <si>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</si>
  <si>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</si>
  <si>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</si>
  <si>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</si>
  <si>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</si>
  <si>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</si>
  <si>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</si>
  <si>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</si>
  <si>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</si>
  <si>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</si>
  <si>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</si>
  <si>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</si>
  <si>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</si>
  <si>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</si>
  <si>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</si>
  <si>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</si>
  <si>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</si>
  <si>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</si>
  <si>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</si>
  <si>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</si>
  <si>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</si>
  <si>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</si>
  <si>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</si>
  <si>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</si>
  <si>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</si>
  <si>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</si>
  <si>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</si>
  <si>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</si>
  <si>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</si>
  <si>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</si>
  <si>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</si>
  <si>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</si>
  <si>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</si>
  <si>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</si>
  <si>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</si>
  <si>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</si>
  <si>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</si>
  <si>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</si>
  <si>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</si>
  <si>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</si>
  <si>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</si>
  <si>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</si>
  <si>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</si>
  <si>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</si>
  <si>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</si>
  <si>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</si>
  <si>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</si>
  <si>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</si>
  <si>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</si>
  <si>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</si>
  <si>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</si>
  <si>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</si>
  <si>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</si>
  <si>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</si>
  <si>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</si>
  <si>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</si>
  <si>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</si>
  <si>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</si>
  <si>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</si>
  <si>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</si>
  <si>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META ALCANZADA A JUNIO</t>
  </si>
  <si>
    <t>META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</si>
</sst>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29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1"/>
      <color rgb="FF000000"/>
      <name val="Calibri"/>
      <scheme val="minor"/>
    </font>
    <font>
      <b/>
      <sz val="10"/>
      <color rgb="FF000000"/>
      <name val="Arial"/>
    </font>
    <font>
      <b/>
      <sz val="10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2"/>
      <color theme="1"/>
      <name val="&quot;Noto Sans Symbols&quot;"/>
    </font>
    <font>
      <b/>
      <sz val="12"/>
      <color rgb="FF000000"/>
      <name val="Arial"/>
    </font>
    <font>
      <b/>
      <sz val="9"/>
      <color theme="1"/>
      <name val="Arial"/>
    </font>
    <font>
      <sz val="11"/>
      <color theme="1"/>
      <name val="Arial"/>
    </font>
    <font>
      <b/>
      <sz val="11"/>
      <color theme="1"/>
      <name val="Calibri"/>
      <scheme val="minor"/>
    </font>
    <font>
      <sz val="12"/>
      <color rgb="FF000000"/>
      <name val="Noto Sans Symbols"/>
    </font>
    <font>
      <sz val="11"/>
      <color rgb="FF000000"/>
      <name val="Roboto"/>
    </font>
    <font>
      <sz val="9"/>
      <color rgb="FF000000"/>
      <name val="&quot;Google Sans Mono&quot;"/>
    </font>
    <font>
      <sz val="11"/>
      <color theme="1"/>
      <name val="Arial"/>
    </font>
    <font>
      <sz val="11"/>
      <color rgb="FF000000"/>
      <name val="Arial"/>
    </font>
    <font>
      <sz val="11"/>
      <color rgb="FFFF0000"/>
      <name val="Arial"/>
    </font>
    <font>
      <sz val="8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8" xfId="0" applyFont="1" applyFill="1" applyBorder="1"/>
    <xf numFmtId="0" fontId="5" fillId="2" borderId="8" xfId="0" applyFont="1" applyFill="1" applyBorder="1"/>
    <xf numFmtId="4" fontId="3" fillId="2" borderId="8" xfId="0" applyNumberFormat="1" applyFont="1" applyFill="1" applyBorder="1"/>
    <xf numFmtId="4" fontId="6" fillId="0" borderId="0" xfId="0" applyNumberFormat="1" applyFont="1"/>
    <xf numFmtId="0" fontId="7" fillId="2" borderId="8" xfId="0" applyFont="1" applyFill="1" applyBorder="1"/>
    <xf numFmtId="0" fontId="8" fillId="2" borderId="0" xfId="0" applyFont="1" applyFill="1"/>
    <xf numFmtId="0" fontId="9" fillId="2" borderId="8" xfId="0" applyFont="1" applyFill="1" applyBorder="1"/>
    <xf numFmtId="4" fontId="9" fillId="2" borderId="8" xfId="0" applyNumberFormat="1" applyFont="1" applyFill="1" applyBorder="1"/>
    <xf numFmtId="0" fontId="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9" fillId="5" borderId="8" xfId="0" applyFont="1" applyFill="1" applyBorder="1"/>
    <xf numFmtId="0" fontId="12" fillId="0" borderId="0" xfId="0" applyFont="1"/>
    <xf numFmtId="0" fontId="13" fillId="3" borderId="0" xfId="0" applyFont="1" applyFill="1" applyAlignment="1">
      <alignment horizontal="center" vertical="center" textRotation="90" wrapText="1"/>
    </xf>
    <xf numFmtId="0" fontId="15" fillId="3" borderId="0" xfId="0" applyFont="1" applyFill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left" vertical="center"/>
    </xf>
    <xf numFmtId="4" fontId="9" fillId="6" borderId="5" xfId="0" applyNumberFormat="1" applyFont="1" applyFill="1" applyBorder="1" applyAlignment="1"/>
    <xf numFmtId="4" fontId="3" fillId="6" borderId="6" xfId="0" applyNumberFormat="1" applyFont="1" applyFill="1" applyBorder="1" applyAlignment="1"/>
    <xf numFmtId="4" fontId="3" fillId="6" borderId="7" xfId="0" applyNumberFormat="1" applyFont="1" applyFill="1" applyBorder="1" applyAlignment="1"/>
    <xf numFmtId="0" fontId="9" fillId="2" borderId="16" xfId="0" applyFont="1" applyFill="1" applyBorder="1"/>
    <xf numFmtId="4" fontId="9" fillId="2" borderId="8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18" fillId="3" borderId="0" xfId="0" applyFont="1" applyFill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12" xfId="0" applyFont="1" applyBorder="1"/>
    <xf numFmtId="0" fontId="3" fillId="0" borderId="13" xfId="0" applyFont="1" applyBorder="1"/>
    <xf numFmtId="0" fontId="22" fillId="2" borderId="0" xfId="0" applyFont="1" applyFill="1" applyAlignment="1">
      <alignment horizontal="left"/>
    </xf>
    <xf numFmtId="0" fontId="11" fillId="2" borderId="8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3" fillId="0" borderId="1" xfId="0" applyFont="1" applyBorder="1" applyAlignment="1">
      <alignment wrapText="1"/>
    </xf>
    <xf numFmtId="0" fontId="2" fillId="0" borderId="0" xfId="0" applyFont="1" applyAlignment="1"/>
    <xf numFmtId="0" fontId="9" fillId="3" borderId="1" xfId="0" applyFont="1" applyFill="1" applyBorder="1" applyAlignment="1"/>
    <xf numFmtId="0" fontId="20" fillId="6" borderId="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6" borderId="0" xfId="0" applyFont="1" applyFill="1"/>
    <xf numFmtId="0" fontId="3" fillId="6" borderId="1" xfId="0" applyFont="1" applyFill="1" applyBorder="1" applyAlignment="1"/>
    <xf numFmtId="0" fontId="10" fillId="4" borderId="1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9" fillId="2" borderId="8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10" fillId="4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23" fillId="6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0" fillId="4" borderId="2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1" xfId="0" applyFont="1" applyBorder="1"/>
    <xf numFmtId="1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/>
    <xf numFmtId="0" fontId="6" fillId="0" borderId="19" xfId="0" applyFont="1" applyBorder="1"/>
    <xf numFmtId="0" fontId="6" fillId="0" borderId="5" xfId="0" applyFont="1" applyBorder="1"/>
    <xf numFmtId="0" fontId="6" fillId="0" borderId="6" xfId="0" applyFont="1" applyBorder="1"/>
    <xf numFmtId="4" fontId="6" fillId="0" borderId="6" xfId="0" applyNumberFormat="1" applyFont="1" applyBorder="1"/>
    <xf numFmtId="0" fontId="21" fillId="8" borderId="0" xfId="0" applyFont="1" applyFill="1"/>
    <xf numFmtId="0" fontId="6" fillId="0" borderId="0" xfId="0" applyFont="1" applyAlignment="1"/>
    <xf numFmtId="0" fontId="6" fillId="0" borderId="7" xfId="0" applyFont="1" applyBorder="1"/>
    <xf numFmtId="4" fontId="6" fillId="8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" fillId="0" borderId="0" xfId="0" applyFont="1"/>
    <xf numFmtId="0" fontId="1" fillId="0" borderId="1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11" xfId="0" applyFont="1" applyBorder="1"/>
    <xf numFmtId="0" fontId="2" fillId="0" borderId="1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4" fillId="3" borderId="14" xfId="0" applyFont="1" applyFill="1" applyBorder="1" applyAlignment="1">
      <alignment horizontal="center" vertical="center" textRotation="90" wrapText="1"/>
    </xf>
    <xf numFmtId="0" fontId="4" fillId="0" borderId="15" xfId="0" applyFont="1" applyBorder="1"/>
    <xf numFmtId="0" fontId="16" fillId="3" borderId="14" xfId="0" applyFont="1" applyFill="1" applyBorder="1" applyAlignment="1">
      <alignment horizontal="center" vertical="center" textRotation="90" wrapText="1"/>
    </xf>
    <xf numFmtId="0" fontId="4" fillId="0" borderId="17" xfId="0" applyFont="1" applyBorder="1"/>
    <xf numFmtId="0" fontId="7" fillId="2" borderId="9" xfId="0" applyFont="1" applyFill="1" applyBorder="1" applyAlignment="1">
      <alignment horizontal="center"/>
    </xf>
    <xf numFmtId="0" fontId="4" fillId="0" borderId="10" xfId="0" applyFont="1" applyBorder="1"/>
    <xf numFmtId="0" fontId="10" fillId="0" borderId="11" xfId="0" applyFont="1" applyBorder="1" applyAlignment="1">
      <alignment vertical="center" wrapText="1"/>
    </xf>
    <xf numFmtId="0" fontId="4" fillId="0" borderId="12" xfId="0" applyFont="1" applyBorder="1"/>
    <xf numFmtId="0" fontId="4" fillId="0" borderId="13" xfId="0" applyFont="1" applyBorder="1"/>
    <xf numFmtId="0" fontId="9" fillId="0" borderId="11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4" fontId="17" fillId="6" borderId="11" xfId="0" applyNumberFormat="1" applyFont="1" applyFill="1" applyBorder="1" applyAlignment="1"/>
    <xf numFmtId="4" fontId="17" fillId="6" borderId="5" xfId="0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8" fontId="9" fillId="0" borderId="12" xfId="0" applyNumberFormat="1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24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4" fillId="0" borderId="25" xfId="0" applyFont="1" applyBorder="1"/>
    <xf numFmtId="0" fontId="3" fillId="0" borderId="37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34" xfId="0" applyFont="1" applyBorder="1"/>
    <xf numFmtId="0" fontId="3" fillId="0" borderId="27" xfId="0" applyFont="1" applyBorder="1" applyAlignment="1">
      <alignment horizontal="center" vertical="center" wrapText="1"/>
    </xf>
    <xf numFmtId="0" fontId="4" fillId="0" borderId="28" xfId="0" applyFont="1" applyBorder="1"/>
    <xf numFmtId="0" fontId="4" fillId="0" borderId="30" xfId="0" applyFont="1" applyBorder="1"/>
    <xf numFmtId="0" fontId="4" fillId="0" borderId="35" xfId="0" applyFont="1" applyBorder="1"/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Porfinporproposito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:M19">
  <tableColumns count="12">
    <tableColumn id="1" xr3:uid="{00000000-0010-0000-0000-000001000000}" name="RESUMEN NARRATIVO"/>
    <tableColumn id="2" xr3:uid="{00000000-0010-0000-0000-000002000000}" name="OBJETIVOS DE RESULTADO"/>
    <tableColumn id="3" xr3:uid="{00000000-0010-0000-0000-000003000000}" name="NOMBRE DEL INDICADOR"/>
    <tableColumn id="4" xr3:uid="{00000000-0010-0000-0000-000004000000}" name="MÉTODO DE CÁLCULO"/>
    <tableColumn id="5" xr3:uid="{00000000-0010-0000-0000-000005000000}" name="DEFINICIÓN"/>
    <tableColumn id="6" xr3:uid="{00000000-0010-0000-0000-000006000000}" name="TIPO"/>
    <tableColumn id="7" xr3:uid="{00000000-0010-0000-0000-000007000000}" name="DIMENSIÓN"/>
    <tableColumn id="8" xr3:uid="{00000000-0010-0000-0000-000008000000}" name="UNIDAD DE MEDIDA"/>
    <tableColumn id="9" xr3:uid="{00000000-0010-0000-0000-000009000000}" name="LINEA BASE"/>
    <tableColumn id="10" xr3:uid="{00000000-0010-0000-0000-00000A000000}" name="META PROGRAMADA"/>
    <tableColumn id="11" xr3:uid="{00000000-0010-0000-0000-00000B000000}" name="FUENTES DE INFORMACIÓN Y MEDIOS DE VERIFICACIÓN"/>
    <tableColumn id="12" xr3:uid="{00000000-0010-0000-0000-00000C000000}" name="SUPUESTOS"/>
  </tableColumns>
  <tableStyleInfo name="Porfinporproposit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3"/>
  <sheetViews>
    <sheetView tabSelected="1" workbookViewId="0">
      <selection activeCell="P49" sqref="P49"/>
    </sheetView>
  </sheetViews>
  <sheetFormatPr baseColWidth="10" defaultColWidth="14.44140625" defaultRowHeight="15" customHeight="1"/>
  <cols>
    <col min="1" max="1" width="18.6640625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19.44140625" customWidth="1"/>
    <col min="7" max="7" width="21.6640625" customWidth="1"/>
    <col min="8" max="8" width="21.109375" customWidth="1"/>
    <col min="9" max="9" width="26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</cols>
  <sheetData>
    <row r="1" spans="1:18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8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8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8" ht="15.6">
      <c r="A4" s="2"/>
      <c r="B4" s="3"/>
      <c r="C4" s="3"/>
      <c r="D4" s="160" t="s">
        <v>0</v>
      </c>
      <c r="E4" s="161"/>
      <c r="F4" s="161"/>
      <c r="G4" s="161"/>
      <c r="H4" s="16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8" ht="15.6">
      <c r="A5" s="2"/>
      <c r="B5" s="3"/>
      <c r="C5" s="3"/>
      <c r="D5" s="160" t="s">
        <v>1</v>
      </c>
      <c r="E5" s="161"/>
      <c r="F5" s="161"/>
      <c r="G5" s="161"/>
      <c r="H5" s="16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8" ht="15.6">
      <c r="A6" s="2"/>
      <c r="B6" s="3"/>
      <c r="C6" s="3"/>
      <c r="D6" s="160" t="s">
        <v>2</v>
      </c>
      <c r="E6" s="161"/>
      <c r="F6" s="161"/>
      <c r="G6" s="161"/>
      <c r="H6" s="16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8" ht="15.6">
      <c r="A7" s="2"/>
      <c r="B7" s="3"/>
      <c r="C7" s="3"/>
      <c r="D7" s="160"/>
      <c r="E7" s="161"/>
      <c r="F7" s="161"/>
      <c r="G7" s="161"/>
      <c r="H7" s="16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8" ht="15.6">
      <c r="A8" s="2"/>
      <c r="B8" s="3"/>
      <c r="C8" s="3"/>
      <c r="D8" s="7"/>
      <c r="E8" s="7"/>
      <c r="F8" s="7"/>
      <c r="G8" s="7"/>
      <c r="H8" s="7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8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8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8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8" ht="15.6">
      <c r="A12" s="8"/>
      <c r="B12" s="9"/>
      <c r="C12" s="9"/>
      <c r="D12" s="9"/>
      <c r="E12" s="9"/>
      <c r="F12" s="9"/>
      <c r="G12" s="9"/>
      <c r="H12" s="9"/>
      <c r="I12" s="9"/>
      <c r="J12" s="10"/>
      <c r="K12" s="10"/>
      <c r="L12" s="9"/>
      <c r="M12" s="9"/>
      <c r="N12" s="10"/>
      <c r="O12" s="10"/>
      <c r="P12" s="10"/>
      <c r="Q12" s="9"/>
      <c r="R12" s="9"/>
    </row>
    <row r="13" spans="1:18" ht="15.6">
      <c r="A13" s="8"/>
      <c r="B13" s="9"/>
      <c r="C13" s="12" t="s">
        <v>3</v>
      </c>
      <c r="D13" s="162" t="s">
        <v>4</v>
      </c>
      <c r="E13" s="163"/>
      <c r="F13" s="163"/>
      <c r="G13" s="163"/>
      <c r="H13" s="164"/>
      <c r="I13" s="13"/>
      <c r="J13" s="10"/>
      <c r="K13" s="10"/>
      <c r="L13" s="9"/>
      <c r="M13" s="9"/>
      <c r="N13" s="10"/>
      <c r="O13" s="10"/>
      <c r="P13" s="10"/>
      <c r="Q13" s="9"/>
      <c r="R13" s="9"/>
    </row>
    <row r="14" spans="1:18" ht="15.6">
      <c r="A14" s="8"/>
      <c r="B14" s="9"/>
      <c r="C14" s="12" t="s">
        <v>5</v>
      </c>
      <c r="D14" s="165" t="s">
        <v>6</v>
      </c>
      <c r="E14" s="163"/>
      <c r="F14" s="163"/>
      <c r="G14" s="163"/>
      <c r="H14" s="164"/>
      <c r="I14" s="14" t="s">
        <v>7</v>
      </c>
      <c r="J14" s="10"/>
      <c r="K14" s="10"/>
      <c r="L14" s="9"/>
      <c r="M14" s="9"/>
      <c r="N14" s="10"/>
      <c r="O14" s="10"/>
      <c r="P14" s="10"/>
      <c r="Q14" s="9"/>
      <c r="R14" s="9"/>
    </row>
    <row r="15" spans="1:18" ht="15.6">
      <c r="A15" s="8"/>
      <c r="B15" s="9"/>
      <c r="C15" s="12" t="s">
        <v>8</v>
      </c>
      <c r="D15" s="165" t="s">
        <v>9</v>
      </c>
      <c r="E15" s="163"/>
      <c r="F15" s="163"/>
      <c r="G15" s="163"/>
      <c r="H15" s="164"/>
      <c r="I15" s="14" t="s">
        <v>7</v>
      </c>
      <c r="J15" s="10"/>
      <c r="K15" s="10"/>
      <c r="L15" s="9"/>
      <c r="M15" s="9"/>
      <c r="N15" s="10"/>
      <c r="O15" s="10"/>
      <c r="P15" s="10"/>
      <c r="Q15" s="9"/>
      <c r="R15" s="9"/>
    </row>
    <row r="16" spans="1:18" ht="15.6">
      <c r="A16" s="8"/>
      <c r="B16" s="9"/>
      <c r="C16" s="12" t="s">
        <v>10</v>
      </c>
      <c r="D16" s="165" t="s">
        <v>11</v>
      </c>
      <c r="E16" s="163"/>
      <c r="F16" s="163"/>
      <c r="G16" s="163"/>
      <c r="H16" s="164"/>
      <c r="I16" s="13"/>
      <c r="J16" s="10"/>
      <c r="K16" s="10"/>
      <c r="L16" s="9"/>
      <c r="M16" s="9"/>
      <c r="N16" s="10"/>
      <c r="O16" s="10"/>
      <c r="P16" s="10"/>
      <c r="Q16" s="9"/>
      <c r="R16" s="9"/>
    </row>
    <row r="17" spans="1:18" ht="15.6">
      <c r="A17" s="8"/>
      <c r="B17" s="9"/>
      <c r="C17" s="12" t="s">
        <v>12</v>
      </c>
      <c r="D17" s="165" t="s">
        <v>13</v>
      </c>
      <c r="E17" s="163"/>
      <c r="F17" s="163"/>
      <c r="G17" s="163"/>
      <c r="H17" s="164"/>
      <c r="I17" s="14" t="s">
        <v>7</v>
      </c>
      <c r="J17" s="10"/>
      <c r="K17" s="10"/>
      <c r="L17" s="9"/>
      <c r="M17" s="9"/>
      <c r="N17" s="10"/>
      <c r="O17" s="10"/>
      <c r="P17" s="10"/>
      <c r="Q17" s="9"/>
      <c r="R17" s="9"/>
    </row>
    <row r="18" spans="1:18" ht="15.6">
      <c r="A18" s="15"/>
      <c r="B18" s="16"/>
      <c r="C18" s="12" t="s">
        <v>14</v>
      </c>
      <c r="D18" s="165" t="s">
        <v>15</v>
      </c>
      <c r="E18" s="163"/>
      <c r="F18" s="163"/>
      <c r="G18" s="163"/>
      <c r="H18" s="164"/>
      <c r="I18" s="14" t="s">
        <v>7</v>
      </c>
      <c r="J18" s="10"/>
      <c r="K18" s="10"/>
      <c r="L18" s="9"/>
      <c r="M18" s="9"/>
      <c r="N18" s="10"/>
      <c r="O18" s="10"/>
      <c r="P18" s="10"/>
      <c r="Q18" s="9"/>
      <c r="R18" s="9"/>
    </row>
    <row r="19" spans="1:18" ht="15.6" hidden="1">
      <c r="A19" s="17"/>
      <c r="B19" s="18"/>
      <c r="C19" s="12" t="s">
        <v>16</v>
      </c>
      <c r="D19" s="165"/>
      <c r="E19" s="163"/>
      <c r="F19" s="163"/>
      <c r="G19" s="163"/>
      <c r="H19" s="164"/>
      <c r="I19" s="13"/>
      <c r="J19" s="10"/>
      <c r="K19" s="10"/>
      <c r="L19" s="9"/>
      <c r="M19" s="9"/>
      <c r="N19" s="10"/>
      <c r="O19" s="10"/>
      <c r="P19" s="10"/>
      <c r="Q19" s="9"/>
      <c r="R19" s="9"/>
    </row>
    <row r="20" spans="1:18" ht="15.6">
      <c r="A20" s="19"/>
      <c r="C20" s="12" t="s">
        <v>16</v>
      </c>
      <c r="D20" s="165" t="s">
        <v>17</v>
      </c>
      <c r="E20" s="163"/>
      <c r="F20" s="163"/>
      <c r="G20" s="163"/>
      <c r="H20" s="164"/>
      <c r="I20" s="14" t="s">
        <v>7</v>
      </c>
      <c r="J20" s="10"/>
      <c r="K20" s="10"/>
      <c r="L20" s="9"/>
      <c r="M20" s="9"/>
      <c r="N20" s="10"/>
      <c r="O20" s="10"/>
      <c r="P20" s="10"/>
      <c r="Q20" s="9"/>
      <c r="R20" s="9"/>
    </row>
    <row r="21" spans="1:18" ht="15.6">
      <c r="A21" s="20"/>
      <c r="B21" s="156" t="s">
        <v>18</v>
      </c>
      <c r="C21" s="12" t="s">
        <v>19</v>
      </c>
      <c r="D21" s="165" t="s">
        <v>20</v>
      </c>
      <c r="E21" s="163"/>
      <c r="F21" s="163"/>
      <c r="G21" s="163"/>
      <c r="H21" s="164"/>
      <c r="I21" s="14" t="s">
        <v>7</v>
      </c>
      <c r="K21" s="10"/>
      <c r="L21" s="9"/>
      <c r="M21" s="9"/>
      <c r="N21" s="10"/>
      <c r="O21" s="10"/>
      <c r="P21" s="10"/>
      <c r="Q21" s="9"/>
      <c r="R21" s="9"/>
    </row>
    <row r="22" spans="1:18" ht="15.6">
      <c r="A22" s="20"/>
      <c r="B22" s="157"/>
      <c r="C22" s="12" t="s">
        <v>21</v>
      </c>
      <c r="D22" s="165" t="s">
        <v>22</v>
      </c>
      <c r="E22" s="163"/>
      <c r="F22" s="163"/>
      <c r="G22" s="163"/>
      <c r="H22" s="164"/>
      <c r="I22" s="14" t="s">
        <v>7</v>
      </c>
      <c r="J22" s="10"/>
      <c r="K22" s="10"/>
      <c r="L22" s="9"/>
      <c r="M22" s="9"/>
      <c r="N22" s="10"/>
      <c r="O22" s="10"/>
      <c r="P22" s="10"/>
      <c r="Q22" s="9"/>
      <c r="R22" s="9"/>
    </row>
    <row r="23" spans="1:18" ht="15.6">
      <c r="A23" s="21"/>
      <c r="B23" s="158" t="s">
        <v>23</v>
      </c>
      <c r="C23" s="12" t="s">
        <v>24</v>
      </c>
      <c r="D23" s="169" t="s">
        <v>25</v>
      </c>
      <c r="E23" s="163"/>
      <c r="F23" s="163"/>
      <c r="G23" s="163"/>
      <c r="H23" s="164"/>
      <c r="I23" s="22" t="s">
        <v>7</v>
      </c>
      <c r="J23" s="10"/>
      <c r="K23" s="10"/>
      <c r="L23" s="9"/>
      <c r="M23" s="9"/>
      <c r="N23" s="10"/>
      <c r="O23" s="10"/>
      <c r="P23" s="10"/>
      <c r="Q23" s="9"/>
      <c r="R23" s="9"/>
    </row>
    <row r="24" spans="1:18" ht="31.2">
      <c r="A24" s="21"/>
      <c r="B24" s="159"/>
      <c r="C24" s="12" t="s">
        <v>26</v>
      </c>
      <c r="D24" s="170" t="s">
        <v>27</v>
      </c>
      <c r="E24" s="171"/>
      <c r="F24" s="171"/>
      <c r="G24" s="171"/>
      <c r="H24" s="172"/>
      <c r="I24" s="22" t="s">
        <v>7</v>
      </c>
      <c r="J24" s="10"/>
      <c r="K24" s="10"/>
      <c r="L24" s="9"/>
      <c r="M24" s="9"/>
      <c r="N24" s="10"/>
      <c r="O24" s="10"/>
      <c r="P24" s="10"/>
      <c r="Q24" s="9"/>
      <c r="R24" s="9"/>
    </row>
    <row r="25" spans="1:18" ht="15.6">
      <c r="A25" s="21"/>
      <c r="B25" s="158" t="s">
        <v>28</v>
      </c>
      <c r="C25" s="12" t="s">
        <v>29</v>
      </c>
      <c r="D25" s="170" t="s">
        <v>30</v>
      </c>
      <c r="E25" s="171"/>
      <c r="F25" s="171"/>
      <c r="G25" s="171"/>
      <c r="H25" s="172"/>
      <c r="I25" s="22" t="s">
        <v>7</v>
      </c>
      <c r="J25" s="10"/>
      <c r="K25" s="10"/>
      <c r="L25" s="9"/>
      <c r="M25" s="9"/>
      <c r="N25" s="10"/>
      <c r="O25" s="10"/>
      <c r="P25" s="10"/>
      <c r="Q25" s="9"/>
      <c r="R25" s="9"/>
    </row>
    <row r="26" spans="1:18" ht="15.6">
      <c r="A26" s="21"/>
      <c r="B26" s="157"/>
      <c r="C26" s="12" t="s">
        <v>31</v>
      </c>
      <c r="D26" s="23" t="s">
        <v>32</v>
      </c>
      <c r="E26" s="24"/>
      <c r="F26" s="24"/>
      <c r="G26" s="24"/>
      <c r="H26" s="25"/>
      <c r="I26" s="22" t="s">
        <v>7</v>
      </c>
      <c r="J26" s="10"/>
      <c r="K26" s="10"/>
      <c r="L26" s="9"/>
      <c r="M26" s="9"/>
      <c r="N26" s="10"/>
      <c r="O26" s="10"/>
      <c r="P26" s="10"/>
      <c r="Q26" s="9"/>
      <c r="R26" s="9"/>
    </row>
    <row r="27" spans="1:18" ht="15.6">
      <c r="A27" s="21"/>
      <c r="B27" s="157"/>
      <c r="C27" s="12" t="s">
        <v>33</v>
      </c>
      <c r="D27" s="170" t="s">
        <v>34</v>
      </c>
      <c r="E27" s="171"/>
      <c r="F27" s="171"/>
      <c r="G27" s="171"/>
      <c r="H27" s="172"/>
      <c r="I27" s="22" t="s">
        <v>7</v>
      </c>
      <c r="J27" s="10"/>
      <c r="K27" s="10"/>
      <c r="L27" s="9"/>
      <c r="M27" s="9"/>
      <c r="N27" s="10"/>
      <c r="O27" s="10"/>
      <c r="P27" s="10"/>
      <c r="Q27" s="9"/>
      <c r="R27" s="9"/>
    </row>
    <row r="28" spans="1:18" ht="15.6">
      <c r="A28" s="21"/>
      <c r="B28" s="157"/>
      <c r="C28" s="12" t="s">
        <v>35</v>
      </c>
      <c r="D28" s="170" t="s">
        <v>36</v>
      </c>
      <c r="E28" s="171"/>
      <c r="F28" s="171"/>
      <c r="G28" s="171"/>
      <c r="H28" s="172"/>
      <c r="I28" s="26"/>
      <c r="J28" s="10"/>
      <c r="K28" s="10"/>
      <c r="L28" s="9"/>
      <c r="M28" s="9"/>
      <c r="N28" s="10"/>
      <c r="O28" s="27"/>
      <c r="P28" s="27"/>
      <c r="Q28" s="9"/>
      <c r="R28" s="9"/>
    </row>
    <row r="29" spans="1:18" ht="31.2">
      <c r="A29" s="15"/>
      <c r="B29" s="16"/>
      <c r="C29" s="12" t="s">
        <v>37</v>
      </c>
      <c r="D29" s="173" t="s">
        <v>38</v>
      </c>
      <c r="E29" s="163"/>
      <c r="F29" s="163"/>
      <c r="G29" s="163"/>
      <c r="H29" s="163"/>
      <c r="I29" s="9"/>
      <c r="J29" s="10"/>
      <c r="K29" s="10"/>
      <c r="L29" s="9"/>
      <c r="M29" s="9"/>
      <c r="N29" s="10"/>
      <c r="O29" s="27"/>
      <c r="P29" s="27"/>
      <c r="Q29" s="9"/>
      <c r="R29" s="9"/>
    </row>
    <row r="30" spans="1:18" ht="15.6">
      <c r="A30" s="15"/>
      <c r="B30" s="16"/>
      <c r="C30" s="28" t="s">
        <v>39</v>
      </c>
      <c r="D30" s="174"/>
      <c r="E30" s="163"/>
      <c r="F30" s="163"/>
      <c r="G30" s="163"/>
      <c r="H30" s="164"/>
      <c r="I30" s="13"/>
      <c r="J30" s="10"/>
      <c r="K30" s="10"/>
      <c r="L30" s="9"/>
      <c r="M30" s="9"/>
      <c r="N30" s="10"/>
      <c r="O30" s="10"/>
      <c r="P30" s="10"/>
      <c r="Q30" s="9"/>
      <c r="R30" s="9"/>
    </row>
    <row r="31" spans="1:18" ht="15.6">
      <c r="A31" s="8"/>
      <c r="B31" s="29"/>
      <c r="C31" s="29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62.4">
      <c r="A32" s="33"/>
      <c r="B32" s="34" t="s">
        <v>42</v>
      </c>
      <c r="C32" s="35" t="s">
        <v>43</v>
      </c>
      <c r="D32" s="28" t="s">
        <v>44</v>
      </c>
      <c r="E32" s="28" t="s">
        <v>45</v>
      </c>
      <c r="F32" s="28" t="s">
        <v>46</v>
      </c>
      <c r="G32" s="28" t="s">
        <v>47</v>
      </c>
      <c r="H32" s="28" t="s">
        <v>48</v>
      </c>
      <c r="I32" s="28" t="s">
        <v>49</v>
      </c>
      <c r="J32" s="36" t="s">
        <v>50</v>
      </c>
      <c r="K32" s="36" t="s">
        <v>51</v>
      </c>
      <c r="L32" s="28" t="s">
        <v>52</v>
      </c>
      <c r="M32" s="28" t="s">
        <v>53</v>
      </c>
      <c r="N32" s="36" t="s">
        <v>54</v>
      </c>
      <c r="O32" s="36" t="s">
        <v>55</v>
      </c>
      <c r="P32" s="36" t="s">
        <v>783</v>
      </c>
      <c r="Q32" s="28" t="s">
        <v>57</v>
      </c>
      <c r="R32" s="28" t="s">
        <v>58</v>
      </c>
    </row>
    <row r="33" spans="1:18" ht="179.4">
      <c r="A33" s="8"/>
      <c r="B33" s="9"/>
      <c r="C33" s="12" t="s">
        <v>74</v>
      </c>
      <c r="D33" s="40" t="s">
        <v>75</v>
      </c>
      <c r="E33" s="41" t="s">
        <v>76</v>
      </c>
      <c r="F33" s="40" t="s">
        <v>77</v>
      </c>
      <c r="G33" s="41" t="s">
        <v>78</v>
      </c>
      <c r="H33" s="41" t="s">
        <v>79</v>
      </c>
      <c r="I33" s="40" t="s">
        <v>80</v>
      </c>
      <c r="J33" s="42" t="s">
        <v>81</v>
      </c>
      <c r="K33" s="43" t="s">
        <v>82</v>
      </c>
      <c r="L33" s="41" t="s">
        <v>83</v>
      </c>
      <c r="M33" s="41" t="s">
        <v>84</v>
      </c>
      <c r="N33" s="44" t="s">
        <v>85</v>
      </c>
      <c r="O33" s="45">
        <v>10216</v>
      </c>
      <c r="P33" s="91" t="s">
        <v>784</v>
      </c>
      <c r="Q33" s="41" t="s">
        <v>86</v>
      </c>
      <c r="R33" s="40" t="s">
        <v>87</v>
      </c>
    </row>
    <row r="34" spans="1:18" ht="220.8">
      <c r="A34" s="49"/>
      <c r="B34" s="50" t="s">
        <v>7</v>
      </c>
      <c r="C34" s="12" t="s">
        <v>88</v>
      </c>
      <c r="D34" s="40" t="s">
        <v>89</v>
      </c>
      <c r="E34" s="40" t="s">
        <v>90</v>
      </c>
      <c r="F34" s="40" t="s">
        <v>91</v>
      </c>
      <c r="G34" s="41" t="s">
        <v>78</v>
      </c>
      <c r="H34" s="41" t="s">
        <v>79</v>
      </c>
      <c r="I34" s="41" t="s">
        <v>92</v>
      </c>
      <c r="J34" s="42" t="s">
        <v>93</v>
      </c>
      <c r="K34" s="42" t="s">
        <v>94</v>
      </c>
      <c r="L34" s="41" t="s">
        <v>83</v>
      </c>
      <c r="M34" s="41" t="s">
        <v>84</v>
      </c>
      <c r="N34" s="44" t="s">
        <v>85</v>
      </c>
      <c r="O34" s="51">
        <v>36800</v>
      </c>
      <c r="P34" s="91" t="s">
        <v>784</v>
      </c>
      <c r="Q34" s="41" t="s">
        <v>95</v>
      </c>
      <c r="R34" s="52" t="s">
        <v>96</v>
      </c>
    </row>
    <row r="35" spans="1:18" ht="151.80000000000001">
      <c r="A35" s="53" t="s">
        <v>74</v>
      </c>
      <c r="B35" s="54" t="s">
        <v>97</v>
      </c>
      <c r="C35" s="28" t="s">
        <v>98</v>
      </c>
      <c r="D35" s="40" t="s">
        <v>99</v>
      </c>
      <c r="E35" s="40" t="s">
        <v>100</v>
      </c>
      <c r="F35" s="40" t="s">
        <v>101</v>
      </c>
      <c r="G35" s="40" t="s">
        <v>78</v>
      </c>
      <c r="H35" s="40" t="s">
        <v>79</v>
      </c>
      <c r="I35" s="55" t="s">
        <v>102</v>
      </c>
      <c r="J35" s="55" t="s">
        <v>103</v>
      </c>
      <c r="K35" s="55">
        <v>4</v>
      </c>
      <c r="L35" s="56" t="s">
        <v>104</v>
      </c>
      <c r="M35" s="40" t="s">
        <v>105</v>
      </c>
      <c r="N35" s="40" t="s">
        <v>85</v>
      </c>
      <c r="O35" s="57">
        <v>372</v>
      </c>
      <c r="P35" s="41">
        <v>237.5</v>
      </c>
      <c r="Q35" s="58" t="s">
        <v>106</v>
      </c>
      <c r="R35" s="40" t="s">
        <v>107</v>
      </c>
    </row>
    <row r="36" spans="1:18" ht="234.6">
      <c r="A36" s="53" t="s">
        <v>88</v>
      </c>
      <c r="B36" s="60"/>
      <c r="C36" s="61" t="s">
        <v>108</v>
      </c>
      <c r="D36" s="40" t="s">
        <v>109</v>
      </c>
      <c r="E36" s="40" t="s">
        <v>110</v>
      </c>
      <c r="F36" s="40" t="s">
        <v>111</v>
      </c>
      <c r="G36" s="40" t="s">
        <v>78</v>
      </c>
      <c r="H36" s="40" t="s">
        <v>112</v>
      </c>
      <c r="I36" s="62" t="s">
        <v>113</v>
      </c>
      <c r="J36" s="62" t="s">
        <v>114</v>
      </c>
      <c r="K36" s="62" t="s">
        <v>115</v>
      </c>
      <c r="L36" s="56" t="s">
        <v>116</v>
      </c>
      <c r="M36" s="40" t="s">
        <v>84</v>
      </c>
      <c r="N36" s="40" t="s">
        <v>85</v>
      </c>
      <c r="O36" s="57">
        <v>810</v>
      </c>
      <c r="P36" s="92" t="s">
        <v>246</v>
      </c>
      <c r="Q36" s="40" t="s">
        <v>117</v>
      </c>
      <c r="R36" s="40" t="s">
        <v>118</v>
      </c>
    </row>
    <row r="37" spans="1:18" ht="248.4">
      <c r="A37" s="64"/>
      <c r="B37" s="65"/>
      <c r="C37" s="61" t="s">
        <v>119</v>
      </c>
      <c r="D37" s="40" t="s">
        <v>120</v>
      </c>
      <c r="E37" s="40" t="s">
        <v>121</v>
      </c>
      <c r="F37" s="40" t="s">
        <v>122</v>
      </c>
      <c r="G37" s="40" t="s">
        <v>78</v>
      </c>
      <c r="H37" s="40" t="s">
        <v>112</v>
      </c>
      <c r="I37" s="62" t="s">
        <v>123</v>
      </c>
      <c r="J37" s="62" t="s">
        <v>124</v>
      </c>
      <c r="K37" s="62" t="s">
        <v>125</v>
      </c>
      <c r="L37" s="56" t="s">
        <v>116</v>
      </c>
      <c r="M37" s="40" t="s">
        <v>84</v>
      </c>
      <c r="N37" s="40" t="s">
        <v>85</v>
      </c>
      <c r="O37" s="57">
        <v>990</v>
      </c>
      <c r="P37" s="92" t="s">
        <v>247</v>
      </c>
      <c r="Q37" s="41" t="s">
        <v>126</v>
      </c>
      <c r="R37" s="40" t="s">
        <v>127</v>
      </c>
    </row>
    <row r="38" spans="1:18" ht="96.6">
      <c r="A38" s="53" t="s">
        <v>74</v>
      </c>
      <c r="B38" s="66" t="s">
        <v>97</v>
      </c>
      <c r="C38" s="28" t="s">
        <v>128</v>
      </c>
      <c r="D38" s="40" t="s">
        <v>129</v>
      </c>
      <c r="E38" s="40" t="s">
        <v>130</v>
      </c>
      <c r="F38" s="40" t="s">
        <v>131</v>
      </c>
      <c r="G38" s="40" t="s">
        <v>78</v>
      </c>
      <c r="H38" s="40" t="s">
        <v>79</v>
      </c>
      <c r="I38" s="67" t="s">
        <v>132</v>
      </c>
      <c r="J38" s="67" t="s">
        <v>133</v>
      </c>
      <c r="K38" s="67">
        <v>4</v>
      </c>
      <c r="L38" s="56" t="s">
        <v>104</v>
      </c>
      <c r="M38" s="40" t="s">
        <v>105</v>
      </c>
      <c r="N38" s="68" t="s">
        <v>85</v>
      </c>
      <c r="O38" s="57">
        <v>450</v>
      </c>
      <c r="P38" s="92">
        <v>234</v>
      </c>
      <c r="Q38" s="41" t="s">
        <v>106</v>
      </c>
      <c r="R38" s="40" t="s">
        <v>134</v>
      </c>
    </row>
    <row r="39" spans="1:18" ht="335.25" customHeight="1">
      <c r="A39" s="69" t="s">
        <v>88</v>
      </c>
      <c r="B39" s="70"/>
      <c r="C39" s="61" t="s">
        <v>135</v>
      </c>
      <c r="D39" s="71" t="s">
        <v>136</v>
      </c>
      <c r="E39" s="40" t="s">
        <v>137</v>
      </c>
      <c r="F39" s="40" t="s">
        <v>138</v>
      </c>
      <c r="G39" s="40" t="s">
        <v>78</v>
      </c>
      <c r="H39" s="40" t="s">
        <v>112</v>
      </c>
      <c r="I39" s="67" t="s">
        <v>139</v>
      </c>
      <c r="J39" s="67" t="s">
        <v>140</v>
      </c>
      <c r="K39" s="67" t="s">
        <v>141</v>
      </c>
      <c r="L39" s="56" t="s">
        <v>116</v>
      </c>
      <c r="M39" s="40" t="s">
        <v>84</v>
      </c>
      <c r="N39" s="68" t="s">
        <v>85</v>
      </c>
      <c r="O39" s="72">
        <v>5600</v>
      </c>
      <c r="P39" s="93" t="s">
        <v>248</v>
      </c>
      <c r="Q39" s="58" t="s">
        <v>142</v>
      </c>
      <c r="R39" s="40" t="s">
        <v>143</v>
      </c>
    </row>
    <row r="40" spans="1:18" ht="179.4">
      <c r="A40" s="53" t="s">
        <v>88</v>
      </c>
      <c r="B40" s="66" t="s">
        <v>97</v>
      </c>
      <c r="C40" s="28" t="s">
        <v>144</v>
      </c>
      <c r="D40" s="40" t="s">
        <v>145</v>
      </c>
      <c r="E40" s="40" t="s">
        <v>146</v>
      </c>
      <c r="F40" s="40" t="s">
        <v>147</v>
      </c>
      <c r="G40" s="40" t="s">
        <v>78</v>
      </c>
      <c r="H40" s="40" t="s">
        <v>79</v>
      </c>
      <c r="I40" s="67" t="s">
        <v>148</v>
      </c>
      <c r="J40" s="67" t="s">
        <v>149</v>
      </c>
      <c r="K40" s="67" t="s">
        <v>150</v>
      </c>
      <c r="L40" s="56" t="s">
        <v>116</v>
      </c>
      <c r="M40" s="40" t="s">
        <v>84</v>
      </c>
      <c r="N40" s="68" t="s">
        <v>85</v>
      </c>
      <c r="O40" s="42">
        <v>470</v>
      </c>
      <c r="P40" s="92" t="s">
        <v>249</v>
      </c>
      <c r="Q40" s="41" t="s">
        <v>151</v>
      </c>
      <c r="R40" s="40" t="s">
        <v>152</v>
      </c>
    </row>
    <row r="41" spans="1:18" ht="151.80000000000001">
      <c r="A41" s="53" t="s">
        <v>74</v>
      </c>
      <c r="B41" s="70"/>
      <c r="C41" s="12" t="s">
        <v>153</v>
      </c>
      <c r="D41" s="74" t="s">
        <v>154</v>
      </c>
      <c r="E41" s="74" t="s">
        <v>155</v>
      </c>
      <c r="F41" s="40" t="s">
        <v>156</v>
      </c>
      <c r="G41" s="40" t="s">
        <v>78</v>
      </c>
      <c r="H41" s="40" t="s">
        <v>112</v>
      </c>
      <c r="I41" s="67" t="s">
        <v>157</v>
      </c>
      <c r="J41" s="67" t="s">
        <v>158</v>
      </c>
      <c r="K41" s="67">
        <v>4</v>
      </c>
      <c r="L41" s="56" t="s">
        <v>104</v>
      </c>
      <c r="M41" s="40" t="s">
        <v>105</v>
      </c>
      <c r="N41" s="57" t="s">
        <v>85</v>
      </c>
      <c r="O41" s="57">
        <v>66</v>
      </c>
      <c r="P41" s="92">
        <v>35.5</v>
      </c>
      <c r="Q41" s="41" t="s">
        <v>151</v>
      </c>
      <c r="R41" s="40" t="s">
        <v>159</v>
      </c>
    </row>
    <row r="42" spans="1:18" ht="151.80000000000001">
      <c r="A42" s="64"/>
      <c r="B42" s="70"/>
      <c r="C42" s="61" t="s">
        <v>160</v>
      </c>
      <c r="D42" s="40" t="s">
        <v>161</v>
      </c>
      <c r="E42" s="56" t="s">
        <v>162</v>
      </c>
      <c r="F42" s="40" t="s">
        <v>163</v>
      </c>
      <c r="G42" s="40" t="s">
        <v>78</v>
      </c>
      <c r="H42" s="56" t="s">
        <v>112</v>
      </c>
      <c r="I42" s="67" t="s">
        <v>164</v>
      </c>
      <c r="J42" s="67" t="s">
        <v>165</v>
      </c>
      <c r="K42" s="67" t="s">
        <v>166</v>
      </c>
      <c r="L42" s="56" t="s">
        <v>116</v>
      </c>
      <c r="M42" s="56" t="s">
        <v>84</v>
      </c>
      <c r="N42" s="75" t="s">
        <v>85</v>
      </c>
      <c r="O42" s="76">
        <v>15</v>
      </c>
      <c r="P42" s="94" t="s">
        <v>250</v>
      </c>
      <c r="Q42" s="78" t="s">
        <v>167</v>
      </c>
      <c r="R42" s="56" t="s">
        <v>168</v>
      </c>
    </row>
    <row r="43" spans="1:18" ht="207">
      <c r="A43" s="64"/>
      <c r="B43" s="70"/>
      <c r="C43" s="61" t="s">
        <v>169</v>
      </c>
      <c r="D43" s="40" t="s">
        <v>170</v>
      </c>
      <c r="E43" s="56" t="s">
        <v>171</v>
      </c>
      <c r="F43" s="40" t="s">
        <v>172</v>
      </c>
      <c r="G43" s="40" t="s">
        <v>78</v>
      </c>
      <c r="H43" s="56" t="s">
        <v>112</v>
      </c>
      <c r="I43" s="67" t="s">
        <v>173</v>
      </c>
      <c r="J43" s="67" t="s">
        <v>174</v>
      </c>
      <c r="K43" s="67" t="s">
        <v>175</v>
      </c>
      <c r="L43" s="56" t="s">
        <v>116</v>
      </c>
      <c r="M43" s="56" t="s">
        <v>84</v>
      </c>
      <c r="N43" s="75" t="s">
        <v>85</v>
      </c>
      <c r="O43" s="76">
        <v>25</v>
      </c>
      <c r="P43" s="94" t="s">
        <v>251</v>
      </c>
      <c r="Q43" s="78" t="s">
        <v>176</v>
      </c>
      <c r="R43" s="56" t="s">
        <v>177</v>
      </c>
    </row>
    <row r="44" spans="1:18" ht="179.4">
      <c r="A44" s="53" t="s">
        <v>74</v>
      </c>
      <c r="B44" s="66" t="s">
        <v>178</v>
      </c>
      <c r="C44" s="28" t="s">
        <v>179</v>
      </c>
      <c r="D44" s="40" t="s">
        <v>180</v>
      </c>
      <c r="E44" s="40" t="s">
        <v>181</v>
      </c>
      <c r="F44" s="40" t="s">
        <v>182</v>
      </c>
      <c r="G44" s="40" t="s">
        <v>78</v>
      </c>
      <c r="H44" s="56" t="s">
        <v>79</v>
      </c>
      <c r="I44" s="67" t="s">
        <v>183</v>
      </c>
      <c r="J44" s="67" t="s">
        <v>184</v>
      </c>
      <c r="K44" s="67">
        <v>4</v>
      </c>
      <c r="L44" s="56" t="s">
        <v>116</v>
      </c>
      <c r="M44" s="40" t="s">
        <v>105</v>
      </c>
      <c r="N44" s="40">
        <v>1853</v>
      </c>
      <c r="O44" s="57">
        <v>6000</v>
      </c>
      <c r="P44" s="92">
        <v>3809.8</v>
      </c>
      <c r="Q44" s="41" t="s">
        <v>185</v>
      </c>
      <c r="R44" s="40" t="s">
        <v>186</v>
      </c>
    </row>
    <row r="45" spans="1:18" ht="193.2">
      <c r="A45" s="64"/>
      <c r="B45" s="79"/>
      <c r="C45" s="12" t="s">
        <v>187</v>
      </c>
      <c r="D45" s="40" t="s">
        <v>188</v>
      </c>
      <c r="E45" s="40" t="s">
        <v>189</v>
      </c>
      <c r="F45" s="40" t="s">
        <v>190</v>
      </c>
      <c r="G45" s="40" t="s">
        <v>78</v>
      </c>
      <c r="H45" s="40" t="s">
        <v>112</v>
      </c>
      <c r="I45" s="67" t="s">
        <v>191</v>
      </c>
      <c r="J45" s="67" t="s">
        <v>192</v>
      </c>
      <c r="K45" s="67" t="s">
        <v>193</v>
      </c>
      <c r="L45" s="56" t="s">
        <v>116</v>
      </c>
      <c r="M45" s="40" t="s">
        <v>84</v>
      </c>
      <c r="N45" s="58">
        <v>22</v>
      </c>
      <c r="O45" s="42">
        <v>22</v>
      </c>
      <c r="P45" s="92" t="s">
        <v>252</v>
      </c>
      <c r="Q45" s="58" t="s">
        <v>185</v>
      </c>
      <c r="R45" s="40" t="s">
        <v>194</v>
      </c>
    </row>
    <row r="46" spans="1:18" ht="124.2">
      <c r="A46" s="53" t="s">
        <v>88</v>
      </c>
      <c r="B46" s="65"/>
      <c r="C46" s="61" t="s">
        <v>195</v>
      </c>
      <c r="D46" s="40" t="s">
        <v>196</v>
      </c>
      <c r="E46" s="40" t="s">
        <v>197</v>
      </c>
      <c r="F46" s="40" t="s">
        <v>198</v>
      </c>
      <c r="G46" s="40" t="s">
        <v>78</v>
      </c>
      <c r="H46" s="40" t="s">
        <v>112</v>
      </c>
      <c r="I46" s="67" t="s">
        <v>199</v>
      </c>
      <c r="J46" s="67" t="s">
        <v>200</v>
      </c>
      <c r="K46" s="67" t="s">
        <v>201</v>
      </c>
      <c r="L46" s="56" t="s">
        <v>116</v>
      </c>
      <c r="M46" s="40" t="s">
        <v>84</v>
      </c>
      <c r="N46" s="75" t="s">
        <v>85</v>
      </c>
      <c r="O46" s="42">
        <v>22000</v>
      </c>
      <c r="P46" s="92" t="s">
        <v>253</v>
      </c>
      <c r="Q46" s="58" t="s">
        <v>126</v>
      </c>
      <c r="R46" s="40" t="s">
        <v>202</v>
      </c>
    </row>
    <row r="47" spans="1:18" ht="276">
      <c r="A47" s="53" t="s">
        <v>74</v>
      </c>
      <c r="B47" s="66" t="s">
        <v>97</v>
      </c>
      <c r="C47" s="28" t="s">
        <v>203</v>
      </c>
      <c r="D47" s="40" t="s">
        <v>204</v>
      </c>
      <c r="E47" s="40" t="s">
        <v>205</v>
      </c>
      <c r="F47" s="40" t="s">
        <v>206</v>
      </c>
      <c r="G47" s="40" t="s">
        <v>78</v>
      </c>
      <c r="H47" s="40" t="s">
        <v>79</v>
      </c>
      <c r="I47" s="67" t="s">
        <v>207</v>
      </c>
      <c r="J47" s="67" t="s">
        <v>208</v>
      </c>
      <c r="K47" s="67" t="s">
        <v>209</v>
      </c>
      <c r="L47" s="56" t="s">
        <v>116</v>
      </c>
      <c r="M47" s="40" t="s">
        <v>84</v>
      </c>
      <c r="N47" s="75" t="s">
        <v>85</v>
      </c>
      <c r="O47" s="42">
        <v>7920</v>
      </c>
      <c r="P47" s="92" t="s">
        <v>254</v>
      </c>
      <c r="Q47" s="41" t="s">
        <v>210</v>
      </c>
      <c r="R47" s="40" t="s">
        <v>211</v>
      </c>
    </row>
    <row r="48" spans="1:18" ht="124.2">
      <c r="A48" s="53" t="s">
        <v>88</v>
      </c>
      <c r="B48" s="79"/>
      <c r="C48" s="12" t="s">
        <v>212</v>
      </c>
      <c r="D48" s="74" t="s">
        <v>213</v>
      </c>
      <c r="E48" s="40" t="s">
        <v>214</v>
      </c>
      <c r="F48" s="40" t="s">
        <v>215</v>
      </c>
      <c r="G48" s="40" t="s">
        <v>78</v>
      </c>
      <c r="H48" s="40" t="s">
        <v>112</v>
      </c>
      <c r="I48" s="67" t="s">
        <v>216</v>
      </c>
      <c r="J48" s="67" t="s">
        <v>217</v>
      </c>
      <c r="K48" s="67" t="s">
        <v>218</v>
      </c>
      <c r="L48" s="56" t="s">
        <v>116</v>
      </c>
      <c r="M48" s="40" t="s">
        <v>84</v>
      </c>
      <c r="N48" s="75" t="s">
        <v>85</v>
      </c>
      <c r="O48" s="42">
        <v>7250</v>
      </c>
      <c r="P48" s="41" t="s">
        <v>255</v>
      </c>
      <c r="Q48" s="58" t="s">
        <v>210</v>
      </c>
      <c r="R48" s="40" t="s">
        <v>219</v>
      </c>
    </row>
    <row r="49" spans="1:18" ht="138">
      <c r="A49" s="53" t="s">
        <v>88</v>
      </c>
      <c r="C49" s="61" t="s">
        <v>220</v>
      </c>
      <c r="D49" s="74" t="s">
        <v>221</v>
      </c>
      <c r="E49" s="40" t="s">
        <v>222</v>
      </c>
      <c r="F49" s="40" t="s">
        <v>223</v>
      </c>
      <c r="G49" s="40" t="s">
        <v>78</v>
      </c>
      <c r="H49" s="40" t="s">
        <v>112</v>
      </c>
      <c r="I49" s="67" t="s">
        <v>224</v>
      </c>
      <c r="J49" s="67" t="s">
        <v>225</v>
      </c>
      <c r="K49" s="67" t="s">
        <v>218</v>
      </c>
      <c r="L49" s="56" t="s">
        <v>116</v>
      </c>
      <c r="M49" s="40" t="s">
        <v>84</v>
      </c>
      <c r="N49" s="75" t="s">
        <v>85</v>
      </c>
      <c r="O49" s="42">
        <v>670</v>
      </c>
      <c r="P49" s="41" t="s">
        <v>256</v>
      </c>
      <c r="Q49" s="58" t="s">
        <v>210</v>
      </c>
      <c r="R49" s="40" t="s">
        <v>226</v>
      </c>
    </row>
    <row r="50" spans="1:18" ht="15.6">
      <c r="A50" s="19"/>
      <c r="C50" s="80"/>
      <c r="D50" s="81"/>
      <c r="E50" s="82"/>
      <c r="F50" s="82"/>
      <c r="G50" s="83"/>
      <c r="H50" s="83"/>
      <c r="I50" s="82"/>
      <c r="J50" s="84"/>
      <c r="K50" s="84"/>
      <c r="L50" s="83"/>
      <c r="M50" s="83"/>
      <c r="N50" s="85"/>
      <c r="O50" s="82"/>
      <c r="P50" s="85"/>
      <c r="Q50" s="82"/>
      <c r="R50" s="83"/>
    </row>
    <row r="51" spans="1:18" ht="15.6">
      <c r="A51" s="19"/>
      <c r="D51" s="86"/>
      <c r="E51" s="86"/>
      <c r="F51" s="86"/>
      <c r="G51" s="86"/>
      <c r="H51" s="86"/>
    </row>
    <row r="52" spans="1:18" ht="15.6">
      <c r="A52" s="19"/>
      <c r="D52" s="86"/>
      <c r="E52" s="86"/>
      <c r="F52" s="86"/>
      <c r="G52" s="86"/>
      <c r="H52" s="86"/>
    </row>
    <row r="53" spans="1:18" ht="15.6">
      <c r="A53" s="19"/>
      <c r="D53" s="86"/>
      <c r="E53" s="86"/>
      <c r="F53" s="86"/>
      <c r="G53" s="86"/>
      <c r="H53" s="86"/>
    </row>
    <row r="54" spans="1:18" ht="15.6">
      <c r="A54" s="19"/>
      <c r="D54" s="86"/>
      <c r="E54" s="86"/>
      <c r="F54" s="86"/>
      <c r="G54" s="86"/>
      <c r="H54" s="86"/>
    </row>
    <row r="55" spans="1:18" ht="15.6">
      <c r="A55" s="19"/>
      <c r="D55" s="86"/>
      <c r="E55" s="86"/>
      <c r="F55" s="86"/>
      <c r="G55" s="86"/>
      <c r="H55" s="86"/>
    </row>
    <row r="56" spans="1:18" ht="15.6">
      <c r="A56" s="19"/>
      <c r="D56" s="86"/>
      <c r="E56" s="86"/>
      <c r="F56" s="86"/>
      <c r="G56" s="86"/>
      <c r="H56" s="86"/>
    </row>
    <row r="57" spans="1:18" ht="15.6">
      <c r="A57" s="19"/>
      <c r="D57" s="86"/>
      <c r="E57" s="86"/>
      <c r="F57" s="86"/>
      <c r="G57" s="86"/>
      <c r="H57" s="86"/>
    </row>
    <row r="58" spans="1:18" ht="15.6">
      <c r="A58" s="19"/>
      <c r="D58" s="86"/>
      <c r="E58" s="86"/>
      <c r="F58" s="86"/>
      <c r="G58" s="86"/>
      <c r="H58" s="86"/>
    </row>
    <row r="59" spans="1:18" ht="15.6">
      <c r="A59" s="8"/>
      <c r="B59" s="9"/>
      <c r="C59" s="9"/>
      <c r="D59" s="70"/>
      <c r="E59" s="70"/>
      <c r="F59" s="70"/>
      <c r="G59" s="70"/>
      <c r="H59" s="70"/>
      <c r="I59" s="70"/>
      <c r="J59" s="86"/>
      <c r="K59" s="11"/>
      <c r="L59" s="11"/>
      <c r="M59" s="11"/>
      <c r="N59" s="11"/>
      <c r="O59" s="11"/>
      <c r="P59" s="11"/>
      <c r="Q59" s="11"/>
      <c r="R59" s="11"/>
    </row>
    <row r="60" spans="1:18" ht="15.6">
      <c r="A60" s="64"/>
      <c r="B60" s="11"/>
      <c r="C60" s="87" t="s">
        <v>227</v>
      </c>
      <c r="D60" s="175"/>
      <c r="E60" s="176"/>
      <c r="F60" s="176"/>
      <c r="G60" s="177"/>
      <c r="H60" s="14" t="s">
        <v>7</v>
      </c>
      <c r="I60" s="168" t="s">
        <v>228</v>
      </c>
      <c r="J60" s="163"/>
      <c r="K60" s="163"/>
      <c r="L60" s="163"/>
      <c r="M60" s="163"/>
      <c r="N60" s="163"/>
      <c r="O60" s="163"/>
      <c r="P60" s="163"/>
      <c r="Q60" s="163"/>
      <c r="R60" s="164"/>
    </row>
    <row r="61" spans="1:18" ht="15.6">
      <c r="A61" s="64"/>
      <c r="B61" s="11"/>
      <c r="C61" s="12" t="s">
        <v>229</v>
      </c>
      <c r="D61" s="166"/>
      <c r="E61" s="163"/>
      <c r="F61" s="163"/>
      <c r="G61" s="164"/>
      <c r="H61" s="14" t="s">
        <v>7</v>
      </c>
      <c r="I61" s="88" t="s">
        <v>230</v>
      </c>
      <c r="J61" s="89" t="s">
        <v>231</v>
      </c>
      <c r="K61" s="89" t="s">
        <v>232</v>
      </c>
      <c r="L61" s="89" t="s">
        <v>233</v>
      </c>
      <c r="M61" s="89" t="s">
        <v>234</v>
      </c>
      <c r="N61" s="89" t="s">
        <v>41</v>
      </c>
      <c r="O61" s="89" t="s">
        <v>235</v>
      </c>
      <c r="P61" s="89" t="s">
        <v>236</v>
      </c>
      <c r="Q61" s="89" t="s">
        <v>237</v>
      </c>
      <c r="R61" s="89" t="s">
        <v>238</v>
      </c>
    </row>
    <row r="62" spans="1:18" ht="15.6">
      <c r="A62" s="64"/>
      <c r="B62" s="11"/>
      <c r="C62" s="12" t="s">
        <v>241</v>
      </c>
      <c r="D62" s="166"/>
      <c r="E62" s="163"/>
      <c r="F62" s="163"/>
      <c r="G62" s="164"/>
      <c r="H62" s="14" t="s">
        <v>7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</row>
    <row r="63" spans="1:18" ht="15.6">
      <c r="A63" s="64"/>
      <c r="B63" s="11"/>
      <c r="C63" s="61" t="s">
        <v>242</v>
      </c>
      <c r="D63" s="178"/>
      <c r="E63" s="163"/>
      <c r="F63" s="163"/>
      <c r="G63" s="164"/>
      <c r="H63" s="86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ht="15.6">
      <c r="A64" s="64"/>
      <c r="B64" s="11"/>
      <c r="C64" s="12" t="s">
        <v>243</v>
      </c>
      <c r="D64" s="179"/>
      <c r="E64" s="163"/>
      <c r="F64" s="163"/>
      <c r="G64" s="164"/>
      <c r="H64" s="14" t="s">
        <v>7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ht="15.6">
      <c r="A65" s="64"/>
      <c r="B65" s="11"/>
      <c r="C65" s="12" t="s">
        <v>244</v>
      </c>
      <c r="D65" s="166"/>
      <c r="E65" s="163"/>
      <c r="F65" s="163"/>
      <c r="G65" s="164"/>
      <c r="H65" s="86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ht="31.2">
      <c r="A66" s="64"/>
      <c r="B66" s="11"/>
      <c r="C66" s="12" t="s">
        <v>245</v>
      </c>
      <c r="D66" s="167"/>
      <c r="E66" s="163"/>
      <c r="F66" s="163"/>
      <c r="G66" s="164"/>
      <c r="H66" s="86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ht="15.6">
      <c r="A67" s="64"/>
      <c r="B67" s="11"/>
      <c r="C67" s="11"/>
      <c r="D67" s="86"/>
      <c r="E67" s="86"/>
      <c r="F67" s="86"/>
      <c r="G67" s="86"/>
      <c r="H67" s="86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ht="15.6">
      <c r="A68" s="64"/>
      <c r="B68" s="11"/>
      <c r="C68" s="11"/>
      <c r="D68" s="86"/>
      <c r="E68" s="86"/>
      <c r="F68" s="86"/>
      <c r="G68" s="86"/>
      <c r="H68" s="86"/>
      <c r="I68" s="11"/>
      <c r="J68" s="11"/>
      <c r="K68" s="11"/>
      <c r="L68" s="11"/>
      <c r="M68" s="11"/>
      <c r="N68" s="11"/>
      <c r="O68" s="11"/>
      <c r="P68" s="11"/>
      <c r="Q68" s="11"/>
      <c r="R68" s="11"/>
    </row>
    <row r="69" spans="1:18" ht="15.6">
      <c r="A69" s="19"/>
      <c r="D69" s="86"/>
      <c r="E69" s="86"/>
      <c r="F69" s="86"/>
      <c r="G69" s="86"/>
      <c r="H69" s="86"/>
    </row>
    <row r="70" spans="1:18" ht="15.6">
      <c r="A70" s="19"/>
      <c r="D70" s="86"/>
      <c r="E70" s="86"/>
      <c r="F70" s="86"/>
      <c r="G70" s="86"/>
      <c r="H70" s="86"/>
    </row>
    <row r="71" spans="1:18" ht="15.6">
      <c r="A71" s="19"/>
      <c r="D71" s="86"/>
      <c r="E71" s="86"/>
      <c r="F71" s="86"/>
      <c r="G71" s="86"/>
      <c r="H71" s="86"/>
    </row>
    <row r="72" spans="1:18" ht="15.6">
      <c r="A72" s="19"/>
      <c r="D72" s="86"/>
      <c r="E72" s="86"/>
      <c r="F72" s="86"/>
      <c r="G72" s="86"/>
      <c r="H72" s="86"/>
    </row>
    <row r="73" spans="1:18" ht="15.6">
      <c r="A73" s="19"/>
      <c r="D73" s="86"/>
      <c r="E73" s="86"/>
      <c r="F73" s="86"/>
      <c r="G73" s="86"/>
      <c r="H73" s="86"/>
    </row>
    <row r="74" spans="1:18" ht="15.6">
      <c r="A74" s="19"/>
      <c r="D74" s="86"/>
      <c r="E74" s="86"/>
      <c r="F74" s="86"/>
      <c r="G74" s="86"/>
      <c r="H74" s="86"/>
    </row>
    <row r="75" spans="1:18" ht="15.6">
      <c r="A75" s="19"/>
      <c r="D75" s="86"/>
      <c r="E75" s="86"/>
      <c r="F75" s="86"/>
      <c r="G75" s="86"/>
      <c r="H75" s="86"/>
    </row>
    <row r="76" spans="1:18" ht="15.6">
      <c r="A76" s="19"/>
      <c r="D76" s="86"/>
      <c r="E76" s="86"/>
      <c r="F76" s="86"/>
      <c r="G76" s="86"/>
      <c r="H76" s="86"/>
    </row>
    <row r="77" spans="1:18" ht="15.6">
      <c r="A77" s="19"/>
      <c r="D77" s="86"/>
      <c r="E77" s="86"/>
      <c r="F77" s="86"/>
      <c r="G77" s="86"/>
      <c r="H77" s="86"/>
    </row>
    <row r="78" spans="1:18" ht="15.6">
      <c r="A78" s="19"/>
      <c r="D78" s="86"/>
      <c r="E78" s="86"/>
      <c r="F78" s="86"/>
      <c r="G78" s="86"/>
      <c r="H78" s="86"/>
    </row>
    <row r="79" spans="1:18" ht="15.6">
      <c r="A79" s="19"/>
      <c r="D79" s="86"/>
      <c r="E79" s="86"/>
      <c r="F79" s="86"/>
      <c r="G79" s="86"/>
      <c r="H79" s="86"/>
    </row>
    <row r="80" spans="1:18" ht="15.6">
      <c r="A80" s="19"/>
      <c r="D80" s="86"/>
      <c r="E80" s="86"/>
      <c r="F80" s="86"/>
      <c r="G80" s="86"/>
      <c r="H80" s="86"/>
    </row>
    <row r="81" spans="1:8" ht="15.6">
      <c r="A81" s="19"/>
      <c r="D81" s="86"/>
      <c r="E81" s="86"/>
      <c r="F81" s="86"/>
      <c r="G81" s="86"/>
      <c r="H81" s="86"/>
    </row>
    <row r="82" spans="1:8" ht="15.6">
      <c r="A82" s="19"/>
      <c r="D82" s="86"/>
      <c r="E82" s="86"/>
      <c r="F82" s="86"/>
      <c r="G82" s="86"/>
      <c r="H82" s="86"/>
    </row>
    <row r="83" spans="1:8" ht="15.6">
      <c r="A83" s="19"/>
      <c r="D83" s="86"/>
      <c r="E83" s="86"/>
      <c r="F83" s="86"/>
      <c r="G83" s="86"/>
      <c r="H83" s="86"/>
    </row>
    <row r="84" spans="1:8" ht="15.6">
      <c r="A84" s="19"/>
      <c r="D84" s="86"/>
      <c r="E84" s="86"/>
      <c r="F84" s="86"/>
      <c r="G84" s="86"/>
      <c r="H84" s="86"/>
    </row>
    <row r="85" spans="1:8" ht="15.6">
      <c r="A85" s="19"/>
      <c r="D85" s="86"/>
      <c r="E85" s="86"/>
      <c r="F85" s="86"/>
      <c r="G85" s="86"/>
      <c r="H85" s="86"/>
    </row>
    <row r="86" spans="1:8" ht="15.6">
      <c r="A86" s="19"/>
      <c r="D86" s="86"/>
      <c r="E86" s="86"/>
      <c r="F86" s="86"/>
      <c r="G86" s="86"/>
      <c r="H86" s="86"/>
    </row>
    <row r="87" spans="1:8" ht="15.6">
      <c r="A87" s="19"/>
      <c r="D87" s="86"/>
      <c r="E87" s="86"/>
      <c r="F87" s="86"/>
      <c r="G87" s="86"/>
      <c r="H87" s="86"/>
    </row>
    <row r="88" spans="1:8" ht="15.6">
      <c r="A88" s="19"/>
      <c r="D88" s="86"/>
      <c r="E88" s="86"/>
      <c r="F88" s="86"/>
      <c r="G88" s="86"/>
      <c r="H88" s="86"/>
    </row>
    <row r="89" spans="1:8" ht="15.6">
      <c r="A89" s="19"/>
      <c r="D89" s="86"/>
      <c r="E89" s="86"/>
      <c r="F89" s="86"/>
      <c r="G89" s="86"/>
      <c r="H89" s="86"/>
    </row>
    <row r="90" spans="1:8" ht="15.6">
      <c r="A90" s="19"/>
      <c r="D90" s="86"/>
      <c r="E90" s="86"/>
      <c r="F90" s="86"/>
      <c r="G90" s="86"/>
      <c r="H90" s="86"/>
    </row>
    <row r="91" spans="1:8" ht="15.6">
      <c r="A91" s="19"/>
      <c r="D91" s="86"/>
      <c r="E91" s="86"/>
      <c r="F91" s="86"/>
      <c r="G91" s="86"/>
      <c r="H91" s="86"/>
    </row>
    <row r="92" spans="1:8" ht="15.6">
      <c r="A92" s="19"/>
      <c r="D92" s="86"/>
      <c r="E92" s="86"/>
      <c r="F92" s="86"/>
      <c r="G92" s="86"/>
      <c r="H92" s="86"/>
    </row>
    <row r="93" spans="1:8" ht="15.6">
      <c r="A93" s="19"/>
      <c r="D93" s="86"/>
      <c r="E93" s="86"/>
      <c r="F93" s="86"/>
      <c r="G93" s="86"/>
      <c r="H93" s="86"/>
    </row>
    <row r="94" spans="1:8" ht="15.6">
      <c r="A94" s="19"/>
      <c r="D94" s="86"/>
      <c r="E94" s="86"/>
      <c r="F94" s="86"/>
      <c r="G94" s="86"/>
      <c r="H94" s="86"/>
    </row>
    <row r="95" spans="1:8" ht="15.6">
      <c r="A95" s="19"/>
      <c r="D95" s="86"/>
      <c r="E95" s="86"/>
      <c r="F95" s="86"/>
      <c r="G95" s="86"/>
      <c r="H95" s="86"/>
    </row>
    <row r="96" spans="1:8" ht="15.6">
      <c r="A96" s="19"/>
      <c r="D96" s="86"/>
      <c r="E96" s="86"/>
      <c r="F96" s="86"/>
      <c r="G96" s="86"/>
      <c r="H96" s="86"/>
    </row>
    <row r="97" spans="1:8" ht="15.6">
      <c r="A97" s="19"/>
      <c r="D97" s="86"/>
      <c r="E97" s="86"/>
      <c r="F97" s="86"/>
      <c r="G97" s="86"/>
      <c r="H97" s="86"/>
    </row>
    <row r="98" spans="1:8" ht="15.6">
      <c r="A98" s="19"/>
      <c r="D98" s="86"/>
      <c r="E98" s="86"/>
      <c r="F98" s="86"/>
      <c r="G98" s="86"/>
      <c r="H98" s="86"/>
    </row>
    <row r="99" spans="1:8" ht="15.6">
      <c r="A99" s="19"/>
      <c r="D99" s="86"/>
      <c r="E99" s="86"/>
      <c r="F99" s="86"/>
      <c r="G99" s="86"/>
      <c r="H99" s="86"/>
    </row>
    <row r="100" spans="1:8" ht="15.6">
      <c r="A100" s="19"/>
      <c r="D100" s="86"/>
      <c r="E100" s="86"/>
      <c r="F100" s="86"/>
      <c r="G100" s="86"/>
      <c r="H100" s="86"/>
    </row>
    <row r="101" spans="1:8" ht="15.6">
      <c r="A101" s="19"/>
      <c r="D101" s="86"/>
      <c r="E101" s="86"/>
      <c r="F101" s="86"/>
      <c r="G101" s="86"/>
      <c r="H101" s="86"/>
    </row>
    <row r="102" spans="1:8" ht="15.6">
      <c r="A102" s="19"/>
      <c r="D102" s="86"/>
      <c r="E102" s="86"/>
      <c r="F102" s="86"/>
      <c r="G102" s="86"/>
      <c r="H102" s="86"/>
    </row>
    <row r="103" spans="1:8" ht="15.6">
      <c r="A103" s="19"/>
      <c r="D103" s="86"/>
      <c r="E103" s="86"/>
      <c r="F103" s="86"/>
      <c r="G103" s="86"/>
      <c r="H103" s="86"/>
    </row>
    <row r="104" spans="1:8" ht="15.6">
      <c r="A104" s="19"/>
      <c r="D104" s="86"/>
      <c r="E104" s="86"/>
      <c r="F104" s="86"/>
      <c r="G104" s="86"/>
      <c r="H104" s="86"/>
    </row>
    <row r="105" spans="1:8" ht="15.6">
      <c r="A105" s="19"/>
      <c r="D105" s="86"/>
      <c r="E105" s="86"/>
      <c r="F105" s="86"/>
      <c r="G105" s="86"/>
      <c r="H105" s="86"/>
    </row>
    <row r="106" spans="1:8" ht="15.6">
      <c r="A106" s="19"/>
      <c r="D106" s="86"/>
      <c r="E106" s="86"/>
      <c r="F106" s="86"/>
      <c r="G106" s="86"/>
      <c r="H106" s="86"/>
    </row>
    <row r="107" spans="1:8" ht="15.6">
      <c r="A107" s="19"/>
      <c r="D107" s="86"/>
      <c r="E107" s="86"/>
      <c r="F107" s="86"/>
      <c r="G107" s="86"/>
      <c r="H107" s="86"/>
    </row>
    <row r="108" spans="1:8" ht="15.6">
      <c r="A108" s="19"/>
      <c r="D108" s="86"/>
      <c r="E108" s="86"/>
      <c r="F108" s="86"/>
      <c r="G108" s="86"/>
      <c r="H108" s="86"/>
    </row>
    <row r="109" spans="1:8" ht="15.6">
      <c r="A109" s="19"/>
      <c r="D109" s="86"/>
      <c r="E109" s="86"/>
      <c r="F109" s="86"/>
      <c r="G109" s="86"/>
      <c r="H109" s="86"/>
    </row>
    <row r="110" spans="1:8" ht="15.6">
      <c r="A110" s="19"/>
      <c r="D110" s="86"/>
      <c r="E110" s="86"/>
      <c r="F110" s="86"/>
      <c r="G110" s="86"/>
      <c r="H110" s="86"/>
    </row>
    <row r="111" spans="1:8" ht="15.6">
      <c r="A111" s="19"/>
      <c r="D111" s="86"/>
      <c r="E111" s="86"/>
      <c r="F111" s="86"/>
      <c r="G111" s="86"/>
      <c r="H111" s="86"/>
    </row>
    <row r="112" spans="1:8" ht="15.6">
      <c r="A112" s="19"/>
      <c r="D112" s="86"/>
      <c r="E112" s="86"/>
      <c r="F112" s="86"/>
      <c r="G112" s="86"/>
      <c r="H112" s="86"/>
    </row>
    <row r="113" spans="1:8" ht="15.6">
      <c r="A113" s="19"/>
      <c r="D113" s="86"/>
      <c r="E113" s="86"/>
      <c r="F113" s="86"/>
      <c r="G113" s="86"/>
      <c r="H113" s="86"/>
    </row>
    <row r="114" spans="1:8" ht="15.6">
      <c r="A114" s="19"/>
      <c r="D114" s="86"/>
      <c r="E114" s="86"/>
      <c r="F114" s="86"/>
      <c r="G114" s="86"/>
      <c r="H114" s="86"/>
    </row>
    <row r="115" spans="1:8" ht="15.6">
      <c r="A115" s="19"/>
      <c r="D115" s="86"/>
      <c r="E115" s="86"/>
      <c r="F115" s="86"/>
      <c r="G115" s="86"/>
      <c r="H115" s="86"/>
    </row>
    <row r="116" spans="1:8" ht="15.6">
      <c r="A116" s="19"/>
      <c r="D116" s="86"/>
      <c r="E116" s="86"/>
      <c r="F116" s="86"/>
      <c r="G116" s="86"/>
      <c r="H116" s="86"/>
    </row>
    <row r="117" spans="1:8" ht="15.6">
      <c r="A117" s="19"/>
      <c r="D117" s="86"/>
      <c r="E117" s="86"/>
      <c r="F117" s="86"/>
      <c r="G117" s="86"/>
      <c r="H117" s="86"/>
    </row>
    <row r="118" spans="1:8" ht="15.6">
      <c r="A118" s="19"/>
      <c r="D118" s="86"/>
      <c r="E118" s="86"/>
      <c r="F118" s="86"/>
      <c r="G118" s="86"/>
      <c r="H118" s="86"/>
    </row>
    <row r="119" spans="1:8" ht="15.6">
      <c r="A119" s="19"/>
      <c r="D119" s="86"/>
      <c r="E119" s="86"/>
      <c r="F119" s="86"/>
      <c r="G119" s="86"/>
      <c r="H119" s="86"/>
    </row>
    <row r="120" spans="1:8" ht="15.6">
      <c r="A120" s="19"/>
      <c r="D120" s="86"/>
      <c r="E120" s="86"/>
      <c r="F120" s="86"/>
      <c r="G120" s="86"/>
      <c r="H120" s="86"/>
    </row>
    <row r="121" spans="1:8" ht="15.6">
      <c r="A121" s="19"/>
      <c r="D121" s="86"/>
      <c r="E121" s="86"/>
      <c r="F121" s="86"/>
      <c r="G121" s="86"/>
      <c r="H121" s="86"/>
    </row>
    <row r="122" spans="1:8" ht="15.6">
      <c r="A122" s="19"/>
      <c r="D122" s="86"/>
      <c r="E122" s="86"/>
      <c r="F122" s="86"/>
      <c r="G122" s="86"/>
      <c r="H122" s="86"/>
    </row>
    <row r="123" spans="1:8" ht="15.6">
      <c r="A123" s="19"/>
      <c r="D123" s="86"/>
      <c r="E123" s="86"/>
      <c r="F123" s="86"/>
      <c r="G123" s="86"/>
      <c r="H123" s="86"/>
    </row>
    <row r="124" spans="1:8" ht="15.6">
      <c r="A124" s="19"/>
      <c r="D124" s="86"/>
      <c r="E124" s="86"/>
      <c r="F124" s="86"/>
      <c r="G124" s="86"/>
      <c r="H124" s="86"/>
    </row>
    <row r="125" spans="1:8" ht="15.6">
      <c r="A125" s="19"/>
      <c r="D125" s="86"/>
      <c r="E125" s="86"/>
      <c r="F125" s="86"/>
      <c r="G125" s="86"/>
      <c r="H125" s="86"/>
    </row>
    <row r="126" spans="1:8" ht="15.6">
      <c r="A126" s="19"/>
      <c r="D126" s="86"/>
      <c r="E126" s="86"/>
      <c r="F126" s="86"/>
      <c r="G126" s="86"/>
      <c r="H126" s="86"/>
    </row>
    <row r="127" spans="1:8" ht="15.6">
      <c r="A127" s="19"/>
      <c r="D127" s="86"/>
      <c r="E127" s="86"/>
      <c r="F127" s="86"/>
      <c r="G127" s="86"/>
      <c r="H127" s="86"/>
    </row>
    <row r="128" spans="1:8" ht="15.6">
      <c r="A128" s="19"/>
      <c r="D128" s="86"/>
      <c r="E128" s="86"/>
      <c r="F128" s="86"/>
      <c r="G128" s="86"/>
      <c r="H128" s="86"/>
    </row>
    <row r="129" spans="1:8" ht="15.6">
      <c r="A129" s="19"/>
      <c r="D129" s="86"/>
      <c r="E129" s="86"/>
      <c r="F129" s="86"/>
      <c r="G129" s="86"/>
      <c r="H129" s="86"/>
    </row>
    <row r="130" spans="1:8" ht="15.6">
      <c r="A130" s="19"/>
      <c r="D130" s="86"/>
      <c r="E130" s="86"/>
      <c r="F130" s="86"/>
      <c r="G130" s="86"/>
      <c r="H130" s="86"/>
    </row>
    <row r="131" spans="1:8" ht="15.6">
      <c r="A131" s="19"/>
      <c r="D131" s="86"/>
      <c r="E131" s="86"/>
      <c r="F131" s="86"/>
      <c r="G131" s="86"/>
      <c r="H131" s="86"/>
    </row>
    <row r="132" spans="1:8" ht="15.6">
      <c r="A132" s="19"/>
      <c r="D132" s="86"/>
      <c r="E132" s="86"/>
      <c r="F132" s="86"/>
      <c r="G132" s="86"/>
      <c r="H132" s="86"/>
    </row>
    <row r="133" spans="1:8" ht="15.6">
      <c r="A133" s="19"/>
      <c r="D133" s="86"/>
      <c r="E133" s="86"/>
      <c r="F133" s="86"/>
      <c r="G133" s="86"/>
      <c r="H133" s="86"/>
    </row>
    <row r="134" spans="1:8" ht="15.6">
      <c r="A134" s="19"/>
      <c r="D134" s="86"/>
      <c r="E134" s="86"/>
      <c r="F134" s="86"/>
      <c r="G134" s="86"/>
      <c r="H134" s="86"/>
    </row>
    <row r="135" spans="1:8" ht="15.6">
      <c r="A135" s="19"/>
      <c r="D135" s="86"/>
      <c r="E135" s="86"/>
      <c r="F135" s="86"/>
      <c r="G135" s="86"/>
      <c r="H135" s="86"/>
    </row>
    <row r="136" spans="1:8" ht="15.6">
      <c r="A136" s="19"/>
      <c r="D136" s="86"/>
      <c r="E136" s="86"/>
      <c r="F136" s="86"/>
      <c r="G136" s="86"/>
      <c r="H136" s="86"/>
    </row>
    <row r="137" spans="1:8" ht="15.6">
      <c r="A137" s="19"/>
      <c r="D137" s="86"/>
      <c r="E137" s="86"/>
      <c r="F137" s="86"/>
      <c r="G137" s="86"/>
      <c r="H137" s="86"/>
    </row>
    <row r="138" spans="1:8" ht="15.6">
      <c r="A138" s="19"/>
      <c r="D138" s="86"/>
      <c r="E138" s="86"/>
      <c r="F138" s="86"/>
      <c r="G138" s="86"/>
      <c r="H138" s="86"/>
    </row>
    <row r="139" spans="1:8" ht="15.6">
      <c r="A139" s="19"/>
      <c r="D139" s="86"/>
      <c r="E139" s="86"/>
      <c r="F139" s="86"/>
      <c r="G139" s="86"/>
      <c r="H139" s="86"/>
    </row>
    <row r="140" spans="1:8" ht="15.6">
      <c r="A140" s="19"/>
      <c r="D140" s="86"/>
      <c r="E140" s="86"/>
      <c r="F140" s="86"/>
      <c r="G140" s="86"/>
      <c r="H140" s="86"/>
    </row>
    <row r="141" spans="1:8" ht="15.6">
      <c r="A141" s="19"/>
      <c r="D141" s="86"/>
      <c r="E141" s="86"/>
      <c r="F141" s="86"/>
      <c r="G141" s="86"/>
      <c r="H141" s="86"/>
    </row>
    <row r="142" spans="1:8" ht="15.6">
      <c r="A142" s="19"/>
      <c r="D142" s="86"/>
      <c r="E142" s="86"/>
      <c r="F142" s="86"/>
      <c r="G142" s="86"/>
      <c r="H142" s="86"/>
    </row>
    <row r="143" spans="1:8" ht="15.6">
      <c r="A143" s="19"/>
      <c r="D143" s="86"/>
      <c r="E143" s="86"/>
      <c r="F143" s="86"/>
      <c r="G143" s="86"/>
      <c r="H143" s="86"/>
    </row>
    <row r="144" spans="1:8" ht="15.6">
      <c r="A144" s="19"/>
      <c r="D144" s="86"/>
      <c r="E144" s="86"/>
      <c r="F144" s="86"/>
      <c r="G144" s="86"/>
      <c r="H144" s="86"/>
    </row>
    <row r="145" spans="1:8" ht="15.6">
      <c r="A145" s="19"/>
      <c r="D145" s="86"/>
      <c r="E145" s="86"/>
      <c r="F145" s="86"/>
      <c r="G145" s="86"/>
      <c r="H145" s="86"/>
    </row>
    <row r="146" spans="1:8" ht="15.6">
      <c r="A146" s="19"/>
      <c r="D146" s="86"/>
      <c r="E146" s="86"/>
      <c r="F146" s="86"/>
      <c r="G146" s="86"/>
      <c r="H146" s="86"/>
    </row>
    <row r="147" spans="1:8" ht="15.6">
      <c r="A147" s="19"/>
      <c r="D147" s="86"/>
      <c r="E147" s="86"/>
      <c r="F147" s="86"/>
      <c r="G147" s="86"/>
      <c r="H147" s="86"/>
    </row>
    <row r="148" spans="1:8" ht="15.6">
      <c r="A148" s="19"/>
      <c r="D148" s="86"/>
      <c r="E148" s="86"/>
      <c r="F148" s="86"/>
      <c r="G148" s="86"/>
      <c r="H148" s="86"/>
    </row>
    <row r="149" spans="1:8" ht="15.6">
      <c r="A149" s="19"/>
      <c r="D149" s="86"/>
      <c r="E149" s="86"/>
      <c r="F149" s="86"/>
      <c r="G149" s="86"/>
      <c r="H149" s="86"/>
    </row>
    <row r="150" spans="1:8" ht="15.6">
      <c r="A150" s="19"/>
      <c r="D150" s="86"/>
      <c r="E150" s="86"/>
      <c r="F150" s="86"/>
      <c r="G150" s="86"/>
      <c r="H150" s="86"/>
    </row>
    <row r="151" spans="1:8" ht="15.6">
      <c r="A151" s="19"/>
      <c r="D151" s="86"/>
      <c r="E151" s="86"/>
      <c r="F151" s="86"/>
      <c r="G151" s="86"/>
      <c r="H151" s="86"/>
    </row>
    <row r="152" spans="1:8" ht="15.6">
      <c r="A152" s="19"/>
      <c r="D152" s="86"/>
      <c r="E152" s="86"/>
      <c r="F152" s="86"/>
      <c r="G152" s="86"/>
      <c r="H152" s="86"/>
    </row>
    <row r="153" spans="1:8" ht="15.6">
      <c r="A153" s="19"/>
      <c r="D153" s="86"/>
      <c r="E153" s="86"/>
      <c r="F153" s="86"/>
      <c r="G153" s="86"/>
      <c r="H153" s="86"/>
    </row>
    <row r="154" spans="1:8" ht="15.6">
      <c r="A154" s="19"/>
      <c r="D154" s="86"/>
      <c r="E154" s="86"/>
      <c r="F154" s="86"/>
      <c r="G154" s="86"/>
      <c r="H154" s="86"/>
    </row>
    <row r="155" spans="1:8" ht="15.6">
      <c r="A155" s="19"/>
      <c r="D155" s="86"/>
      <c r="E155" s="86"/>
      <c r="F155" s="86"/>
      <c r="G155" s="86"/>
      <c r="H155" s="86"/>
    </row>
    <row r="156" spans="1:8" ht="15.6">
      <c r="A156" s="19"/>
      <c r="D156" s="86"/>
      <c r="E156" s="86"/>
      <c r="F156" s="86"/>
      <c r="G156" s="86"/>
      <c r="H156" s="86"/>
    </row>
    <row r="157" spans="1:8" ht="15.6">
      <c r="A157" s="19"/>
      <c r="D157" s="86"/>
      <c r="E157" s="86"/>
      <c r="F157" s="86"/>
      <c r="G157" s="86"/>
      <c r="H157" s="86"/>
    </row>
    <row r="158" spans="1:8" ht="15.6">
      <c r="A158" s="19"/>
      <c r="D158" s="86"/>
      <c r="E158" s="86"/>
      <c r="F158" s="86"/>
      <c r="G158" s="86"/>
      <c r="H158" s="86"/>
    </row>
    <row r="159" spans="1:8" ht="15.6">
      <c r="A159" s="19"/>
      <c r="D159" s="86"/>
      <c r="E159" s="86"/>
      <c r="F159" s="86"/>
      <c r="G159" s="86"/>
      <c r="H159" s="86"/>
    </row>
    <row r="160" spans="1:8" ht="15.6">
      <c r="A160" s="19"/>
      <c r="D160" s="86"/>
      <c r="E160" s="86"/>
      <c r="F160" s="86"/>
      <c r="G160" s="86"/>
      <c r="H160" s="86"/>
    </row>
    <row r="161" spans="1:8" ht="15.6">
      <c r="A161" s="19"/>
      <c r="D161" s="86"/>
      <c r="E161" s="86"/>
      <c r="F161" s="86"/>
      <c r="G161" s="86"/>
      <c r="H161" s="86"/>
    </row>
    <row r="162" spans="1:8" ht="15.6">
      <c r="A162" s="19"/>
      <c r="D162" s="86"/>
      <c r="E162" s="86"/>
      <c r="F162" s="86"/>
      <c r="G162" s="86"/>
      <c r="H162" s="86"/>
    </row>
    <row r="163" spans="1:8" ht="15.6">
      <c r="A163" s="19"/>
      <c r="D163" s="86"/>
      <c r="E163" s="86"/>
      <c r="F163" s="86"/>
      <c r="G163" s="86"/>
      <c r="H163" s="86"/>
    </row>
    <row r="164" spans="1:8" ht="15.6">
      <c r="A164" s="19"/>
      <c r="D164" s="86"/>
      <c r="E164" s="86"/>
      <c r="F164" s="86"/>
      <c r="G164" s="86"/>
      <c r="H164" s="86"/>
    </row>
    <row r="165" spans="1:8" ht="15.6">
      <c r="A165" s="19"/>
      <c r="D165" s="86"/>
      <c r="E165" s="86"/>
      <c r="F165" s="86"/>
      <c r="G165" s="86"/>
      <c r="H165" s="86"/>
    </row>
    <row r="166" spans="1:8" ht="15.6">
      <c r="A166" s="19"/>
      <c r="D166" s="86"/>
      <c r="E166" s="86"/>
      <c r="F166" s="86"/>
      <c r="G166" s="86"/>
      <c r="H166" s="86"/>
    </row>
    <row r="167" spans="1:8" ht="15.6">
      <c r="A167" s="19"/>
      <c r="D167" s="86"/>
      <c r="E167" s="86"/>
      <c r="F167" s="86"/>
      <c r="G167" s="86"/>
      <c r="H167" s="86"/>
    </row>
    <row r="168" spans="1:8" ht="15.6">
      <c r="A168" s="19"/>
      <c r="D168" s="86"/>
      <c r="E168" s="86"/>
      <c r="F168" s="86"/>
      <c r="G168" s="86"/>
      <c r="H168" s="86"/>
    </row>
    <row r="169" spans="1:8" ht="15.6">
      <c r="A169" s="19"/>
      <c r="D169" s="86"/>
      <c r="E169" s="86"/>
      <c r="F169" s="86"/>
      <c r="G169" s="86"/>
      <c r="H169" s="86"/>
    </row>
    <row r="170" spans="1:8" ht="15.6">
      <c r="A170" s="19"/>
      <c r="D170" s="86"/>
      <c r="E170" s="86"/>
      <c r="F170" s="86"/>
      <c r="G170" s="86"/>
      <c r="H170" s="86"/>
    </row>
    <row r="171" spans="1:8" ht="15.6">
      <c r="A171" s="19"/>
      <c r="D171" s="86"/>
      <c r="E171" s="86"/>
      <c r="F171" s="86"/>
      <c r="G171" s="86"/>
      <c r="H171" s="86"/>
    </row>
    <row r="172" spans="1:8" ht="15.6">
      <c r="A172" s="19"/>
      <c r="D172" s="86"/>
      <c r="E172" s="86"/>
      <c r="F172" s="86"/>
      <c r="G172" s="86"/>
      <c r="H172" s="86"/>
    </row>
    <row r="173" spans="1:8" ht="15.6">
      <c r="A173" s="19"/>
      <c r="D173" s="86"/>
      <c r="E173" s="86"/>
      <c r="F173" s="86"/>
      <c r="G173" s="86"/>
      <c r="H173" s="86"/>
    </row>
    <row r="174" spans="1:8" ht="15.6">
      <c r="A174" s="19"/>
      <c r="D174" s="86"/>
      <c r="E174" s="86"/>
      <c r="F174" s="86"/>
      <c r="G174" s="86"/>
      <c r="H174" s="86"/>
    </row>
    <row r="175" spans="1:8" ht="15.6">
      <c r="A175" s="19"/>
      <c r="D175" s="86"/>
      <c r="E175" s="86"/>
      <c r="F175" s="86"/>
      <c r="G175" s="86"/>
      <c r="H175" s="86"/>
    </row>
    <row r="176" spans="1:8" ht="15.6">
      <c r="A176" s="19"/>
      <c r="D176" s="86"/>
      <c r="E176" s="86"/>
      <c r="F176" s="86"/>
      <c r="G176" s="86"/>
      <c r="H176" s="86"/>
    </row>
    <row r="177" spans="1:8" ht="15.6">
      <c r="A177" s="19"/>
      <c r="D177" s="86"/>
      <c r="E177" s="86"/>
      <c r="F177" s="86"/>
      <c r="G177" s="86"/>
      <c r="H177" s="86"/>
    </row>
    <row r="178" spans="1:8" ht="15.6">
      <c r="A178" s="19"/>
      <c r="D178" s="86"/>
      <c r="E178" s="86"/>
      <c r="F178" s="86"/>
      <c r="G178" s="86"/>
      <c r="H178" s="86"/>
    </row>
    <row r="179" spans="1:8" ht="15.6">
      <c r="A179" s="19"/>
      <c r="D179" s="86"/>
      <c r="E179" s="86"/>
      <c r="F179" s="86"/>
      <c r="G179" s="86"/>
      <c r="H179" s="86"/>
    </row>
    <row r="180" spans="1:8" ht="15.6">
      <c r="A180" s="19"/>
      <c r="D180" s="86"/>
      <c r="E180" s="86"/>
      <c r="F180" s="86"/>
      <c r="G180" s="86"/>
      <c r="H180" s="86"/>
    </row>
    <row r="181" spans="1:8" ht="15.6">
      <c r="A181" s="19"/>
      <c r="D181" s="86"/>
      <c r="E181" s="86"/>
      <c r="F181" s="86"/>
      <c r="G181" s="86"/>
      <c r="H181" s="86"/>
    </row>
    <row r="182" spans="1:8" ht="15.6">
      <c r="A182" s="19"/>
      <c r="D182" s="86"/>
      <c r="E182" s="86"/>
      <c r="F182" s="86"/>
      <c r="G182" s="86"/>
      <c r="H182" s="86"/>
    </row>
    <row r="183" spans="1:8" ht="15.6">
      <c r="A183" s="19"/>
      <c r="D183" s="86"/>
      <c r="E183" s="86"/>
      <c r="F183" s="86"/>
      <c r="G183" s="86"/>
      <c r="H183" s="86"/>
    </row>
    <row r="184" spans="1:8" ht="15.6">
      <c r="A184" s="19"/>
      <c r="D184" s="86"/>
      <c r="E184" s="86"/>
      <c r="F184" s="86"/>
      <c r="G184" s="86"/>
      <c r="H184" s="86"/>
    </row>
    <row r="185" spans="1:8" ht="15.6">
      <c r="A185" s="19"/>
      <c r="D185" s="86"/>
      <c r="E185" s="86"/>
      <c r="F185" s="86"/>
      <c r="G185" s="86"/>
      <c r="H185" s="86"/>
    </row>
    <row r="186" spans="1:8" ht="15.6">
      <c r="A186" s="19"/>
      <c r="D186" s="86"/>
      <c r="E186" s="86"/>
      <c r="F186" s="86"/>
      <c r="G186" s="86"/>
      <c r="H186" s="86"/>
    </row>
    <row r="187" spans="1:8" ht="15.6">
      <c r="A187" s="19"/>
      <c r="D187" s="86"/>
      <c r="E187" s="86"/>
      <c r="F187" s="86"/>
      <c r="G187" s="86"/>
      <c r="H187" s="86"/>
    </row>
    <row r="188" spans="1:8" ht="15.6">
      <c r="A188" s="19"/>
      <c r="D188" s="86"/>
      <c r="E188" s="86"/>
      <c r="F188" s="86"/>
      <c r="G188" s="86"/>
      <c r="H188" s="86"/>
    </row>
    <row r="189" spans="1:8" ht="15.6">
      <c r="A189" s="19"/>
      <c r="D189" s="86"/>
      <c r="E189" s="86"/>
      <c r="F189" s="86"/>
      <c r="G189" s="86"/>
      <c r="H189" s="86"/>
    </row>
    <row r="190" spans="1:8" ht="15.6">
      <c r="A190" s="19"/>
      <c r="D190" s="86"/>
      <c r="E190" s="86"/>
      <c r="F190" s="86"/>
      <c r="G190" s="86"/>
      <c r="H190" s="86"/>
    </row>
    <row r="191" spans="1:8" ht="15.6">
      <c r="A191" s="19"/>
      <c r="D191" s="86"/>
      <c r="E191" s="86"/>
      <c r="F191" s="86"/>
      <c r="G191" s="86"/>
      <c r="H191" s="86"/>
    </row>
    <row r="192" spans="1:8" ht="15.6">
      <c r="A192" s="19"/>
      <c r="D192" s="86"/>
      <c r="E192" s="86"/>
      <c r="F192" s="86"/>
      <c r="G192" s="86"/>
      <c r="H192" s="86"/>
    </row>
    <row r="193" spans="1:8" ht="15.6">
      <c r="A193" s="19"/>
      <c r="D193" s="86"/>
      <c r="E193" s="86"/>
      <c r="F193" s="86"/>
      <c r="G193" s="86"/>
      <c r="H193" s="86"/>
    </row>
    <row r="194" spans="1:8" ht="15.6">
      <c r="A194" s="19"/>
      <c r="D194" s="86"/>
      <c r="E194" s="86"/>
      <c r="F194" s="86"/>
      <c r="G194" s="86"/>
      <c r="H194" s="86"/>
    </row>
    <row r="195" spans="1:8" ht="15.6">
      <c r="A195" s="19"/>
      <c r="D195" s="86"/>
      <c r="E195" s="86"/>
      <c r="F195" s="86"/>
      <c r="G195" s="86"/>
      <c r="H195" s="86"/>
    </row>
    <row r="196" spans="1:8" ht="15.6">
      <c r="A196" s="19"/>
      <c r="D196" s="86"/>
      <c r="E196" s="86"/>
      <c r="F196" s="86"/>
      <c r="G196" s="86"/>
      <c r="H196" s="86"/>
    </row>
    <row r="197" spans="1:8" ht="15.6">
      <c r="A197" s="19"/>
      <c r="D197" s="86"/>
      <c r="E197" s="86"/>
      <c r="F197" s="86"/>
      <c r="G197" s="86"/>
      <c r="H197" s="86"/>
    </row>
    <row r="198" spans="1:8" ht="15.6">
      <c r="A198" s="19"/>
      <c r="D198" s="86"/>
      <c r="E198" s="86"/>
      <c r="F198" s="86"/>
      <c r="G198" s="86"/>
      <c r="H198" s="86"/>
    </row>
    <row r="199" spans="1:8" ht="15.6">
      <c r="A199" s="19"/>
      <c r="D199" s="86"/>
      <c r="E199" s="86"/>
      <c r="F199" s="86"/>
      <c r="G199" s="86"/>
      <c r="H199" s="86"/>
    </row>
    <row r="200" spans="1:8" ht="15.6">
      <c r="A200" s="19"/>
      <c r="D200" s="86"/>
      <c r="E200" s="86"/>
      <c r="F200" s="86"/>
      <c r="G200" s="86"/>
      <c r="H200" s="86"/>
    </row>
    <row r="201" spans="1:8" ht="15.6">
      <c r="A201" s="19"/>
      <c r="D201" s="86"/>
      <c r="E201" s="86"/>
      <c r="F201" s="86"/>
      <c r="G201" s="86"/>
      <c r="H201" s="86"/>
    </row>
    <row r="202" spans="1:8" ht="15.6">
      <c r="A202" s="19"/>
      <c r="D202" s="86"/>
      <c r="E202" s="86"/>
      <c r="F202" s="86"/>
      <c r="G202" s="86"/>
      <c r="H202" s="86"/>
    </row>
    <row r="203" spans="1:8" ht="15.6">
      <c r="A203" s="19"/>
      <c r="D203" s="86"/>
      <c r="E203" s="86"/>
      <c r="F203" s="86"/>
      <c r="G203" s="86"/>
      <c r="H203" s="86"/>
    </row>
    <row r="204" spans="1:8" ht="15.6">
      <c r="A204" s="19"/>
      <c r="D204" s="86"/>
      <c r="E204" s="86"/>
      <c r="F204" s="86"/>
      <c r="G204" s="86"/>
      <c r="H204" s="86"/>
    </row>
    <row r="205" spans="1:8" ht="15.6">
      <c r="A205" s="19"/>
      <c r="D205" s="86"/>
      <c r="E205" s="86"/>
      <c r="F205" s="86"/>
      <c r="G205" s="86"/>
      <c r="H205" s="86"/>
    </row>
    <row r="206" spans="1:8" ht="15.6">
      <c r="A206" s="19"/>
      <c r="D206" s="86"/>
      <c r="E206" s="86"/>
      <c r="F206" s="86"/>
      <c r="G206" s="86"/>
      <c r="H206" s="86"/>
    </row>
    <row r="207" spans="1:8" ht="15.6">
      <c r="A207" s="19"/>
      <c r="D207" s="86"/>
      <c r="E207" s="86"/>
      <c r="F207" s="86"/>
      <c r="G207" s="86"/>
      <c r="H207" s="86"/>
    </row>
    <row r="208" spans="1:8" ht="15.6">
      <c r="A208" s="19"/>
      <c r="D208" s="86"/>
      <c r="E208" s="86"/>
      <c r="F208" s="86"/>
      <c r="G208" s="86"/>
      <c r="H208" s="86"/>
    </row>
    <row r="209" spans="1:8" ht="15.6">
      <c r="A209" s="19"/>
      <c r="D209" s="86"/>
      <c r="E209" s="86"/>
      <c r="F209" s="86"/>
      <c r="G209" s="86"/>
      <c r="H209" s="86"/>
    </row>
    <row r="210" spans="1:8" ht="15.6">
      <c r="A210" s="19"/>
      <c r="D210" s="86"/>
      <c r="E210" s="86"/>
      <c r="F210" s="86"/>
      <c r="G210" s="86"/>
      <c r="H210" s="86"/>
    </row>
    <row r="211" spans="1:8" ht="15.6">
      <c r="A211" s="19"/>
      <c r="D211" s="86"/>
      <c r="E211" s="86"/>
      <c r="F211" s="86"/>
      <c r="G211" s="86"/>
      <c r="H211" s="86"/>
    </row>
    <row r="212" spans="1:8" ht="15.6">
      <c r="A212" s="19"/>
      <c r="D212" s="86"/>
      <c r="E212" s="86"/>
      <c r="F212" s="86"/>
      <c r="G212" s="86"/>
      <c r="H212" s="86"/>
    </row>
    <row r="213" spans="1:8" ht="15.6">
      <c r="A213" s="19"/>
      <c r="D213" s="86"/>
      <c r="E213" s="86"/>
      <c r="F213" s="86"/>
      <c r="G213" s="86"/>
      <c r="H213" s="86"/>
    </row>
    <row r="214" spans="1:8" ht="15.6">
      <c r="A214" s="19"/>
      <c r="D214" s="86"/>
      <c r="E214" s="86"/>
      <c r="F214" s="86"/>
      <c r="G214" s="86"/>
      <c r="H214" s="86"/>
    </row>
    <row r="215" spans="1:8" ht="15.6">
      <c r="A215" s="19"/>
      <c r="D215" s="86"/>
      <c r="E215" s="86"/>
      <c r="F215" s="86"/>
      <c r="G215" s="86"/>
      <c r="H215" s="86"/>
    </row>
    <row r="216" spans="1:8" ht="15.6">
      <c r="A216" s="19"/>
      <c r="D216" s="86"/>
      <c r="E216" s="86"/>
      <c r="F216" s="86"/>
      <c r="G216" s="86"/>
      <c r="H216" s="86"/>
    </row>
    <row r="217" spans="1:8" ht="15.6">
      <c r="A217" s="19"/>
      <c r="D217" s="86"/>
      <c r="E217" s="86"/>
      <c r="F217" s="86"/>
      <c r="G217" s="86"/>
      <c r="H217" s="86"/>
    </row>
    <row r="218" spans="1:8" ht="15.6">
      <c r="A218" s="19"/>
      <c r="D218" s="86"/>
      <c r="E218" s="86"/>
      <c r="F218" s="86"/>
      <c r="G218" s="86"/>
      <c r="H218" s="86"/>
    </row>
    <row r="219" spans="1:8" ht="15.6">
      <c r="A219" s="19"/>
      <c r="D219" s="86"/>
      <c r="E219" s="86"/>
      <c r="F219" s="86"/>
      <c r="G219" s="86"/>
      <c r="H219" s="86"/>
    </row>
    <row r="220" spans="1:8" ht="15.6">
      <c r="A220" s="19"/>
      <c r="D220" s="86"/>
      <c r="E220" s="86"/>
      <c r="F220" s="86"/>
      <c r="G220" s="86"/>
      <c r="H220" s="86"/>
    </row>
    <row r="221" spans="1:8" ht="15.6">
      <c r="A221" s="19"/>
      <c r="D221" s="86"/>
      <c r="E221" s="86"/>
      <c r="F221" s="86"/>
      <c r="G221" s="86"/>
      <c r="H221" s="86"/>
    </row>
    <row r="222" spans="1:8" ht="15.6">
      <c r="A222" s="19"/>
      <c r="D222" s="86"/>
      <c r="E222" s="86"/>
      <c r="F222" s="86"/>
      <c r="G222" s="86"/>
      <c r="H222" s="86"/>
    </row>
    <row r="223" spans="1:8" ht="15.6">
      <c r="A223" s="19"/>
      <c r="D223" s="86"/>
      <c r="E223" s="86"/>
      <c r="F223" s="86"/>
      <c r="G223" s="86"/>
      <c r="H223" s="86"/>
    </row>
    <row r="224" spans="1:8" ht="15.6">
      <c r="A224" s="19"/>
      <c r="D224" s="86"/>
      <c r="E224" s="86"/>
      <c r="F224" s="86"/>
      <c r="G224" s="86"/>
      <c r="H224" s="86"/>
    </row>
    <row r="225" spans="1:8" ht="15.6">
      <c r="A225" s="19"/>
      <c r="D225" s="86"/>
      <c r="E225" s="86"/>
      <c r="F225" s="86"/>
      <c r="G225" s="86"/>
      <c r="H225" s="86"/>
    </row>
    <row r="226" spans="1:8" ht="15.6">
      <c r="A226" s="19"/>
      <c r="D226" s="86"/>
      <c r="E226" s="86"/>
      <c r="F226" s="86"/>
      <c r="G226" s="86"/>
      <c r="H226" s="86"/>
    </row>
    <row r="227" spans="1:8" ht="15.6">
      <c r="A227" s="19"/>
      <c r="D227" s="86"/>
      <c r="E227" s="86"/>
      <c r="F227" s="86"/>
      <c r="G227" s="86"/>
      <c r="H227" s="86"/>
    </row>
    <row r="228" spans="1:8" ht="15.6">
      <c r="A228" s="19"/>
      <c r="D228" s="86"/>
      <c r="E228" s="86"/>
      <c r="F228" s="86"/>
      <c r="G228" s="86"/>
      <c r="H228" s="86"/>
    </row>
    <row r="229" spans="1:8" ht="15.6">
      <c r="A229" s="19"/>
      <c r="D229" s="86"/>
      <c r="E229" s="86"/>
      <c r="F229" s="86"/>
      <c r="G229" s="86"/>
      <c r="H229" s="86"/>
    </row>
    <row r="230" spans="1:8" ht="15.6">
      <c r="A230" s="19"/>
      <c r="D230" s="86"/>
      <c r="E230" s="86"/>
      <c r="F230" s="86"/>
      <c r="G230" s="86"/>
      <c r="H230" s="86"/>
    </row>
    <row r="231" spans="1:8" ht="15.6">
      <c r="A231" s="19"/>
      <c r="D231" s="86"/>
      <c r="E231" s="86"/>
      <c r="F231" s="86"/>
      <c r="G231" s="86"/>
      <c r="H231" s="86"/>
    </row>
    <row r="232" spans="1:8" ht="15.6">
      <c r="A232" s="19"/>
      <c r="D232" s="86"/>
      <c r="E232" s="86"/>
      <c r="F232" s="86"/>
      <c r="G232" s="86"/>
      <c r="H232" s="86"/>
    </row>
    <row r="233" spans="1:8" ht="15.6">
      <c r="A233" s="19"/>
      <c r="D233" s="86"/>
      <c r="E233" s="86"/>
      <c r="F233" s="86"/>
      <c r="G233" s="86"/>
      <c r="H233" s="86"/>
    </row>
    <row r="234" spans="1:8" ht="15.6">
      <c r="A234" s="19"/>
      <c r="D234" s="86"/>
      <c r="E234" s="86"/>
      <c r="F234" s="86"/>
      <c r="G234" s="86"/>
      <c r="H234" s="86"/>
    </row>
    <row r="235" spans="1:8" ht="15.6">
      <c r="A235" s="19"/>
      <c r="D235" s="86"/>
      <c r="E235" s="86"/>
      <c r="F235" s="86"/>
      <c r="G235" s="86"/>
      <c r="H235" s="86"/>
    </row>
    <row r="236" spans="1:8" ht="15.6">
      <c r="A236" s="19"/>
      <c r="D236" s="86"/>
      <c r="E236" s="86"/>
      <c r="F236" s="86"/>
      <c r="G236" s="86"/>
      <c r="H236" s="86"/>
    </row>
    <row r="237" spans="1:8" ht="15.6">
      <c r="A237" s="19"/>
      <c r="D237" s="86"/>
      <c r="E237" s="86"/>
      <c r="F237" s="86"/>
      <c r="G237" s="86"/>
      <c r="H237" s="86"/>
    </row>
    <row r="238" spans="1:8" ht="15.6">
      <c r="A238" s="19"/>
      <c r="D238" s="86"/>
      <c r="E238" s="86"/>
      <c r="F238" s="86"/>
      <c r="G238" s="86"/>
      <c r="H238" s="86"/>
    </row>
    <row r="239" spans="1:8" ht="15.6">
      <c r="A239" s="19"/>
      <c r="D239" s="86"/>
      <c r="E239" s="86"/>
      <c r="F239" s="86"/>
      <c r="G239" s="86"/>
      <c r="H239" s="86"/>
    </row>
    <row r="240" spans="1:8" ht="15.6">
      <c r="A240" s="19"/>
      <c r="D240" s="86"/>
      <c r="E240" s="86"/>
      <c r="F240" s="86"/>
      <c r="G240" s="86"/>
      <c r="H240" s="86"/>
    </row>
    <row r="241" spans="1:8" ht="15.6">
      <c r="A241" s="19"/>
      <c r="D241" s="86"/>
      <c r="E241" s="86"/>
      <c r="F241" s="86"/>
      <c r="G241" s="86"/>
      <c r="H241" s="86"/>
    </row>
    <row r="242" spans="1:8" ht="15.6">
      <c r="A242" s="19"/>
      <c r="D242" s="86"/>
      <c r="E242" s="86"/>
      <c r="F242" s="86"/>
      <c r="G242" s="86"/>
      <c r="H242" s="86"/>
    </row>
    <row r="243" spans="1:8" ht="15.6">
      <c r="A243" s="19"/>
      <c r="D243" s="86"/>
      <c r="E243" s="86"/>
      <c r="F243" s="86"/>
      <c r="G243" s="86"/>
      <c r="H243" s="86"/>
    </row>
    <row r="244" spans="1:8" ht="15.6">
      <c r="A244" s="19"/>
      <c r="D244" s="86"/>
      <c r="E244" s="86"/>
      <c r="F244" s="86"/>
      <c r="G244" s="86"/>
      <c r="H244" s="86"/>
    </row>
    <row r="245" spans="1:8" ht="15.6">
      <c r="A245" s="19"/>
      <c r="D245" s="86"/>
      <c r="E245" s="86"/>
      <c r="F245" s="86"/>
      <c r="G245" s="86"/>
      <c r="H245" s="86"/>
    </row>
    <row r="246" spans="1:8" ht="15.6">
      <c r="A246" s="19"/>
      <c r="D246" s="86"/>
      <c r="E246" s="86"/>
      <c r="F246" s="86"/>
      <c r="G246" s="86"/>
      <c r="H246" s="86"/>
    </row>
    <row r="247" spans="1:8" ht="15.6">
      <c r="A247" s="19"/>
      <c r="D247" s="86"/>
      <c r="E247" s="86"/>
      <c r="F247" s="86"/>
      <c r="G247" s="86"/>
      <c r="H247" s="86"/>
    </row>
    <row r="248" spans="1:8" ht="15.6">
      <c r="A248" s="19"/>
      <c r="D248" s="86"/>
      <c r="E248" s="86"/>
      <c r="F248" s="86"/>
      <c r="G248" s="86"/>
      <c r="H248" s="86"/>
    </row>
    <row r="249" spans="1:8" ht="15.6">
      <c r="A249" s="19"/>
      <c r="D249" s="86"/>
      <c r="E249" s="86"/>
      <c r="F249" s="86"/>
      <c r="G249" s="86"/>
      <c r="H249" s="86"/>
    </row>
    <row r="250" spans="1:8" ht="15.6">
      <c r="A250" s="19"/>
      <c r="D250" s="86"/>
      <c r="E250" s="86"/>
      <c r="F250" s="86"/>
      <c r="G250" s="86"/>
      <c r="H250" s="86"/>
    </row>
    <row r="251" spans="1:8" ht="15.6">
      <c r="A251" s="19"/>
      <c r="D251" s="86"/>
      <c r="E251" s="86"/>
      <c r="F251" s="86"/>
      <c r="G251" s="86"/>
      <c r="H251" s="86"/>
    </row>
    <row r="252" spans="1:8" ht="15.6">
      <c r="A252" s="19"/>
      <c r="D252" s="86"/>
      <c r="E252" s="86"/>
      <c r="F252" s="86"/>
      <c r="G252" s="86"/>
      <c r="H252" s="86"/>
    </row>
    <row r="253" spans="1:8" ht="15.6">
      <c r="A253" s="19"/>
      <c r="D253" s="86"/>
      <c r="E253" s="86"/>
      <c r="F253" s="86"/>
      <c r="G253" s="86"/>
      <c r="H253" s="86"/>
    </row>
    <row r="254" spans="1:8" ht="15.6">
      <c r="A254" s="19"/>
      <c r="D254" s="86"/>
      <c r="E254" s="86"/>
      <c r="F254" s="86"/>
      <c r="G254" s="86"/>
      <c r="H254" s="86"/>
    </row>
    <row r="255" spans="1:8" ht="15.6">
      <c r="A255" s="19"/>
      <c r="D255" s="86"/>
      <c r="E255" s="86"/>
      <c r="F255" s="86"/>
      <c r="G255" s="86"/>
      <c r="H255" s="86"/>
    </row>
    <row r="256" spans="1:8" ht="15.6">
      <c r="A256" s="19"/>
      <c r="D256" s="86"/>
      <c r="E256" s="86"/>
      <c r="F256" s="86"/>
      <c r="G256" s="86"/>
      <c r="H256" s="86"/>
    </row>
    <row r="257" spans="1:8" ht="15.6">
      <c r="A257" s="19"/>
      <c r="D257" s="86"/>
      <c r="E257" s="86"/>
      <c r="F257" s="86"/>
      <c r="G257" s="86"/>
      <c r="H257" s="86"/>
    </row>
    <row r="258" spans="1:8" ht="15.6">
      <c r="A258" s="19"/>
      <c r="D258" s="86"/>
      <c r="E258" s="86"/>
      <c r="F258" s="86"/>
      <c r="G258" s="86"/>
      <c r="H258" s="86"/>
    </row>
    <row r="259" spans="1:8" ht="15.6">
      <c r="A259" s="19"/>
      <c r="D259" s="86"/>
      <c r="E259" s="86"/>
      <c r="F259" s="86"/>
      <c r="G259" s="86"/>
      <c r="H259" s="86"/>
    </row>
    <row r="260" spans="1:8" ht="15.6">
      <c r="A260" s="19"/>
      <c r="D260" s="86"/>
      <c r="E260" s="86"/>
      <c r="F260" s="86"/>
      <c r="G260" s="86"/>
      <c r="H260" s="86"/>
    </row>
    <row r="261" spans="1:8" ht="15.6">
      <c r="A261" s="19"/>
      <c r="D261" s="86"/>
      <c r="E261" s="86"/>
      <c r="F261" s="86"/>
      <c r="G261" s="86"/>
      <c r="H261" s="86"/>
    </row>
    <row r="262" spans="1:8" ht="15.6">
      <c r="A262" s="19"/>
      <c r="D262" s="86"/>
      <c r="E262" s="86"/>
      <c r="F262" s="86"/>
      <c r="G262" s="86"/>
      <c r="H262" s="86"/>
    </row>
    <row r="263" spans="1:8" ht="15.6">
      <c r="A263" s="19"/>
      <c r="D263" s="86"/>
      <c r="E263" s="86"/>
      <c r="F263" s="86"/>
      <c r="G263" s="86"/>
      <c r="H263" s="86"/>
    </row>
    <row r="264" spans="1:8" ht="15.6">
      <c r="A264" s="19"/>
      <c r="D264" s="86"/>
      <c r="E264" s="86"/>
      <c r="F264" s="86"/>
      <c r="G264" s="86"/>
      <c r="H264" s="86"/>
    </row>
    <row r="265" spans="1:8" ht="15.6">
      <c r="A265" s="19"/>
      <c r="D265" s="86"/>
      <c r="E265" s="86"/>
      <c r="F265" s="86"/>
      <c r="G265" s="86"/>
      <c r="H265" s="86"/>
    </row>
    <row r="266" spans="1:8" ht="15.6">
      <c r="A266" s="19"/>
      <c r="D266" s="86"/>
      <c r="E266" s="86"/>
      <c r="F266" s="86"/>
      <c r="G266" s="86"/>
      <c r="H266" s="86"/>
    </row>
    <row r="267" spans="1:8" ht="15.6">
      <c r="A267" s="19"/>
      <c r="D267" s="86"/>
      <c r="E267" s="86"/>
      <c r="F267" s="86"/>
      <c r="G267" s="86"/>
      <c r="H267" s="86"/>
    </row>
    <row r="268" spans="1:8" ht="15.6">
      <c r="A268" s="19"/>
      <c r="D268" s="86"/>
      <c r="E268" s="86"/>
      <c r="F268" s="86"/>
      <c r="G268" s="86"/>
      <c r="H268" s="86"/>
    </row>
    <row r="269" spans="1:8" ht="15.6">
      <c r="A269" s="19"/>
      <c r="D269" s="86"/>
      <c r="E269" s="86"/>
      <c r="F269" s="86"/>
      <c r="G269" s="86"/>
      <c r="H269" s="86"/>
    </row>
    <row r="270" spans="1:8" ht="15.6">
      <c r="A270" s="19"/>
      <c r="D270" s="86"/>
      <c r="E270" s="86"/>
      <c r="F270" s="86"/>
      <c r="G270" s="86"/>
      <c r="H270" s="86"/>
    </row>
    <row r="271" spans="1:8" ht="15.6">
      <c r="A271" s="19"/>
      <c r="D271" s="86"/>
      <c r="E271" s="86"/>
      <c r="F271" s="86"/>
      <c r="G271" s="86"/>
      <c r="H271" s="86"/>
    </row>
    <row r="272" spans="1:8" ht="15.6">
      <c r="A272" s="19"/>
      <c r="D272" s="86"/>
      <c r="E272" s="86"/>
      <c r="F272" s="86"/>
      <c r="G272" s="86"/>
      <c r="H272" s="86"/>
    </row>
    <row r="273" spans="1:8" ht="15.6">
      <c r="A273" s="19"/>
      <c r="D273" s="86"/>
      <c r="E273" s="86"/>
      <c r="F273" s="86"/>
      <c r="G273" s="86"/>
      <c r="H273" s="86"/>
    </row>
    <row r="274" spans="1:8" ht="15.6">
      <c r="A274" s="19"/>
      <c r="D274" s="86"/>
      <c r="E274" s="86"/>
      <c r="F274" s="86"/>
      <c r="G274" s="86"/>
      <c r="H274" s="86"/>
    </row>
    <row r="275" spans="1:8" ht="15.6">
      <c r="A275" s="19"/>
      <c r="D275" s="86"/>
      <c r="E275" s="86"/>
      <c r="F275" s="86"/>
      <c r="G275" s="86"/>
      <c r="H275" s="86"/>
    </row>
    <row r="276" spans="1:8" ht="15.6">
      <c r="A276" s="19"/>
      <c r="D276" s="86"/>
      <c r="E276" s="86"/>
      <c r="F276" s="86"/>
      <c r="G276" s="86"/>
      <c r="H276" s="86"/>
    </row>
    <row r="277" spans="1:8" ht="15.6">
      <c r="A277" s="19"/>
      <c r="D277" s="86"/>
      <c r="E277" s="86"/>
      <c r="F277" s="86"/>
      <c r="G277" s="86"/>
      <c r="H277" s="86"/>
    </row>
    <row r="278" spans="1:8" ht="15.6">
      <c r="A278" s="19"/>
      <c r="D278" s="86"/>
      <c r="E278" s="86"/>
      <c r="F278" s="86"/>
      <c r="G278" s="86"/>
      <c r="H278" s="86"/>
    </row>
    <row r="279" spans="1:8" ht="15.6">
      <c r="A279" s="19"/>
      <c r="D279" s="86"/>
      <c r="E279" s="86"/>
      <c r="F279" s="86"/>
      <c r="G279" s="86"/>
      <c r="H279" s="86"/>
    </row>
    <row r="280" spans="1:8" ht="15.6">
      <c r="A280" s="19"/>
      <c r="D280" s="86"/>
      <c r="E280" s="86"/>
      <c r="F280" s="86"/>
      <c r="G280" s="86"/>
      <c r="H280" s="86"/>
    </row>
    <row r="281" spans="1:8" ht="15.6">
      <c r="A281" s="19"/>
      <c r="D281" s="86"/>
      <c r="E281" s="86"/>
      <c r="F281" s="86"/>
      <c r="G281" s="86"/>
      <c r="H281" s="86"/>
    </row>
    <row r="282" spans="1:8" ht="15.6">
      <c r="A282" s="19"/>
      <c r="D282" s="86"/>
      <c r="E282" s="86"/>
      <c r="F282" s="86"/>
      <c r="G282" s="86"/>
      <c r="H282" s="86"/>
    </row>
    <row r="283" spans="1:8" ht="15.6">
      <c r="A283" s="19"/>
      <c r="D283" s="86"/>
      <c r="E283" s="86"/>
      <c r="F283" s="86"/>
      <c r="G283" s="86"/>
      <c r="H283" s="86"/>
    </row>
    <row r="284" spans="1:8" ht="15.6">
      <c r="A284" s="19"/>
      <c r="D284" s="86"/>
      <c r="E284" s="86"/>
      <c r="F284" s="86"/>
      <c r="G284" s="86"/>
      <c r="H284" s="86"/>
    </row>
    <row r="285" spans="1:8" ht="15.6">
      <c r="A285" s="19"/>
      <c r="D285" s="86"/>
      <c r="E285" s="86"/>
      <c r="F285" s="86"/>
      <c r="G285" s="86"/>
      <c r="H285" s="86"/>
    </row>
    <row r="286" spans="1:8" ht="15.6">
      <c r="A286" s="19"/>
      <c r="D286" s="86"/>
      <c r="E286" s="86"/>
      <c r="F286" s="86"/>
      <c r="G286" s="86"/>
      <c r="H286" s="86"/>
    </row>
    <row r="287" spans="1:8" ht="15.6">
      <c r="A287" s="19"/>
      <c r="D287" s="86"/>
      <c r="E287" s="86"/>
      <c r="F287" s="86"/>
      <c r="G287" s="86"/>
      <c r="H287" s="86"/>
    </row>
    <row r="288" spans="1:8" ht="15.6">
      <c r="A288" s="19"/>
      <c r="D288" s="86"/>
      <c r="E288" s="86"/>
      <c r="F288" s="86"/>
      <c r="G288" s="86"/>
      <c r="H288" s="86"/>
    </row>
    <row r="289" spans="1:8" ht="15.6">
      <c r="A289" s="19"/>
      <c r="D289" s="86"/>
      <c r="E289" s="86"/>
      <c r="F289" s="86"/>
      <c r="G289" s="86"/>
      <c r="H289" s="86"/>
    </row>
    <row r="290" spans="1:8" ht="15.6">
      <c r="A290" s="19"/>
      <c r="D290" s="86"/>
      <c r="E290" s="86"/>
      <c r="F290" s="86"/>
      <c r="G290" s="86"/>
      <c r="H290" s="86"/>
    </row>
    <row r="291" spans="1:8" ht="15.6">
      <c r="A291" s="19"/>
      <c r="D291" s="86"/>
      <c r="E291" s="86"/>
      <c r="F291" s="86"/>
      <c r="G291" s="86"/>
      <c r="H291" s="86"/>
    </row>
    <row r="292" spans="1:8" ht="15.6">
      <c r="A292" s="19"/>
      <c r="D292" s="86"/>
      <c r="E292" s="86"/>
      <c r="F292" s="86"/>
      <c r="G292" s="86"/>
      <c r="H292" s="86"/>
    </row>
    <row r="293" spans="1:8" ht="15.6">
      <c r="A293" s="19"/>
      <c r="D293" s="86"/>
      <c r="E293" s="86"/>
      <c r="F293" s="86"/>
      <c r="G293" s="86"/>
      <c r="H293" s="86"/>
    </row>
    <row r="294" spans="1:8" ht="15.6">
      <c r="A294" s="19"/>
      <c r="D294" s="86"/>
      <c r="E294" s="86"/>
      <c r="F294" s="86"/>
      <c r="G294" s="86"/>
      <c r="H294" s="86"/>
    </row>
    <row r="295" spans="1:8" ht="15.6">
      <c r="A295" s="19"/>
      <c r="D295" s="86"/>
      <c r="E295" s="86"/>
      <c r="F295" s="86"/>
      <c r="G295" s="86"/>
      <c r="H295" s="86"/>
    </row>
    <row r="296" spans="1:8" ht="15.6">
      <c r="A296" s="19"/>
      <c r="D296" s="86"/>
      <c r="E296" s="86"/>
      <c r="F296" s="86"/>
      <c r="G296" s="86"/>
      <c r="H296" s="86"/>
    </row>
    <row r="297" spans="1:8" ht="15.6">
      <c r="A297" s="19"/>
      <c r="D297" s="86"/>
      <c r="E297" s="86"/>
      <c r="F297" s="86"/>
      <c r="G297" s="86"/>
      <c r="H297" s="86"/>
    </row>
    <row r="298" spans="1:8" ht="15.6">
      <c r="A298" s="19"/>
      <c r="D298" s="86"/>
      <c r="E298" s="86"/>
      <c r="F298" s="86"/>
      <c r="G298" s="86"/>
      <c r="H298" s="86"/>
    </row>
    <row r="299" spans="1:8" ht="15.6">
      <c r="A299" s="19"/>
      <c r="D299" s="86"/>
      <c r="E299" s="86"/>
      <c r="F299" s="86"/>
      <c r="G299" s="86"/>
      <c r="H299" s="86"/>
    </row>
    <row r="300" spans="1:8" ht="15.6">
      <c r="A300" s="19"/>
      <c r="D300" s="86"/>
      <c r="E300" s="86"/>
      <c r="F300" s="86"/>
      <c r="G300" s="86"/>
      <c r="H300" s="86"/>
    </row>
    <row r="301" spans="1:8" ht="15.6">
      <c r="A301" s="19"/>
      <c r="D301" s="86"/>
      <c r="E301" s="86"/>
      <c r="F301" s="86"/>
      <c r="G301" s="86"/>
      <c r="H301" s="86"/>
    </row>
    <row r="302" spans="1:8" ht="15.6">
      <c r="A302" s="19"/>
      <c r="D302" s="86"/>
      <c r="E302" s="86"/>
      <c r="F302" s="86"/>
      <c r="G302" s="86"/>
      <c r="H302" s="86"/>
    </row>
    <row r="303" spans="1:8" ht="15.6">
      <c r="A303" s="19"/>
      <c r="D303" s="86"/>
      <c r="E303" s="86"/>
      <c r="F303" s="86"/>
      <c r="G303" s="86"/>
      <c r="H303" s="86"/>
    </row>
    <row r="304" spans="1:8" ht="15.6">
      <c r="A304" s="19"/>
      <c r="D304" s="86"/>
      <c r="E304" s="86"/>
      <c r="F304" s="86"/>
      <c r="G304" s="86"/>
      <c r="H304" s="86"/>
    </row>
    <row r="305" spans="1:8" ht="15.6">
      <c r="A305" s="19"/>
      <c r="D305" s="86"/>
      <c r="E305" s="86"/>
      <c r="F305" s="86"/>
      <c r="G305" s="86"/>
      <c r="H305" s="86"/>
    </row>
    <row r="306" spans="1:8" ht="15.6">
      <c r="A306" s="19"/>
      <c r="D306" s="86"/>
      <c r="E306" s="86"/>
      <c r="F306" s="86"/>
      <c r="G306" s="86"/>
      <c r="H306" s="86"/>
    </row>
    <row r="307" spans="1:8" ht="15.6">
      <c r="A307" s="19"/>
      <c r="D307" s="86"/>
      <c r="E307" s="86"/>
      <c r="F307" s="86"/>
      <c r="G307" s="86"/>
      <c r="H307" s="86"/>
    </row>
    <row r="308" spans="1:8" ht="15.6">
      <c r="A308" s="19"/>
      <c r="D308" s="86"/>
      <c r="E308" s="86"/>
      <c r="F308" s="86"/>
      <c r="G308" s="86"/>
      <c r="H308" s="86"/>
    </row>
    <row r="309" spans="1:8" ht="15.6">
      <c r="A309" s="19"/>
      <c r="D309" s="86"/>
      <c r="E309" s="86"/>
      <c r="F309" s="86"/>
      <c r="G309" s="86"/>
      <c r="H309" s="86"/>
    </row>
    <row r="310" spans="1:8" ht="15.6">
      <c r="A310" s="19"/>
      <c r="D310" s="86"/>
      <c r="E310" s="86"/>
      <c r="F310" s="86"/>
      <c r="G310" s="86"/>
      <c r="H310" s="86"/>
    </row>
    <row r="311" spans="1:8" ht="15.6">
      <c r="A311" s="19"/>
      <c r="D311" s="86"/>
      <c r="E311" s="86"/>
      <c r="F311" s="86"/>
      <c r="G311" s="86"/>
      <c r="H311" s="86"/>
    </row>
    <row r="312" spans="1:8" ht="15.6">
      <c r="A312" s="19"/>
      <c r="D312" s="86"/>
      <c r="E312" s="86"/>
      <c r="F312" s="86"/>
      <c r="G312" s="86"/>
      <c r="H312" s="86"/>
    </row>
    <row r="313" spans="1:8" ht="15.6">
      <c r="A313" s="19"/>
      <c r="D313" s="86"/>
      <c r="E313" s="86"/>
      <c r="F313" s="86"/>
      <c r="G313" s="86"/>
      <c r="H313" s="86"/>
    </row>
    <row r="314" spans="1:8" ht="15.6">
      <c r="A314" s="19"/>
      <c r="D314" s="86"/>
      <c r="E314" s="86"/>
      <c r="F314" s="86"/>
      <c r="G314" s="86"/>
      <c r="H314" s="86"/>
    </row>
    <row r="315" spans="1:8" ht="15.6">
      <c r="A315" s="19"/>
      <c r="D315" s="86"/>
      <c r="E315" s="86"/>
      <c r="F315" s="86"/>
      <c r="G315" s="86"/>
      <c r="H315" s="86"/>
    </row>
    <row r="316" spans="1:8" ht="15.6">
      <c r="A316" s="19"/>
      <c r="D316" s="86"/>
      <c r="E316" s="86"/>
      <c r="F316" s="86"/>
      <c r="G316" s="86"/>
      <c r="H316" s="86"/>
    </row>
    <row r="317" spans="1:8" ht="15.6">
      <c r="A317" s="19"/>
      <c r="D317" s="86"/>
      <c r="E317" s="86"/>
      <c r="F317" s="86"/>
      <c r="G317" s="86"/>
      <c r="H317" s="86"/>
    </row>
    <row r="318" spans="1:8" ht="15.6">
      <c r="A318" s="19"/>
      <c r="D318" s="86"/>
      <c r="E318" s="86"/>
      <c r="F318" s="86"/>
      <c r="G318" s="86"/>
      <c r="H318" s="86"/>
    </row>
    <row r="319" spans="1:8" ht="15.6">
      <c r="A319" s="19"/>
      <c r="D319" s="86"/>
      <c r="E319" s="86"/>
      <c r="F319" s="86"/>
      <c r="G319" s="86"/>
      <c r="H319" s="86"/>
    </row>
    <row r="320" spans="1:8" ht="15.6">
      <c r="A320" s="19"/>
      <c r="D320" s="86"/>
      <c r="E320" s="86"/>
      <c r="F320" s="86"/>
      <c r="G320" s="86"/>
      <c r="H320" s="86"/>
    </row>
    <row r="321" spans="1:8" ht="15.6">
      <c r="A321" s="19"/>
      <c r="D321" s="86"/>
      <c r="E321" s="86"/>
      <c r="F321" s="86"/>
      <c r="G321" s="86"/>
      <c r="H321" s="86"/>
    </row>
    <row r="322" spans="1:8" ht="15.6">
      <c r="A322" s="19"/>
      <c r="D322" s="86"/>
      <c r="E322" s="86"/>
      <c r="F322" s="86"/>
      <c r="G322" s="86"/>
      <c r="H322" s="86"/>
    </row>
    <row r="323" spans="1:8" ht="15.6">
      <c r="A323" s="19"/>
      <c r="D323" s="86"/>
      <c r="E323" s="86"/>
      <c r="F323" s="86"/>
      <c r="G323" s="86"/>
      <c r="H323" s="86"/>
    </row>
    <row r="324" spans="1:8" ht="15.6">
      <c r="A324" s="19"/>
      <c r="D324" s="86"/>
      <c r="E324" s="86"/>
      <c r="F324" s="86"/>
      <c r="G324" s="86"/>
      <c r="H324" s="86"/>
    </row>
    <row r="325" spans="1:8" ht="15.6">
      <c r="A325" s="19"/>
      <c r="D325" s="86"/>
      <c r="E325" s="86"/>
      <c r="F325" s="86"/>
      <c r="G325" s="86"/>
      <c r="H325" s="86"/>
    </row>
    <row r="326" spans="1:8" ht="15.6">
      <c r="A326" s="19"/>
      <c r="D326" s="86"/>
      <c r="E326" s="86"/>
      <c r="F326" s="86"/>
      <c r="G326" s="86"/>
      <c r="H326" s="86"/>
    </row>
    <row r="327" spans="1:8" ht="15.6">
      <c r="A327" s="19"/>
      <c r="D327" s="86"/>
      <c r="E327" s="86"/>
      <c r="F327" s="86"/>
      <c r="G327" s="86"/>
      <c r="H327" s="86"/>
    </row>
    <row r="328" spans="1:8" ht="15.6">
      <c r="A328" s="19"/>
      <c r="D328" s="86"/>
      <c r="E328" s="86"/>
      <c r="F328" s="86"/>
      <c r="G328" s="86"/>
      <c r="H328" s="86"/>
    </row>
    <row r="329" spans="1:8" ht="15.6">
      <c r="A329" s="19"/>
      <c r="D329" s="86"/>
      <c r="E329" s="86"/>
      <c r="F329" s="86"/>
      <c r="G329" s="86"/>
      <c r="H329" s="86"/>
    </row>
    <row r="330" spans="1:8" ht="15.6">
      <c r="A330" s="19"/>
      <c r="D330" s="86"/>
      <c r="E330" s="86"/>
      <c r="F330" s="86"/>
      <c r="G330" s="86"/>
      <c r="H330" s="86"/>
    </row>
    <row r="331" spans="1:8" ht="15.6">
      <c r="A331" s="19"/>
      <c r="D331" s="86"/>
      <c r="E331" s="86"/>
      <c r="F331" s="86"/>
      <c r="G331" s="86"/>
      <c r="H331" s="86"/>
    </row>
    <row r="332" spans="1:8" ht="15.6">
      <c r="A332" s="19"/>
      <c r="D332" s="86"/>
      <c r="E332" s="86"/>
      <c r="F332" s="86"/>
      <c r="G332" s="86"/>
      <c r="H332" s="86"/>
    </row>
    <row r="333" spans="1:8" ht="15.6">
      <c r="A333" s="19"/>
      <c r="D333" s="86"/>
      <c r="E333" s="86"/>
      <c r="F333" s="86"/>
      <c r="G333" s="86"/>
      <c r="H333" s="86"/>
    </row>
    <row r="334" spans="1:8" ht="15.6">
      <c r="A334" s="19"/>
      <c r="D334" s="86"/>
      <c r="E334" s="86"/>
      <c r="F334" s="86"/>
      <c r="G334" s="86"/>
      <c r="H334" s="86"/>
    </row>
    <row r="335" spans="1:8" ht="15.6">
      <c r="A335" s="19"/>
      <c r="D335" s="86"/>
      <c r="E335" s="86"/>
      <c r="F335" s="86"/>
      <c r="G335" s="86"/>
      <c r="H335" s="86"/>
    </row>
    <row r="336" spans="1:8" ht="15.6">
      <c r="A336" s="19"/>
      <c r="D336" s="86"/>
      <c r="E336" s="86"/>
      <c r="F336" s="86"/>
      <c r="G336" s="86"/>
      <c r="H336" s="86"/>
    </row>
    <row r="337" spans="1:8" ht="15.6">
      <c r="A337" s="19"/>
      <c r="D337" s="86"/>
      <c r="E337" s="86"/>
      <c r="F337" s="86"/>
      <c r="G337" s="86"/>
      <c r="H337" s="86"/>
    </row>
    <row r="338" spans="1:8" ht="15.6">
      <c r="A338" s="19"/>
      <c r="D338" s="86"/>
      <c r="E338" s="86"/>
      <c r="F338" s="86"/>
      <c r="G338" s="86"/>
      <c r="H338" s="86"/>
    </row>
    <row r="339" spans="1:8" ht="15.6">
      <c r="A339" s="19"/>
      <c r="D339" s="86"/>
      <c r="E339" s="86"/>
      <c r="F339" s="86"/>
      <c r="G339" s="86"/>
      <c r="H339" s="86"/>
    </row>
    <row r="340" spans="1:8" ht="15.6">
      <c r="A340" s="19"/>
      <c r="D340" s="86"/>
      <c r="E340" s="86"/>
      <c r="F340" s="86"/>
      <c r="G340" s="86"/>
      <c r="H340" s="86"/>
    </row>
    <row r="341" spans="1:8" ht="15.6">
      <c r="A341" s="19"/>
      <c r="D341" s="86"/>
      <c r="E341" s="86"/>
      <c r="F341" s="86"/>
      <c r="G341" s="86"/>
      <c r="H341" s="86"/>
    </row>
    <row r="342" spans="1:8" ht="15.6">
      <c r="A342" s="19"/>
      <c r="D342" s="86"/>
      <c r="E342" s="86"/>
      <c r="F342" s="86"/>
      <c r="G342" s="86"/>
      <c r="H342" s="86"/>
    </row>
    <row r="343" spans="1:8" ht="15.6">
      <c r="A343" s="19"/>
      <c r="D343" s="86"/>
      <c r="E343" s="86"/>
      <c r="F343" s="86"/>
      <c r="G343" s="86"/>
      <c r="H343" s="86"/>
    </row>
    <row r="344" spans="1:8" ht="15.6">
      <c r="A344" s="19"/>
      <c r="D344" s="86"/>
      <c r="E344" s="86"/>
      <c r="F344" s="86"/>
      <c r="G344" s="86"/>
      <c r="H344" s="86"/>
    </row>
    <row r="345" spans="1:8" ht="15.6">
      <c r="A345" s="19"/>
      <c r="D345" s="86"/>
      <c r="E345" s="86"/>
      <c r="F345" s="86"/>
      <c r="G345" s="86"/>
      <c r="H345" s="86"/>
    </row>
    <row r="346" spans="1:8" ht="15.6">
      <c r="A346" s="19"/>
      <c r="D346" s="86"/>
      <c r="E346" s="86"/>
      <c r="F346" s="86"/>
      <c r="G346" s="86"/>
      <c r="H346" s="86"/>
    </row>
    <row r="347" spans="1:8" ht="15.6">
      <c r="A347" s="19"/>
      <c r="D347" s="86"/>
      <c r="E347" s="86"/>
      <c r="F347" s="86"/>
      <c r="G347" s="86"/>
      <c r="H347" s="86"/>
    </row>
    <row r="348" spans="1:8" ht="15.6">
      <c r="A348" s="19"/>
      <c r="D348" s="86"/>
      <c r="E348" s="86"/>
      <c r="F348" s="86"/>
      <c r="G348" s="86"/>
      <c r="H348" s="86"/>
    </row>
    <row r="349" spans="1:8" ht="15.6">
      <c r="A349" s="19"/>
      <c r="D349" s="86"/>
      <c r="E349" s="86"/>
      <c r="F349" s="86"/>
      <c r="G349" s="86"/>
      <c r="H349" s="86"/>
    </row>
    <row r="350" spans="1:8" ht="15.6">
      <c r="A350" s="19"/>
      <c r="D350" s="86"/>
      <c r="E350" s="86"/>
      <c r="F350" s="86"/>
      <c r="G350" s="86"/>
      <c r="H350" s="86"/>
    </row>
    <row r="351" spans="1:8" ht="15.6">
      <c r="A351" s="19"/>
      <c r="D351" s="86"/>
      <c r="E351" s="86"/>
      <c r="F351" s="86"/>
      <c r="G351" s="86"/>
      <c r="H351" s="86"/>
    </row>
    <row r="352" spans="1:8" ht="15.6">
      <c r="A352" s="19"/>
      <c r="D352" s="86"/>
      <c r="E352" s="86"/>
      <c r="F352" s="86"/>
      <c r="G352" s="86"/>
      <c r="H352" s="86"/>
    </row>
    <row r="353" spans="1:8" ht="15.6">
      <c r="A353" s="19"/>
      <c r="D353" s="86"/>
      <c r="E353" s="86"/>
      <c r="F353" s="86"/>
      <c r="G353" s="86"/>
      <c r="H353" s="86"/>
    </row>
    <row r="354" spans="1:8" ht="15.6">
      <c r="A354" s="19"/>
      <c r="D354" s="86"/>
      <c r="E354" s="86"/>
      <c r="F354" s="86"/>
      <c r="G354" s="86"/>
      <c r="H354" s="86"/>
    </row>
    <row r="355" spans="1:8" ht="15.6">
      <c r="A355" s="19"/>
      <c r="D355" s="86"/>
      <c r="E355" s="86"/>
      <c r="F355" s="86"/>
      <c r="G355" s="86"/>
      <c r="H355" s="86"/>
    </row>
    <row r="356" spans="1:8" ht="15.6">
      <c r="A356" s="19"/>
      <c r="D356" s="86"/>
      <c r="E356" s="86"/>
      <c r="F356" s="86"/>
      <c r="G356" s="86"/>
      <c r="H356" s="86"/>
    </row>
    <row r="357" spans="1:8" ht="15.6">
      <c r="A357" s="19"/>
      <c r="D357" s="86"/>
      <c r="E357" s="86"/>
      <c r="F357" s="86"/>
      <c r="G357" s="86"/>
      <c r="H357" s="86"/>
    </row>
    <row r="358" spans="1:8" ht="15.6">
      <c r="A358" s="19"/>
      <c r="D358" s="86"/>
      <c r="E358" s="86"/>
      <c r="F358" s="86"/>
      <c r="G358" s="86"/>
      <c r="H358" s="86"/>
    </row>
    <row r="359" spans="1:8" ht="15.6">
      <c r="A359" s="19"/>
      <c r="D359" s="86"/>
      <c r="E359" s="86"/>
      <c r="F359" s="86"/>
      <c r="G359" s="86"/>
      <c r="H359" s="86"/>
    </row>
    <row r="360" spans="1:8" ht="15.6">
      <c r="A360" s="19"/>
      <c r="D360" s="86"/>
      <c r="E360" s="86"/>
      <c r="F360" s="86"/>
      <c r="G360" s="86"/>
      <c r="H360" s="86"/>
    </row>
    <row r="361" spans="1:8" ht="15.6">
      <c r="A361" s="19"/>
      <c r="D361" s="86"/>
      <c r="E361" s="86"/>
      <c r="F361" s="86"/>
      <c r="G361" s="86"/>
      <c r="H361" s="86"/>
    </row>
    <row r="362" spans="1:8" ht="15.6">
      <c r="A362" s="19"/>
      <c r="D362" s="86"/>
      <c r="E362" s="86"/>
      <c r="F362" s="86"/>
      <c r="G362" s="86"/>
      <c r="H362" s="86"/>
    </row>
    <row r="363" spans="1:8" ht="15.6">
      <c r="A363" s="19"/>
      <c r="D363" s="86"/>
      <c r="E363" s="86"/>
      <c r="F363" s="86"/>
      <c r="G363" s="86"/>
      <c r="H363" s="86"/>
    </row>
    <row r="364" spans="1:8" ht="15.6">
      <c r="A364" s="19"/>
      <c r="D364" s="86"/>
      <c r="E364" s="86"/>
      <c r="F364" s="86"/>
      <c r="G364" s="86"/>
      <c r="H364" s="86"/>
    </row>
    <row r="365" spans="1:8" ht="15.6">
      <c r="A365" s="19"/>
      <c r="D365" s="86"/>
      <c r="E365" s="86"/>
      <c r="F365" s="86"/>
      <c r="G365" s="86"/>
      <c r="H365" s="86"/>
    </row>
    <row r="366" spans="1:8" ht="15.6">
      <c r="A366" s="19"/>
      <c r="D366" s="86"/>
      <c r="E366" s="86"/>
      <c r="F366" s="86"/>
      <c r="G366" s="86"/>
      <c r="H366" s="86"/>
    </row>
    <row r="367" spans="1:8" ht="15.6">
      <c r="A367" s="19"/>
      <c r="D367" s="86"/>
      <c r="E367" s="86"/>
      <c r="F367" s="86"/>
      <c r="G367" s="86"/>
      <c r="H367" s="86"/>
    </row>
    <row r="368" spans="1:8" ht="15.6">
      <c r="A368" s="19"/>
      <c r="D368" s="86"/>
      <c r="E368" s="86"/>
      <c r="F368" s="86"/>
      <c r="G368" s="86"/>
      <c r="H368" s="86"/>
    </row>
    <row r="369" spans="1:8" ht="15.6">
      <c r="A369" s="19"/>
      <c r="D369" s="86"/>
      <c r="E369" s="86"/>
      <c r="F369" s="86"/>
      <c r="G369" s="86"/>
      <c r="H369" s="86"/>
    </row>
    <row r="370" spans="1:8" ht="15.6">
      <c r="A370" s="19"/>
      <c r="D370" s="86"/>
      <c r="E370" s="86"/>
      <c r="F370" s="86"/>
      <c r="G370" s="86"/>
      <c r="H370" s="86"/>
    </row>
    <row r="371" spans="1:8" ht="15.6">
      <c r="A371" s="19"/>
      <c r="D371" s="86"/>
      <c r="E371" s="86"/>
      <c r="F371" s="86"/>
      <c r="G371" s="86"/>
      <c r="H371" s="86"/>
    </row>
    <row r="372" spans="1:8" ht="15.6">
      <c r="A372" s="19"/>
      <c r="D372" s="86"/>
      <c r="E372" s="86"/>
      <c r="F372" s="86"/>
      <c r="G372" s="86"/>
      <c r="H372" s="86"/>
    </row>
    <row r="373" spans="1:8" ht="15.6">
      <c r="A373" s="19"/>
      <c r="D373" s="86"/>
      <c r="E373" s="86"/>
      <c r="F373" s="86"/>
      <c r="G373" s="86"/>
      <c r="H373" s="86"/>
    </row>
    <row r="374" spans="1:8" ht="15.6">
      <c r="A374" s="19"/>
      <c r="D374" s="86"/>
      <c r="E374" s="86"/>
      <c r="F374" s="86"/>
      <c r="G374" s="86"/>
      <c r="H374" s="86"/>
    </row>
    <row r="375" spans="1:8" ht="15.6">
      <c r="A375" s="19"/>
      <c r="D375" s="86"/>
      <c r="E375" s="86"/>
      <c r="F375" s="86"/>
      <c r="G375" s="86"/>
      <c r="H375" s="86"/>
    </row>
    <row r="376" spans="1:8" ht="15.6">
      <c r="A376" s="19"/>
      <c r="D376" s="86"/>
      <c r="E376" s="86"/>
      <c r="F376" s="86"/>
      <c r="G376" s="86"/>
      <c r="H376" s="86"/>
    </row>
    <row r="377" spans="1:8" ht="15.6">
      <c r="A377" s="19"/>
      <c r="D377" s="86"/>
      <c r="E377" s="86"/>
      <c r="F377" s="86"/>
      <c r="G377" s="86"/>
      <c r="H377" s="86"/>
    </row>
    <row r="378" spans="1:8" ht="15.6">
      <c r="A378" s="19"/>
      <c r="D378" s="86"/>
      <c r="E378" s="86"/>
      <c r="F378" s="86"/>
      <c r="G378" s="86"/>
      <c r="H378" s="86"/>
    </row>
    <row r="379" spans="1:8" ht="15.6">
      <c r="A379" s="19"/>
      <c r="D379" s="86"/>
      <c r="E379" s="86"/>
      <c r="F379" s="86"/>
      <c r="G379" s="86"/>
      <c r="H379" s="86"/>
    </row>
    <row r="380" spans="1:8" ht="15.6">
      <c r="A380" s="19"/>
      <c r="D380" s="86"/>
      <c r="E380" s="86"/>
      <c r="F380" s="86"/>
      <c r="G380" s="86"/>
      <c r="H380" s="86"/>
    </row>
    <row r="381" spans="1:8" ht="15.6">
      <c r="A381" s="19"/>
      <c r="D381" s="86"/>
      <c r="E381" s="86"/>
      <c r="F381" s="86"/>
      <c r="G381" s="86"/>
      <c r="H381" s="86"/>
    </row>
    <row r="382" spans="1:8" ht="15.6">
      <c r="A382" s="19"/>
      <c r="D382" s="86"/>
      <c r="E382" s="86"/>
      <c r="F382" s="86"/>
      <c r="G382" s="86"/>
      <c r="H382" s="86"/>
    </row>
    <row r="383" spans="1:8" ht="15.6">
      <c r="A383" s="19"/>
      <c r="D383" s="86"/>
      <c r="E383" s="86"/>
      <c r="F383" s="86"/>
      <c r="G383" s="86"/>
      <c r="H383" s="86"/>
    </row>
    <row r="384" spans="1:8" ht="15.6">
      <c r="A384" s="19"/>
      <c r="D384" s="86"/>
      <c r="E384" s="86"/>
      <c r="F384" s="86"/>
      <c r="G384" s="86"/>
      <c r="H384" s="86"/>
    </row>
    <row r="385" spans="1:8" ht="15.6">
      <c r="A385" s="19"/>
      <c r="D385" s="86"/>
      <c r="E385" s="86"/>
      <c r="F385" s="86"/>
      <c r="G385" s="86"/>
      <c r="H385" s="86"/>
    </row>
    <row r="386" spans="1:8" ht="15.6">
      <c r="A386" s="19"/>
      <c r="D386" s="86"/>
      <c r="E386" s="86"/>
      <c r="F386" s="86"/>
      <c r="G386" s="86"/>
      <c r="H386" s="86"/>
    </row>
    <row r="387" spans="1:8" ht="15.6">
      <c r="A387" s="19"/>
      <c r="D387" s="86"/>
      <c r="E387" s="86"/>
      <c r="F387" s="86"/>
      <c r="G387" s="86"/>
      <c r="H387" s="86"/>
    </row>
    <row r="388" spans="1:8" ht="15.6">
      <c r="A388" s="19"/>
      <c r="D388" s="86"/>
      <c r="E388" s="86"/>
      <c r="F388" s="86"/>
      <c r="G388" s="86"/>
      <c r="H388" s="86"/>
    </row>
    <row r="389" spans="1:8" ht="15.6">
      <c r="A389" s="19"/>
      <c r="D389" s="86"/>
      <c r="E389" s="86"/>
      <c r="F389" s="86"/>
      <c r="G389" s="86"/>
      <c r="H389" s="86"/>
    </row>
    <row r="390" spans="1:8" ht="15.6">
      <c r="A390" s="19"/>
      <c r="D390" s="86"/>
      <c r="E390" s="86"/>
      <c r="F390" s="86"/>
      <c r="G390" s="86"/>
      <c r="H390" s="86"/>
    </row>
    <row r="391" spans="1:8" ht="15.6">
      <c r="A391" s="19"/>
      <c r="D391" s="86"/>
      <c r="E391" s="86"/>
      <c r="F391" s="86"/>
      <c r="G391" s="86"/>
      <c r="H391" s="86"/>
    </row>
    <row r="392" spans="1:8" ht="15.6">
      <c r="A392" s="19"/>
      <c r="D392" s="86"/>
      <c r="E392" s="86"/>
      <c r="F392" s="86"/>
      <c r="G392" s="86"/>
      <c r="H392" s="86"/>
    </row>
    <row r="393" spans="1:8" ht="15.6">
      <c r="A393" s="19"/>
      <c r="D393" s="86"/>
      <c r="E393" s="86"/>
      <c r="F393" s="86"/>
      <c r="G393" s="86"/>
      <c r="H393" s="86"/>
    </row>
    <row r="394" spans="1:8" ht="15.6">
      <c r="A394" s="19"/>
      <c r="D394" s="86"/>
      <c r="E394" s="86"/>
      <c r="F394" s="86"/>
      <c r="G394" s="86"/>
      <c r="H394" s="86"/>
    </row>
    <row r="395" spans="1:8" ht="15.6">
      <c r="A395" s="19"/>
      <c r="D395" s="86"/>
      <c r="E395" s="86"/>
      <c r="F395" s="86"/>
      <c r="G395" s="86"/>
      <c r="H395" s="86"/>
    </row>
    <row r="396" spans="1:8" ht="15.6">
      <c r="A396" s="19"/>
      <c r="D396" s="86"/>
      <c r="E396" s="86"/>
      <c r="F396" s="86"/>
      <c r="G396" s="86"/>
      <c r="H396" s="86"/>
    </row>
    <row r="397" spans="1:8" ht="15.6">
      <c r="A397" s="19"/>
      <c r="D397" s="86"/>
      <c r="E397" s="86"/>
      <c r="F397" s="86"/>
      <c r="G397" s="86"/>
      <c r="H397" s="86"/>
    </row>
    <row r="398" spans="1:8" ht="15.6">
      <c r="A398" s="19"/>
      <c r="D398" s="86"/>
      <c r="E398" s="86"/>
      <c r="F398" s="86"/>
      <c r="G398" s="86"/>
      <c r="H398" s="86"/>
    </row>
    <row r="399" spans="1:8" ht="15.6">
      <c r="A399" s="19"/>
      <c r="D399" s="86"/>
      <c r="E399" s="86"/>
      <c r="F399" s="86"/>
      <c r="G399" s="86"/>
      <c r="H399" s="86"/>
    </row>
    <row r="400" spans="1:8" ht="15.6">
      <c r="A400" s="19"/>
      <c r="D400" s="86"/>
      <c r="E400" s="86"/>
      <c r="F400" s="86"/>
      <c r="G400" s="86"/>
      <c r="H400" s="86"/>
    </row>
    <row r="401" spans="1:8" ht="15.6">
      <c r="A401" s="19"/>
      <c r="D401" s="86"/>
      <c r="E401" s="86"/>
      <c r="F401" s="86"/>
      <c r="G401" s="86"/>
      <c r="H401" s="86"/>
    </row>
    <row r="402" spans="1:8" ht="15.6">
      <c r="A402" s="19"/>
      <c r="D402" s="86"/>
      <c r="E402" s="86"/>
      <c r="F402" s="86"/>
      <c r="G402" s="86"/>
      <c r="H402" s="86"/>
    </row>
    <row r="403" spans="1:8" ht="15.6">
      <c r="A403" s="19"/>
      <c r="D403" s="86"/>
      <c r="E403" s="86"/>
      <c r="F403" s="86"/>
      <c r="G403" s="86"/>
      <c r="H403" s="86"/>
    </row>
    <row r="404" spans="1:8" ht="15.6">
      <c r="A404" s="19"/>
      <c r="D404" s="86"/>
      <c r="E404" s="86"/>
      <c r="F404" s="86"/>
      <c r="G404" s="86"/>
      <c r="H404" s="86"/>
    </row>
    <row r="405" spans="1:8" ht="15.6">
      <c r="A405" s="19"/>
      <c r="D405" s="86"/>
      <c r="E405" s="86"/>
      <c r="F405" s="86"/>
      <c r="G405" s="86"/>
      <c r="H405" s="86"/>
    </row>
    <row r="406" spans="1:8" ht="15.6">
      <c r="A406" s="19"/>
      <c r="D406" s="86"/>
      <c r="E406" s="86"/>
      <c r="F406" s="86"/>
      <c r="G406" s="86"/>
      <c r="H406" s="86"/>
    </row>
    <row r="407" spans="1:8" ht="15.6">
      <c r="A407" s="19"/>
      <c r="D407" s="86"/>
      <c r="E407" s="86"/>
      <c r="F407" s="86"/>
      <c r="G407" s="86"/>
      <c r="H407" s="86"/>
    </row>
    <row r="408" spans="1:8" ht="15.6">
      <c r="A408" s="19"/>
      <c r="D408" s="86"/>
      <c r="E408" s="86"/>
      <c r="F408" s="86"/>
      <c r="G408" s="86"/>
      <c r="H408" s="86"/>
    </row>
    <row r="409" spans="1:8" ht="15.6">
      <c r="A409" s="19"/>
      <c r="D409" s="86"/>
      <c r="E409" s="86"/>
      <c r="F409" s="86"/>
      <c r="G409" s="86"/>
      <c r="H409" s="86"/>
    </row>
    <row r="410" spans="1:8" ht="15.6">
      <c r="A410" s="19"/>
      <c r="D410" s="86"/>
      <c r="E410" s="86"/>
      <c r="F410" s="86"/>
      <c r="G410" s="86"/>
      <c r="H410" s="86"/>
    </row>
    <row r="411" spans="1:8" ht="15.6">
      <c r="A411" s="19"/>
      <c r="D411" s="86"/>
      <c r="E411" s="86"/>
      <c r="F411" s="86"/>
      <c r="G411" s="86"/>
      <c r="H411" s="86"/>
    </row>
    <row r="412" spans="1:8" ht="15.6">
      <c r="A412" s="19"/>
      <c r="D412" s="86"/>
      <c r="E412" s="86"/>
      <c r="F412" s="86"/>
      <c r="G412" s="86"/>
      <c r="H412" s="86"/>
    </row>
    <row r="413" spans="1:8" ht="15.6">
      <c r="A413" s="19"/>
      <c r="D413" s="86"/>
      <c r="E413" s="86"/>
      <c r="F413" s="86"/>
      <c r="G413" s="86"/>
      <c r="H413" s="86"/>
    </row>
    <row r="414" spans="1:8" ht="15.6">
      <c r="A414" s="19"/>
      <c r="D414" s="86"/>
      <c r="E414" s="86"/>
      <c r="F414" s="86"/>
      <c r="G414" s="86"/>
      <c r="H414" s="86"/>
    </row>
    <row r="415" spans="1:8" ht="15.6">
      <c r="A415" s="19"/>
      <c r="D415" s="86"/>
      <c r="E415" s="86"/>
      <c r="F415" s="86"/>
      <c r="G415" s="86"/>
      <c r="H415" s="86"/>
    </row>
    <row r="416" spans="1:8" ht="15.6">
      <c r="A416" s="19"/>
      <c r="D416" s="86"/>
      <c r="E416" s="86"/>
      <c r="F416" s="86"/>
      <c r="G416" s="86"/>
      <c r="H416" s="86"/>
    </row>
    <row r="417" spans="1:8" ht="15.6">
      <c r="A417" s="19"/>
      <c r="D417" s="86"/>
      <c r="E417" s="86"/>
      <c r="F417" s="86"/>
      <c r="G417" s="86"/>
      <c r="H417" s="86"/>
    </row>
    <row r="418" spans="1:8" ht="15.6">
      <c r="A418" s="19"/>
      <c r="D418" s="86"/>
      <c r="E418" s="86"/>
      <c r="F418" s="86"/>
      <c r="G418" s="86"/>
      <c r="H418" s="86"/>
    </row>
    <row r="419" spans="1:8" ht="15.6">
      <c r="A419" s="19"/>
      <c r="D419" s="86"/>
      <c r="E419" s="86"/>
      <c r="F419" s="86"/>
      <c r="G419" s="86"/>
      <c r="H419" s="86"/>
    </row>
    <row r="420" spans="1:8" ht="15.6">
      <c r="A420" s="19"/>
      <c r="D420" s="86"/>
      <c r="E420" s="86"/>
      <c r="F420" s="86"/>
      <c r="G420" s="86"/>
      <c r="H420" s="86"/>
    </row>
    <row r="421" spans="1:8" ht="15.6">
      <c r="A421" s="19"/>
      <c r="D421" s="86"/>
      <c r="E421" s="86"/>
      <c r="F421" s="86"/>
      <c r="G421" s="86"/>
      <c r="H421" s="86"/>
    </row>
    <row r="422" spans="1:8" ht="15.6">
      <c r="A422" s="19"/>
      <c r="D422" s="86"/>
      <c r="E422" s="86"/>
      <c r="F422" s="86"/>
      <c r="G422" s="86"/>
      <c r="H422" s="86"/>
    </row>
    <row r="423" spans="1:8" ht="15.6">
      <c r="A423" s="19"/>
      <c r="D423" s="86"/>
      <c r="E423" s="86"/>
      <c r="F423" s="86"/>
      <c r="G423" s="86"/>
      <c r="H423" s="86"/>
    </row>
    <row r="424" spans="1:8" ht="15.6">
      <c r="A424" s="19"/>
      <c r="D424" s="86"/>
      <c r="E424" s="86"/>
      <c r="F424" s="86"/>
      <c r="G424" s="86"/>
      <c r="H424" s="86"/>
    </row>
    <row r="425" spans="1:8" ht="15.6">
      <c r="A425" s="19"/>
      <c r="D425" s="86"/>
      <c r="E425" s="86"/>
      <c r="F425" s="86"/>
      <c r="G425" s="86"/>
      <c r="H425" s="86"/>
    </row>
    <row r="426" spans="1:8" ht="15.6">
      <c r="A426" s="19"/>
      <c r="D426" s="86"/>
      <c r="E426" s="86"/>
      <c r="F426" s="86"/>
      <c r="G426" s="86"/>
      <c r="H426" s="86"/>
    </row>
    <row r="427" spans="1:8" ht="15.6">
      <c r="A427" s="19"/>
      <c r="D427" s="86"/>
      <c r="E427" s="86"/>
      <c r="F427" s="86"/>
      <c r="G427" s="86"/>
      <c r="H427" s="86"/>
    </row>
    <row r="428" spans="1:8" ht="15.6">
      <c r="A428" s="19"/>
      <c r="D428" s="86"/>
      <c r="E428" s="86"/>
      <c r="F428" s="86"/>
      <c r="G428" s="86"/>
      <c r="H428" s="86"/>
    </row>
    <row r="429" spans="1:8" ht="15.6">
      <c r="A429" s="19"/>
      <c r="D429" s="86"/>
      <c r="E429" s="86"/>
      <c r="F429" s="86"/>
      <c r="G429" s="86"/>
      <c r="H429" s="86"/>
    </row>
    <row r="430" spans="1:8" ht="15.6">
      <c r="A430" s="19"/>
      <c r="D430" s="86"/>
      <c r="E430" s="86"/>
      <c r="F430" s="86"/>
      <c r="G430" s="86"/>
      <c r="H430" s="86"/>
    </row>
    <row r="431" spans="1:8" ht="15.6">
      <c r="A431" s="19"/>
      <c r="D431" s="86"/>
      <c r="E431" s="86"/>
      <c r="F431" s="86"/>
      <c r="G431" s="86"/>
      <c r="H431" s="86"/>
    </row>
    <row r="432" spans="1:8" ht="15.6">
      <c r="A432" s="19"/>
      <c r="D432" s="86"/>
      <c r="E432" s="86"/>
      <c r="F432" s="86"/>
      <c r="G432" s="86"/>
      <c r="H432" s="86"/>
    </row>
    <row r="433" spans="1:8" ht="15.6">
      <c r="A433" s="19"/>
      <c r="D433" s="86"/>
      <c r="E433" s="86"/>
      <c r="F433" s="86"/>
      <c r="G433" s="86"/>
      <c r="H433" s="86"/>
    </row>
    <row r="434" spans="1:8" ht="15.6">
      <c r="A434" s="19"/>
      <c r="D434" s="86"/>
      <c r="E434" s="86"/>
      <c r="F434" s="86"/>
      <c r="G434" s="86"/>
      <c r="H434" s="86"/>
    </row>
    <row r="435" spans="1:8" ht="15.6">
      <c r="A435" s="19"/>
      <c r="D435" s="86"/>
      <c r="E435" s="86"/>
      <c r="F435" s="86"/>
      <c r="G435" s="86"/>
      <c r="H435" s="86"/>
    </row>
    <row r="436" spans="1:8" ht="15.6">
      <c r="A436" s="19"/>
      <c r="D436" s="86"/>
      <c r="E436" s="86"/>
      <c r="F436" s="86"/>
      <c r="G436" s="86"/>
      <c r="H436" s="86"/>
    </row>
    <row r="437" spans="1:8" ht="15.6">
      <c r="A437" s="19"/>
      <c r="D437" s="86"/>
      <c r="E437" s="86"/>
      <c r="F437" s="86"/>
      <c r="G437" s="86"/>
      <c r="H437" s="86"/>
    </row>
    <row r="438" spans="1:8" ht="15.6">
      <c r="A438" s="19"/>
      <c r="D438" s="86"/>
      <c r="E438" s="86"/>
      <c r="F438" s="86"/>
      <c r="G438" s="86"/>
      <c r="H438" s="86"/>
    </row>
    <row r="439" spans="1:8" ht="15.6">
      <c r="A439" s="19"/>
      <c r="D439" s="86"/>
      <c r="E439" s="86"/>
      <c r="F439" s="86"/>
      <c r="G439" s="86"/>
      <c r="H439" s="86"/>
    </row>
    <row r="440" spans="1:8" ht="15.6">
      <c r="A440" s="19"/>
      <c r="D440" s="86"/>
      <c r="E440" s="86"/>
      <c r="F440" s="86"/>
      <c r="G440" s="86"/>
      <c r="H440" s="86"/>
    </row>
    <row r="441" spans="1:8" ht="15.6">
      <c r="A441" s="19"/>
      <c r="D441" s="86"/>
      <c r="E441" s="86"/>
      <c r="F441" s="86"/>
      <c r="G441" s="86"/>
      <c r="H441" s="86"/>
    </row>
    <row r="442" spans="1:8" ht="15.6">
      <c r="A442" s="19"/>
      <c r="D442" s="86"/>
      <c r="E442" s="86"/>
      <c r="F442" s="86"/>
      <c r="G442" s="86"/>
      <c r="H442" s="86"/>
    </row>
    <row r="443" spans="1:8" ht="15.6">
      <c r="A443" s="19"/>
      <c r="D443" s="86"/>
      <c r="E443" s="86"/>
      <c r="F443" s="86"/>
      <c r="G443" s="86"/>
      <c r="H443" s="86"/>
    </row>
    <row r="444" spans="1:8" ht="15.6">
      <c r="A444" s="19"/>
      <c r="D444" s="86"/>
      <c r="E444" s="86"/>
      <c r="F444" s="86"/>
      <c r="G444" s="86"/>
      <c r="H444" s="86"/>
    </row>
    <row r="445" spans="1:8" ht="15.6">
      <c r="A445" s="19"/>
      <c r="D445" s="86"/>
      <c r="E445" s="86"/>
      <c r="F445" s="86"/>
      <c r="G445" s="86"/>
      <c r="H445" s="86"/>
    </row>
    <row r="446" spans="1:8" ht="15.6">
      <c r="A446" s="19"/>
      <c r="D446" s="86"/>
      <c r="E446" s="86"/>
      <c r="F446" s="86"/>
      <c r="G446" s="86"/>
      <c r="H446" s="86"/>
    </row>
    <row r="447" spans="1:8" ht="15.6">
      <c r="A447" s="19"/>
      <c r="D447" s="86"/>
      <c r="E447" s="86"/>
      <c r="F447" s="86"/>
      <c r="G447" s="86"/>
      <c r="H447" s="86"/>
    </row>
    <row r="448" spans="1:8" ht="15.6">
      <c r="A448" s="19"/>
      <c r="D448" s="86"/>
      <c r="E448" s="86"/>
      <c r="F448" s="86"/>
      <c r="G448" s="86"/>
      <c r="H448" s="86"/>
    </row>
    <row r="449" spans="1:8" ht="15.6">
      <c r="A449" s="19"/>
      <c r="D449" s="86"/>
      <c r="E449" s="86"/>
      <c r="F449" s="86"/>
      <c r="G449" s="86"/>
      <c r="H449" s="86"/>
    </row>
    <row r="450" spans="1:8" ht="15.6">
      <c r="A450" s="19"/>
      <c r="D450" s="86"/>
      <c r="E450" s="86"/>
      <c r="F450" s="86"/>
      <c r="G450" s="86"/>
      <c r="H450" s="86"/>
    </row>
    <row r="451" spans="1:8" ht="15.6">
      <c r="A451" s="19"/>
      <c r="D451" s="86"/>
      <c r="E451" s="86"/>
      <c r="F451" s="86"/>
      <c r="G451" s="86"/>
      <c r="H451" s="86"/>
    </row>
    <row r="452" spans="1:8" ht="15.6">
      <c r="A452" s="19"/>
      <c r="D452" s="86"/>
      <c r="E452" s="86"/>
      <c r="F452" s="86"/>
      <c r="G452" s="86"/>
      <c r="H452" s="86"/>
    </row>
    <row r="453" spans="1:8" ht="15.6">
      <c r="A453" s="19"/>
      <c r="D453" s="86"/>
      <c r="E453" s="86"/>
      <c r="F453" s="86"/>
      <c r="G453" s="86"/>
      <c r="H453" s="86"/>
    </row>
    <row r="454" spans="1:8" ht="15.6">
      <c r="A454" s="19"/>
      <c r="D454" s="86"/>
      <c r="E454" s="86"/>
      <c r="F454" s="86"/>
      <c r="G454" s="86"/>
      <c r="H454" s="86"/>
    </row>
    <row r="455" spans="1:8" ht="15.6">
      <c r="A455" s="19"/>
      <c r="D455" s="86"/>
      <c r="E455" s="86"/>
      <c r="F455" s="86"/>
      <c r="G455" s="86"/>
      <c r="H455" s="86"/>
    </row>
    <row r="456" spans="1:8" ht="15.6">
      <c r="A456" s="19"/>
      <c r="D456" s="86"/>
      <c r="E456" s="86"/>
      <c r="F456" s="86"/>
      <c r="G456" s="86"/>
      <c r="H456" s="86"/>
    </row>
    <row r="457" spans="1:8" ht="15.6">
      <c r="A457" s="19"/>
      <c r="D457" s="86"/>
      <c r="E457" s="86"/>
      <c r="F457" s="86"/>
      <c r="G457" s="86"/>
      <c r="H457" s="86"/>
    </row>
    <row r="458" spans="1:8" ht="15.6">
      <c r="A458" s="19"/>
      <c r="D458" s="86"/>
      <c r="E458" s="86"/>
      <c r="F458" s="86"/>
      <c r="G458" s="86"/>
      <c r="H458" s="86"/>
    </row>
    <row r="459" spans="1:8" ht="15.6">
      <c r="A459" s="19"/>
      <c r="D459" s="86"/>
      <c r="E459" s="86"/>
      <c r="F459" s="86"/>
      <c r="G459" s="86"/>
      <c r="H459" s="86"/>
    </row>
    <row r="460" spans="1:8" ht="15.6">
      <c r="A460" s="19"/>
      <c r="D460" s="86"/>
      <c r="E460" s="86"/>
      <c r="F460" s="86"/>
      <c r="G460" s="86"/>
      <c r="H460" s="86"/>
    </row>
    <row r="461" spans="1:8" ht="15.6">
      <c r="A461" s="19"/>
      <c r="D461" s="86"/>
      <c r="E461" s="86"/>
      <c r="F461" s="86"/>
      <c r="G461" s="86"/>
      <c r="H461" s="86"/>
    </row>
    <row r="462" spans="1:8" ht="15.6">
      <c r="A462" s="19"/>
      <c r="D462" s="86"/>
      <c r="E462" s="86"/>
      <c r="F462" s="86"/>
      <c r="G462" s="86"/>
      <c r="H462" s="86"/>
    </row>
    <row r="463" spans="1:8" ht="15.6">
      <c r="A463" s="19"/>
      <c r="D463" s="86"/>
      <c r="E463" s="86"/>
      <c r="F463" s="86"/>
      <c r="G463" s="86"/>
      <c r="H463" s="86"/>
    </row>
    <row r="464" spans="1:8" ht="15.6">
      <c r="A464" s="19"/>
      <c r="D464" s="86"/>
      <c r="E464" s="86"/>
      <c r="F464" s="86"/>
      <c r="G464" s="86"/>
      <c r="H464" s="86"/>
    </row>
    <row r="465" spans="1:8" ht="15.6">
      <c r="A465" s="19"/>
      <c r="D465" s="86"/>
      <c r="E465" s="86"/>
      <c r="F465" s="86"/>
      <c r="G465" s="86"/>
      <c r="H465" s="86"/>
    </row>
    <row r="466" spans="1:8" ht="15.6">
      <c r="A466" s="19"/>
      <c r="D466" s="86"/>
      <c r="E466" s="86"/>
      <c r="F466" s="86"/>
      <c r="G466" s="86"/>
      <c r="H466" s="86"/>
    </row>
    <row r="467" spans="1:8" ht="15.6">
      <c r="A467" s="19"/>
      <c r="D467" s="86"/>
      <c r="E467" s="86"/>
      <c r="F467" s="86"/>
      <c r="G467" s="86"/>
      <c r="H467" s="86"/>
    </row>
    <row r="468" spans="1:8" ht="15.6">
      <c r="A468" s="19"/>
      <c r="D468" s="86"/>
      <c r="E468" s="86"/>
      <c r="F468" s="86"/>
      <c r="G468" s="86"/>
      <c r="H468" s="86"/>
    </row>
    <row r="469" spans="1:8" ht="15.6">
      <c r="A469" s="19"/>
      <c r="D469" s="86"/>
      <c r="E469" s="86"/>
      <c r="F469" s="86"/>
      <c r="G469" s="86"/>
      <c r="H469" s="86"/>
    </row>
    <row r="470" spans="1:8" ht="15.6">
      <c r="A470" s="19"/>
      <c r="D470" s="86"/>
      <c r="E470" s="86"/>
      <c r="F470" s="86"/>
      <c r="G470" s="86"/>
      <c r="H470" s="86"/>
    </row>
    <row r="471" spans="1:8" ht="15.6">
      <c r="A471" s="19"/>
      <c r="D471" s="86"/>
      <c r="E471" s="86"/>
      <c r="F471" s="86"/>
      <c r="G471" s="86"/>
      <c r="H471" s="86"/>
    </row>
    <row r="472" spans="1:8" ht="15.6">
      <c r="A472" s="19"/>
      <c r="D472" s="86"/>
      <c r="E472" s="86"/>
      <c r="F472" s="86"/>
      <c r="G472" s="86"/>
      <c r="H472" s="86"/>
    </row>
    <row r="473" spans="1:8" ht="15.6">
      <c r="A473" s="19"/>
      <c r="D473" s="86"/>
      <c r="E473" s="86"/>
      <c r="F473" s="86"/>
      <c r="G473" s="86"/>
      <c r="H473" s="86"/>
    </row>
    <row r="474" spans="1:8" ht="15.6">
      <c r="A474" s="19"/>
      <c r="D474" s="86"/>
      <c r="E474" s="86"/>
      <c r="F474" s="86"/>
      <c r="G474" s="86"/>
      <c r="H474" s="86"/>
    </row>
    <row r="475" spans="1:8" ht="15.6">
      <c r="A475" s="19"/>
      <c r="D475" s="86"/>
      <c r="E475" s="86"/>
      <c r="F475" s="86"/>
      <c r="G475" s="86"/>
      <c r="H475" s="86"/>
    </row>
    <row r="476" spans="1:8" ht="15.6">
      <c r="A476" s="19"/>
      <c r="D476" s="86"/>
      <c r="E476" s="86"/>
      <c r="F476" s="86"/>
      <c r="G476" s="86"/>
      <c r="H476" s="86"/>
    </row>
    <row r="477" spans="1:8" ht="15.6">
      <c r="A477" s="19"/>
      <c r="D477" s="86"/>
      <c r="E477" s="86"/>
      <c r="F477" s="86"/>
      <c r="G477" s="86"/>
      <c r="H477" s="86"/>
    </row>
    <row r="478" spans="1:8" ht="15.6">
      <c r="A478" s="19"/>
      <c r="D478" s="86"/>
      <c r="E478" s="86"/>
      <c r="F478" s="86"/>
      <c r="G478" s="86"/>
      <c r="H478" s="86"/>
    </row>
    <row r="479" spans="1:8" ht="15.6">
      <c r="A479" s="19"/>
      <c r="D479" s="86"/>
      <c r="E479" s="86"/>
      <c r="F479" s="86"/>
      <c r="G479" s="86"/>
      <c r="H479" s="86"/>
    </row>
    <row r="480" spans="1:8" ht="15.6">
      <c r="A480" s="19"/>
      <c r="D480" s="86"/>
      <c r="E480" s="86"/>
      <c r="F480" s="86"/>
      <c r="G480" s="86"/>
      <c r="H480" s="86"/>
    </row>
    <row r="481" spans="1:8" ht="15.6">
      <c r="A481" s="19"/>
      <c r="D481" s="86"/>
      <c r="E481" s="86"/>
      <c r="F481" s="86"/>
      <c r="G481" s="86"/>
      <c r="H481" s="86"/>
    </row>
    <row r="482" spans="1:8" ht="15.6">
      <c r="A482" s="19"/>
      <c r="D482" s="86"/>
      <c r="E482" s="86"/>
      <c r="F482" s="86"/>
      <c r="G482" s="86"/>
      <c r="H482" s="86"/>
    </row>
    <row r="483" spans="1:8" ht="15.6">
      <c r="A483" s="19"/>
      <c r="D483" s="86"/>
      <c r="E483" s="86"/>
      <c r="F483" s="86"/>
      <c r="G483" s="86"/>
      <c r="H483" s="86"/>
    </row>
    <row r="484" spans="1:8" ht="15.6">
      <c r="A484" s="19"/>
      <c r="D484" s="86"/>
      <c r="E484" s="86"/>
      <c r="F484" s="86"/>
      <c r="G484" s="86"/>
      <c r="H484" s="86"/>
    </row>
    <row r="485" spans="1:8" ht="15.6">
      <c r="A485" s="19"/>
      <c r="D485" s="86"/>
      <c r="E485" s="86"/>
      <c r="F485" s="86"/>
      <c r="G485" s="86"/>
      <c r="H485" s="86"/>
    </row>
    <row r="486" spans="1:8" ht="15.6">
      <c r="A486" s="19"/>
      <c r="D486" s="86"/>
      <c r="E486" s="86"/>
      <c r="F486" s="86"/>
      <c r="G486" s="86"/>
      <c r="H486" s="86"/>
    </row>
    <row r="487" spans="1:8" ht="15.6">
      <c r="A487" s="19"/>
      <c r="D487" s="86"/>
      <c r="E487" s="86"/>
      <c r="F487" s="86"/>
      <c r="G487" s="86"/>
      <c r="H487" s="86"/>
    </row>
    <row r="488" spans="1:8" ht="15.6">
      <c r="A488" s="19"/>
      <c r="D488" s="86"/>
      <c r="E488" s="86"/>
      <c r="F488" s="86"/>
      <c r="G488" s="86"/>
      <c r="H488" s="86"/>
    </row>
    <row r="489" spans="1:8" ht="15.6">
      <c r="A489" s="19"/>
      <c r="D489" s="86"/>
      <c r="E489" s="86"/>
      <c r="F489" s="86"/>
      <c r="G489" s="86"/>
      <c r="H489" s="86"/>
    </row>
    <row r="490" spans="1:8" ht="15.6">
      <c r="A490" s="19"/>
      <c r="D490" s="86"/>
      <c r="E490" s="86"/>
      <c r="F490" s="86"/>
      <c r="G490" s="86"/>
      <c r="H490" s="86"/>
    </row>
    <row r="491" spans="1:8" ht="15.6">
      <c r="A491" s="19"/>
      <c r="D491" s="86"/>
      <c r="E491" s="86"/>
      <c r="F491" s="86"/>
      <c r="G491" s="86"/>
      <c r="H491" s="86"/>
    </row>
    <row r="492" spans="1:8" ht="15.6">
      <c r="A492" s="19"/>
      <c r="D492" s="86"/>
      <c r="E492" s="86"/>
      <c r="F492" s="86"/>
      <c r="G492" s="86"/>
      <c r="H492" s="86"/>
    </row>
    <row r="493" spans="1:8" ht="15.6">
      <c r="A493" s="19"/>
      <c r="D493" s="86"/>
      <c r="E493" s="86"/>
      <c r="F493" s="86"/>
      <c r="G493" s="86"/>
      <c r="H493" s="86"/>
    </row>
    <row r="494" spans="1:8" ht="15.6">
      <c r="A494" s="19"/>
      <c r="D494" s="86"/>
      <c r="E494" s="86"/>
      <c r="F494" s="86"/>
      <c r="G494" s="86"/>
      <c r="H494" s="86"/>
    </row>
    <row r="495" spans="1:8" ht="15.6">
      <c r="A495" s="19"/>
      <c r="D495" s="86"/>
      <c r="E495" s="86"/>
      <c r="F495" s="86"/>
      <c r="G495" s="86"/>
      <c r="H495" s="86"/>
    </row>
    <row r="496" spans="1:8" ht="15.6">
      <c r="A496" s="19"/>
      <c r="D496" s="86"/>
      <c r="E496" s="86"/>
      <c r="F496" s="86"/>
      <c r="G496" s="86"/>
      <c r="H496" s="86"/>
    </row>
    <row r="497" spans="1:8" ht="15.6">
      <c r="A497" s="19"/>
      <c r="D497" s="86"/>
      <c r="E497" s="86"/>
      <c r="F497" s="86"/>
      <c r="G497" s="86"/>
      <c r="H497" s="86"/>
    </row>
    <row r="498" spans="1:8" ht="15.6">
      <c r="A498" s="19"/>
      <c r="D498" s="86"/>
      <c r="E498" s="86"/>
      <c r="F498" s="86"/>
      <c r="G498" s="86"/>
      <c r="H498" s="86"/>
    </row>
    <row r="499" spans="1:8" ht="15.6">
      <c r="A499" s="19"/>
      <c r="D499" s="86"/>
      <c r="E499" s="86"/>
      <c r="F499" s="86"/>
      <c r="G499" s="86"/>
      <c r="H499" s="86"/>
    </row>
    <row r="500" spans="1:8" ht="15.6">
      <c r="A500" s="19"/>
      <c r="D500" s="86"/>
      <c r="E500" s="86"/>
      <c r="F500" s="86"/>
      <c r="G500" s="86"/>
      <c r="H500" s="86"/>
    </row>
    <row r="501" spans="1:8" ht="15.6">
      <c r="A501" s="19"/>
      <c r="D501" s="86"/>
      <c r="E501" s="86"/>
      <c r="F501" s="86"/>
      <c r="G501" s="86"/>
      <c r="H501" s="86"/>
    </row>
    <row r="502" spans="1:8" ht="15.6">
      <c r="A502" s="19"/>
      <c r="D502" s="86"/>
      <c r="E502" s="86"/>
      <c r="F502" s="86"/>
      <c r="G502" s="86"/>
      <c r="H502" s="86"/>
    </row>
    <row r="503" spans="1:8" ht="15.6">
      <c r="A503" s="19"/>
      <c r="D503" s="86"/>
      <c r="E503" s="86"/>
      <c r="F503" s="86"/>
      <c r="G503" s="86"/>
      <c r="H503" s="86"/>
    </row>
    <row r="504" spans="1:8" ht="15.6">
      <c r="A504" s="19"/>
      <c r="D504" s="86"/>
      <c r="E504" s="86"/>
      <c r="F504" s="86"/>
      <c r="G504" s="86"/>
      <c r="H504" s="86"/>
    </row>
    <row r="505" spans="1:8" ht="15.6">
      <c r="A505" s="19"/>
      <c r="D505" s="86"/>
      <c r="E505" s="86"/>
      <c r="F505" s="86"/>
      <c r="G505" s="86"/>
      <c r="H505" s="86"/>
    </row>
    <row r="506" spans="1:8" ht="15.6">
      <c r="A506" s="19"/>
      <c r="D506" s="86"/>
      <c r="E506" s="86"/>
      <c r="F506" s="86"/>
      <c r="G506" s="86"/>
      <c r="H506" s="86"/>
    </row>
    <row r="507" spans="1:8" ht="15.6">
      <c r="A507" s="19"/>
      <c r="D507" s="86"/>
      <c r="E507" s="86"/>
      <c r="F507" s="86"/>
      <c r="G507" s="86"/>
      <c r="H507" s="86"/>
    </row>
    <row r="508" spans="1:8" ht="15.6">
      <c r="A508" s="19"/>
      <c r="D508" s="86"/>
      <c r="E508" s="86"/>
      <c r="F508" s="86"/>
      <c r="G508" s="86"/>
      <c r="H508" s="86"/>
    </row>
    <row r="509" spans="1:8" ht="15.6">
      <c r="A509" s="19"/>
      <c r="D509" s="86"/>
      <c r="E509" s="86"/>
      <c r="F509" s="86"/>
      <c r="G509" s="86"/>
      <c r="H509" s="86"/>
    </row>
    <row r="510" spans="1:8" ht="15.6">
      <c r="A510" s="19"/>
      <c r="D510" s="86"/>
      <c r="E510" s="86"/>
      <c r="F510" s="86"/>
      <c r="G510" s="86"/>
      <c r="H510" s="86"/>
    </row>
    <row r="511" spans="1:8" ht="15.6">
      <c r="A511" s="19"/>
      <c r="D511" s="86"/>
      <c r="E511" s="86"/>
      <c r="F511" s="86"/>
      <c r="G511" s="86"/>
      <c r="H511" s="86"/>
    </row>
    <row r="512" spans="1:8" ht="15.6">
      <c r="A512" s="19"/>
      <c r="D512" s="86"/>
      <c r="E512" s="86"/>
      <c r="F512" s="86"/>
      <c r="G512" s="86"/>
      <c r="H512" s="86"/>
    </row>
    <row r="513" spans="1:8" ht="15.6">
      <c r="A513" s="19"/>
      <c r="D513" s="86"/>
      <c r="E513" s="86"/>
      <c r="F513" s="86"/>
      <c r="G513" s="86"/>
      <c r="H513" s="86"/>
    </row>
    <row r="514" spans="1:8" ht="15.6">
      <c r="A514" s="19"/>
      <c r="D514" s="86"/>
      <c r="E514" s="86"/>
      <c r="F514" s="86"/>
      <c r="G514" s="86"/>
      <c r="H514" s="86"/>
    </row>
    <row r="515" spans="1:8" ht="15.6">
      <c r="A515" s="19"/>
      <c r="D515" s="86"/>
      <c r="E515" s="86"/>
      <c r="F515" s="86"/>
      <c r="G515" s="86"/>
      <c r="H515" s="86"/>
    </row>
    <row r="516" spans="1:8" ht="15.6">
      <c r="A516" s="19"/>
      <c r="D516" s="86"/>
      <c r="E516" s="86"/>
      <c r="F516" s="86"/>
      <c r="G516" s="86"/>
      <c r="H516" s="86"/>
    </row>
    <row r="517" spans="1:8" ht="15.6">
      <c r="A517" s="19"/>
      <c r="D517" s="86"/>
      <c r="E517" s="86"/>
      <c r="F517" s="86"/>
      <c r="G517" s="86"/>
      <c r="H517" s="86"/>
    </row>
    <row r="518" spans="1:8" ht="15.6">
      <c r="A518" s="19"/>
      <c r="D518" s="86"/>
      <c r="E518" s="86"/>
      <c r="F518" s="86"/>
      <c r="G518" s="86"/>
      <c r="H518" s="86"/>
    </row>
    <row r="519" spans="1:8" ht="15.6">
      <c r="A519" s="19"/>
      <c r="D519" s="86"/>
      <c r="E519" s="86"/>
      <c r="F519" s="86"/>
      <c r="G519" s="86"/>
      <c r="H519" s="86"/>
    </row>
    <row r="520" spans="1:8" ht="15.6">
      <c r="A520" s="19"/>
      <c r="D520" s="86"/>
      <c r="E520" s="86"/>
      <c r="F520" s="86"/>
      <c r="G520" s="86"/>
      <c r="H520" s="86"/>
    </row>
    <row r="521" spans="1:8" ht="15.6">
      <c r="A521" s="19"/>
      <c r="D521" s="86"/>
      <c r="E521" s="86"/>
      <c r="F521" s="86"/>
      <c r="G521" s="86"/>
      <c r="H521" s="86"/>
    </row>
    <row r="522" spans="1:8" ht="15.6">
      <c r="A522" s="19"/>
      <c r="D522" s="86"/>
      <c r="E522" s="86"/>
      <c r="F522" s="86"/>
      <c r="G522" s="86"/>
      <c r="H522" s="86"/>
    </row>
    <row r="523" spans="1:8" ht="15.6">
      <c r="A523" s="19"/>
      <c r="D523" s="86"/>
      <c r="E523" s="86"/>
      <c r="F523" s="86"/>
      <c r="G523" s="86"/>
      <c r="H523" s="86"/>
    </row>
    <row r="524" spans="1:8" ht="15.6">
      <c r="A524" s="19"/>
      <c r="D524" s="86"/>
      <c r="E524" s="86"/>
      <c r="F524" s="86"/>
      <c r="G524" s="86"/>
      <c r="H524" s="86"/>
    </row>
    <row r="525" spans="1:8" ht="15.6">
      <c r="A525" s="19"/>
      <c r="D525" s="86"/>
      <c r="E525" s="86"/>
      <c r="F525" s="86"/>
      <c r="G525" s="86"/>
      <c r="H525" s="86"/>
    </row>
    <row r="526" spans="1:8" ht="15.6">
      <c r="A526" s="19"/>
      <c r="D526" s="86"/>
      <c r="E526" s="86"/>
      <c r="F526" s="86"/>
      <c r="G526" s="86"/>
      <c r="H526" s="86"/>
    </row>
    <row r="527" spans="1:8" ht="15.6">
      <c r="A527" s="19"/>
      <c r="D527" s="86"/>
      <c r="E527" s="86"/>
      <c r="F527" s="86"/>
      <c r="G527" s="86"/>
      <c r="H527" s="86"/>
    </row>
    <row r="528" spans="1:8" ht="15.6">
      <c r="A528" s="19"/>
      <c r="D528" s="86"/>
      <c r="E528" s="86"/>
      <c r="F528" s="86"/>
      <c r="G528" s="86"/>
      <c r="H528" s="86"/>
    </row>
    <row r="529" spans="1:8" ht="15.6">
      <c r="A529" s="19"/>
      <c r="D529" s="86"/>
      <c r="E529" s="86"/>
      <c r="F529" s="86"/>
      <c r="G529" s="86"/>
      <c r="H529" s="86"/>
    </row>
    <row r="530" spans="1:8" ht="15.6">
      <c r="A530" s="19"/>
      <c r="D530" s="86"/>
      <c r="E530" s="86"/>
      <c r="F530" s="86"/>
      <c r="G530" s="86"/>
      <c r="H530" s="86"/>
    </row>
    <row r="531" spans="1:8" ht="15.6">
      <c r="A531" s="19"/>
      <c r="D531" s="86"/>
      <c r="E531" s="86"/>
      <c r="F531" s="86"/>
      <c r="G531" s="86"/>
      <c r="H531" s="86"/>
    </row>
    <row r="532" spans="1:8" ht="15.6">
      <c r="A532" s="19"/>
      <c r="D532" s="86"/>
      <c r="E532" s="86"/>
      <c r="F532" s="86"/>
      <c r="G532" s="86"/>
      <c r="H532" s="86"/>
    </row>
    <row r="533" spans="1:8" ht="15.6">
      <c r="A533" s="19"/>
      <c r="D533" s="86"/>
      <c r="E533" s="86"/>
      <c r="F533" s="86"/>
      <c r="G533" s="86"/>
      <c r="H533" s="86"/>
    </row>
    <row r="534" spans="1:8" ht="15.6">
      <c r="A534" s="19"/>
      <c r="D534" s="86"/>
      <c r="E534" s="86"/>
      <c r="F534" s="86"/>
      <c r="G534" s="86"/>
      <c r="H534" s="86"/>
    </row>
    <row r="535" spans="1:8" ht="15.6">
      <c r="A535" s="19"/>
      <c r="D535" s="86"/>
      <c r="E535" s="86"/>
      <c r="F535" s="86"/>
      <c r="G535" s="86"/>
      <c r="H535" s="86"/>
    </row>
    <row r="536" spans="1:8" ht="15.6">
      <c r="A536" s="19"/>
      <c r="D536" s="86"/>
      <c r="E536" s="86"/>
      <c r="F536" s="86"/>
      <c r="G536" s="86"/>
      <c r="H536" s="86"/>
    </row>
    <row r="537" spans="1:8" ht="15.6">
      <c r="A537" s="19"/>
      <c r="D537" s="86"/>
      <c r="E537" s="86"/>
      <c r="F537" s="86"/>
      <c r="G537" s="86"/>
      <c r="H537" s="86"/>
    </row>
    <row r="538" spans="1:8" ht="15.6">
      <c r="A538" s="19"/>
      <c r="D538" s="86"/>
      <c r="E538" s="86"/>
      <c r="F538" s="86"/>
      <c r="G538" s="86"/>
      <c r="H538" s="86"/>
    </row>
    <row r="539" spans="1:8" ht="15.6">
      <c r="A539" s="19"/>
      <c r="D539" s="86"/>
      <c r="E539" s="86"/>
      <c r="F539" s="86"/>
      <c r="G539" s="86"/>
      <c r="H539" s="86"/>
    </row>
    <row r="540" spans="1:8" ht="15.6">
      <c r="A540" s="19"/>
      <c r="D540" s="86"/>
      <c r="E540" s="86"/>
      <c r="F540" s="86"/>
      <c r="G540" s="86"/>
      <c r="H540" s="86"/>
    </row>
    <row r="541" spans="1:8" ht="15.6">
      <c r="A541" s="19"/>
      <c r="D541" s="86"/>
      <c r="E541" s="86"/>
      <c r="F541" s="86"/>
      <c r="G541" s="86"/>
      <c r="H541" s="86"/>
    </row>
    <row r="542" spans="1:8" ht="15.6">
      <c r="A542" s="19"/>
      <c r="D542" s="86"/>
      <c r="E542" s="86"/>
      <c r="F542" s="86"/>
      <c r="G542" s="86"/>
      <c r="H542" s="86"/>
    </row>
    <row r="543" spans="1:8" ht="15.6">
      <c r="A543" s="19"/>
      <c r="D543" s="86"/>
      <c r="E543" s="86"/>
      <c r="F543" s="86"/>
      <c r="G543" s="86"/>
      <c r="H543" s="86"/>
    </row>
    <row r="544" spans="1:8" ht="15.6">
      <c r="A544" s="19"/>
      <c r="D544" s="86"/>
      <c r="E544" s="86"/>
      <c r="F544" s="86"/>
      <c r="G544" s="86"/>
      <c r="H544" s="86"/>
    </row>
    <row r="545" spans="1:8" ht="15.6">
      <c r="A545" s="19"/>
      <c r="D545" s="86"/>
      <c r="E545" s="86"/>
      <c r="F545" s="86"/>
      <c r="G545" s="86"/>
      <c r="H545" s="86"/>
    </row>
    <row r="546" spans="1:8" ht="15.6">
      <c r="A546" s="19"/>
      <c r="D546" s="86"/>
      <c r="E546" s="86"/>
      <c r="F546" s="86"/>
      <c r="G546" s="86"/>
      <c r="H546" s="86"/>
    </row>
    <row r="547" spans="1:8" ht="15.6">
      <c r="A547" s="19"/>
      <c r="D547" s="86"/>
      <c r="E547" s="86"/>
      <c r="F547" s="86"/>
      <c r="G547" s="86"/>
      <c r="H547" s="86"/>
    </row>
    <row r="548" spans="1:8" ht="15.6">
      <c r="A548" s="19"/>
      <c r="D548" s="86"/>
      <c r="E548" s="86"/>
      <c r="F548" s="86"/>
      <c r="G548" s="86"/>
      <c r="H548" s="86"/>
    </row>
    <row r="549" spans="1:8" ht="15.6">
      <c r="A549" s="19"/>
      <c r="D549" s="86"/>
      <c r="E549" s="86"/>
      <c r="F549" s="86"/>
      <c r="G549" s="86"/>
      <c r="H549" s="86"/>
    </row>
    <row r="550" spans="1:8" ht="15.6">
      <c r="A550" s="19"/>
      <c r="D550" s="86"/>
      <c r="E550" s="86"/>
      <c r="F550" s="86"/>
      <c r="G550" s="86"/>
      <c r="H550" s="86"/>
    </row>
    <row r="551" spans="1:8" ht="15.6">
      <c r="A551" s="19"/>
      <c r="D551" s="86"/>
      <c r="E551" s="86"/>
      <c r="F551" s="86"/>
      <c r="G551" s="86"/>
      <c r="H551" s="86"/>
    </row>
    <row r="552" spans="1:8" ht="15.6">
      <c r="A552" s="19"/>
      <c r="D552" s="86"/>
      <c r="E552" s="86"/>
      <c r="F552" s="86"/>
      <c r="G552" s="86"/>
      <c r="H552" s="86"/>
    </row>
    <row r="553" spans="1:8" ht="15.6">
      <c r="A553" s="19"/>
      <c r="D553" s="86"/>
      <c r="E553" s="86"/>
      <c r="F553" s="86"/>
      <c r="G553" s="86"/>
      <c r="H553" s="86"/>
    </row>
    <row r="554" spans="1:8" ht="15.6">
      <c r="A554" s="19"/>
      <c r="D554" s="86"/>
      <c r="E554" s="86"/>
      <c r="F554" s="86"/>
      <c r="G554" s="86"/>
      <c r="H554" s="86"/>
    </row>
    <row r="555" spans="1:8" ht="15.6">
      <c r="A555" s="19"/>
      <c r="D555" s="86"/>
      <c r="E555" s="86"/>
      <c r="F555" s="86"/>
      <c r="G555" s="86"/>
      <c r="H555" s="86"/>
    </row>
    <row r="556" spans="1:8" ht="15.6">
      <c r="A556" s="19"/>
      <c r="D556" s="86"/>
      <c r="E556" s="86"/>
      <c r="F556" s="86"/>
      <c r="G556" s="86"/>
      <c r="H556" s="86"/>
    </row>
    <row r="557" spans="1:8" ht="15.6">
      <c r="A557" s="19"/>
      <c r="D557" s="86"/>
      <c r="E557" s="86"/>
      <c r="F557" s="86"/>
      <c r="G557" s="86"/>
      <c r="H557" s="86"/>
    </row>
    <row r="558" spans="1:8" ht="15.6">
      <c r="A558" s="19"/>
      <c r="D558" s="86"/>
      <c r="E558" s="86"/>
      <c r="F558" s="86"/>
      <c r="G558" s="86"/>
      <c r="H558" s="86"/>
    </row>
    <row r="559" spans="1:8" ht="15.6">
      <c r="A559" s="19"/>
      <c r="D559" s="86"/>
      <c r="E559" s="86"/>
      <c r="F559" s="86"/>
      <c r="G559" s="86"/>
      <c r="H559" s="86"/>
    </row>
    <row r="560" spans="1:8" ht="15.6">
      <c r="A560" s="19"/>
      <c r="D560" s="86"/>
      <c r="E560" s="86"/>
      <c r="F560" s="86"/>
      <c r="G560" s="86"/>
      <c r="H560" s="86"/>
    </row>
    <row r="561" spans="1:8" ht="15.6">
      <c r="A561" s="19"/>
      <c r="D561" s="86"/>
      <c r="E561" s="86"/>
      <c r="F561" s="86"/>
      <c r="G561" s="86"/>
      <c r="H561" s="86"/>
    </row>
    <row r="562" spans="1:8" ht="15.6">
      <c r="A562" s="19"/>
      <c r="D562" s="86"/>
      <c r="E562" s="86"/>
      <c r="F562" s="86"/>
      <c r="G562" s="86"/>
      <c r="H562" s="86"/>
    </row>
    <row r="563" spans="1:8" ht="15.6">
      <c r="A563" s="19"/>
      <c r="D563" s="86"/>
      <c r="E563" s="86"/>
      <c r="F563" s="86"/>
      <c r="G563" s="86"/>
      <c r="H563" s="86"/>
    </row>
    <row r="564" spans="1:8" ht="15.6">
      <c r="A564" s="19"/>
      <c r="D564" s="86"/>
      <c r="E564" s="86"/>
      <c r="F564" s="86"/>
      <c r="G564" s="86"/>
      <c r="H564" s="86"/>
    </row>
    <row r="565" spans="1:8" ht="15.6">
      <c r="A565" s="19"/>
      <c r="D565" s="86"/>
      <c r="E565" s="86"/>
      <c r="F565" s="86"/>
      <c r="G565" s="86"/>
      <c r="H565" s="86"/>
    </row>
    <row r="566" spans="1:8" ht="15.6">
      <c r="A566" s="19"/>
      <c r="D566" s="86"/>
      <c r="E566" s="86"/>
      <c r="F566" s="86"/>
      <c r="G566" s="86"/>
      <c r="H566" s="86"/>
    </row>
    <row r="567" spans="1:8" ht="15.6">
      <c r="A567" s="19"/>
      <c r="D567" s="86"/>
      <c r="E567" s="86"/>
      <c r="F567" s="86"/>
      <c r="G567" s="86"/>
      <c r="H567" s="86"/>
    </row>
    <row r="568" spans="1:8" ht="15.6">
      <c r="A568" s="19"/>
      <c r="D568" s="86"/>
      <c r="E568" s="86"/>
      <c r="F568" s="86"/>
      <c r="G568" s="86"/>
      <c r="H568" s="86"/>
    </row>
    <row r="569" spans="1:8" ht="15.6">
      <c r="A569" s="19"/>
      <c r="D569" s="86"/>
      <c r="E569" s="86"/>
      <c r="F569" s="86"/>
      <c r="G569" s="86"/>
      <c r="H569" s="86"/>
    </row>
    <row r="570" spans="1:8" ht="15.6">
      <c r="A570" s="19"/>
      <c r="D570" s="86"/>
      <c r="E570" s="86"/>
      <c r="F570" s="86"/>
      <c r="G570" s="86"/>
      <c r="H570" s="86"/>
    </row>
    <row r="571" spans="1:8" ht="15.6">
      <c r="A571" s="19"/>
      <c r="D571" s="86"/>
      <c r="E571" s="86"/>
      <c r="F571" s="86"/>
      <c r="G571" s="86"/>
      <c r="H571" s="86"/>
    </row>
    <row r="572" spans="1:8" ht="15.6">
      <c r="A572" s="19"/>
      <c r="D572" s="86"/>
      <c r="E572" s="86"/>
      <c r="F572" s="86"/>
      <c r="G572" s="86"/>
      <c r="H572" s="86"/>
    </row>
    <row r="573" spans="1:8" ht="15.6">
      <c r="A573" s="19"/>
      <c r="D573" s="86"/>
      <c r="E573" s="86"/>
      <c r="F573" s="86"/>
      <c r="G573" s="86"/>
      <c r="H573" s="86"/>
    </row>
    <row r="574" spans="1:8" ht="15.6">
      <c r="A574" s="19"/>
      <c r="D574" s="86"/>
      <c r="E574" s="86"/>
      <c r="F574" s="86"/>
      <c r="G574" s="86"/>
      <c r="H574" s="86"/>
    </row>
    <row r="575" spans="1:8" ht="15.6">
      <c r="A575" s="19"/>
      <c r="D575" s="86"/>
      <c r="E575" s="86"/>
      <c r="F575" s="86"/>
      <c r="G575" s="86"/>
      <c r="H575" s="86"/>
    </row>
    <row r="576" spans="1:8" ht="15.6">
      <c r="A576" s="19"/>
      <c r="D576" s="86"/>
      <c r="E576" s="86"/>
      <c r="F576" s="86"/>
      <c r="G576" s="86"/>
      <c r="H576" s="86"/>
    </row>
    <row r="577" spans="1:8" ht="15.6">
      <c r="A577" s="19"/>
      <c r="D577" s="86"/>
      <c r="E577" s="86"/>
      <c r="F577" s="86"/>
      <c r="G577" s="86"/>
      <c r="H577" s="86"/>
    </row>
    <row r="578" spans="1:8" ht="15.6">
      <c r="A578" s="19"/>
      <c r="D578" s="86"/>
      <c r="E578" s="86"/>
      <c r="F578" s="86"/>
      <c r="G578" s="86"/>
      <c r="H578" s="86"/>
    </row>
    <row r="579" spans="1:8" ht="15.6">
      <c r="A579" s="19"/>
      <c r="D579" s="86"/>
      <c r="E579" s="86"/>
      <c r="F579" s="86"/>
      <c r="G579" s="86"/>
      <c r="H579" s="86"/>
    </row>
    <row r="580" spans="1:8" ht="15.6">
      <c r="A580" s="19"/>
      <c r="D580" s="86"/>
      <c r="E580" s="86"/>
      <c r="F580" s="86"/>
      <c r="G580" s="86"/>
      <c r="H580" s="86"/>
    </row>
    <row r="581" spans="1:8" ht="15.6">
      <c r="A581" s="19"/>
      <c r="D581" s="86"/>
      <c r="E581" s="86"/>
      <c r="F581" s="86"/>
      <c r="G581" s="86"/>
      <c r="H581" s="86"/>
    </row>
    <row r="582" spans="1:8" ht="15.6">
      <c r="A582" s="19"/>
      <c r="D582" s="86"/>
      <c r="E582" s="86"/>
      <c r="F582" s="86"/>
      <c r="G582" s="86"/>
      <c r="H582" s="86"/>
    </row>
    <row r="583" spans="1:8" ht="15.6">
      <c r="A583" s="19"/>
      <c r="D583" s="86"/>
      <c r="E583" s="86"/>
      <c r="F583" s="86"/>
      <c r="G583" s="86"/>
      <c r="H583" s="86"/>
    </row>
    <row r="584" spans="1:8" ht="15.6">
      <c r="A584" s="19"/>
      <c r="D584" s="86"/>
      <c r="E584" s="86"/>
      <c r="F584" s="86"/>
      <c r="G584" s="86"/>
      <c r="H584" s="86"/>
    </row>
    <row r="585" spans="1:8" ht="15.6">
      <c r="A585" s="19"/>
      <c r="D585" s="86"/>
      <c r="E585" s="86"/>
      <c r="F585" s="86"/>
      <c r="G585" s="86"/>
      <c r="H585" s="86"/>
    </row>
    <row r="586" spans="1:8" ht="15.6">
      <c r="A586" s="19"/>
      <c r="D586" s="86"/>
      <c r="E586" s="86"/>
      <c r="F586" s="86"/>
      <c r="G586" s="86"/>
      <c r="H586" s="86"/>
    </row>
    <row r="587" spans="1:8" ht="15.6">
      <c r="A587" s="19"/>
      <c r="D587" s="86"/>
      <c r="E587" s="86"/>
      <c r="F587" s="86"/>
      <c r="G587" s="86"/>
      <c r="H587" s="86"/>
    </row>
    <row r="588" spans="1:8" ht="15.6">
      <c r="A588" s="19"/>
      <c r="D588" s="86"/>
      <c r="E588" s="86"/>
      <c r="F588" s="86"/>
      <c r="G588" s="86"/>
      <c r="H588" s="86"/>
    </row>
    <row r="589" spans="1:8" ht="15.6">
      <c r="A589" s="19"/>
      <c r="D589" s="86"/>
      <c r="E589" s="86"/>
      <c r="F589" s="86"/>
      <c r="G589" s="86"/>
      <c r="H589" s="86"/>
    </row>
    <row r="590" spans="1:8" ht="15.6">
      <c r="A590" s="19"/>
      <c r="D590" s="86"/>
      <c r="E590" s="86"/>
      <c r="F590" s="86"/>
      <c r="G590" s="86"/>
      <c r="H590" s="86"/>
    </row>
    <row r="591" spans="1:8" ht="15.6">
      <c r="A591" s="19"/>
      <c r="D591" s="86"/>
      <c r="E591" s="86"/>
      <c r="F591" s="86"/>
      <c r="G591" s="86"/>
      <c r="H591" s="86"/>
    </row>
    <row r="592" spans="1:8" ht="15.6">
      <c r="A592" s="19"/>
      <c r="D592" s="86"/>
      <c r="E592" s="86"/>
      <c r="F592" s="86"/>
      <c r="G592" s="86"/>
      <c r="H592" s="86"/>
    </row>
    <row r="593" spans="1:8" ht="15.6">
      <c r="A593" s="19"/>
      <c r="D593" s="86"/>
      <c r="E593" s="86"/>
      <c r="F593" s="86"/>
      <c r="G593" s="86"/>
      <c r="H593" s="86"/>
    </row>
    <row r="594" spans="1:8" ht="15.6">
      <c r="A594" s="19"/>
      <c r="D594" s="86"/>
      <c r="E594" s="86"/>
      <c r="F594" s="86"/>
      <c r="G594" s="86"/>
      <c r="H594" s="86"/>
    </row>
    <row r="595" spans="1:8" ht="15.6">
      <c r="A595" s="19"/>
      <c r="D595" s="86"/>
      <c r="E595" s="86"/>
      <c r="F595" s="86"/>
      <c r="G595" s="86"/>
      <c r="H595" s="86"/>
    </row>
    <row r="596" spans="1:8" ht="15.6">
      <c r="A596" s="19"/>
      <c r="D596" s="86"/>
      <c r="E596" s="86"/>
      <c r="F596" s="86"/>
      <c r="G596" s="86"/>
      <c r="H596" s="86"/>
    </row>
    <row r="597" spans="1:8" ht="15.6">
      <c r="A597" s="19"/>
      <c r="D597" s="86"/>
      <c r="E597" s="86"/>
      <c r="F597" s="86"/>
      <c r="G597" s="86"/>
      <c r="H597" s="86"/>
    </row>
    <row r="598" spans="1:8" ht="15.6">
      <c r="A598" s="19"/>
      <c r="D598" s="86"/>
      <c r="E598" s="86"/>
      <c r="F598" s="86"/>
      <c r="G598" s="86"/>
      <c r="H598" s="86"/>
    </row>
    <row r="599" spans="1:8" ht="15.6">
      <c r="A599" s="19"/>
      <c r="D599" s="86"/>
      <c r="E599" s="86"/>
      <c r="F599" s="86"/>
      <c r="G599" s="86"/>
      <c r="H599" s="86"/>
    </row>
    <row r="600" spans="1:8" ht="15.6">
      <c r="A600" s="19"/>
      <c r="D600" s="86"/>
      <c r="E600" s="86"/>
      <c r="F600" s="86"/>
      <c r="G600" s="86"/>
      <c r="H600" s="86"/>
    </row>
    <row r="601" spans="1:8" ht="15.6">
      <c r="A601" s="19"/>
      <c r="D601" s="86"/>
      <c r="E601" s="86"/>
      <c r="F601" s="86"/>
      <c r="G601" s="86"/>
      <c r="H601" s="86"/>
    </row>
    <row r="602" spans="1:8" ht="15.6">
      <c r="A602" s="19"/>
      <c r="D602" s="86"/>
      <c r="E602" s="86"/>
      <c r="F602" s="86"/>
      <c r="G602" s="86"/>
      <c r="H602" s="86"/>
    </row>
    <row r="603" spans="1:8" ht="15.6">
      <c r="A603" s="19"/>
      <c r="D603" s="86"/>
      <c r="E603" s="86"/>
      <c r="F603" s="86"/>
      <c r="G603" s="86"/>
      <c r="H603" s="86"/>
    </row>
    <row r="604" spans="1:8" ht="15.6">
      <c r="A604" s="19"/>
      <c r="D604" s="86"/>
      <c r="E604" s="86"/>
      <c r="F604" s="86"/>
      <c r="G604" s="86"/>
      <c r="H604" s="86"/>
    </row>
    <row r="605" spans="1:8" ht="15.6">
      <c r="A605" s="19"/>
      <c r="D605" s="86"/>
      <c r="E605" s="86"/>
      <c r="F605" s="86"/>
      <c r="G605" s="86"/>
      <c r="H605" s="86"/>
    </row>
    <row r="606" spans="1:8" ht="15.6">
      <c r="A606" s="19"/>
      <c r="D606" s="86"/>
      <c r="E606" s="86"/>
      <c r="F606" s="86"/>
      <c r="G606" s="86"/>
      <c r="H606" s="86"/>
    </row>
    <row r="607" spans="1:8" ht="15.6">
      <c r="A607" s="19"/>
      <c r="D607" s="86"/>
      <c r="E607" s="86"/>
      <c r="F607" s="86"/>
      <c r="G607" s="86"/>
      <c r="H607" s="86"/>
    </row>
    <row r="608" spans="1:8" ht="15.6">
      <c r="A608" s="19"/>
      <c r="D608" s="86"/>
      <c r="E608" s="86"/>
      <c r="F608" s="86"/>
      <c r="G608" s="86"/>
      <c r="H608" s="86"/>
    </row>
    <row r="609" spans="1:8" ht="15.6">
      <c r="A609" s="19"/>
      <c r="D609" s="86"/>
      <c r="E609" s="86"/>
      <c r="F609" s="86"/>
      <c r="G609" s="86"/>
      <c r="H609" s="86"/>
    </row>
    <row r="610" spans="1:8" ht="15.6">
      <c r="A610" s="19"/>
      <c r="D610" s="86"/>
      <c r="E610" s="86"/>
      <c r="F610" s="86"/>
      <c r="G610" s="86"/>
      <c r="H610" s="86"/>
    </row>
    <row r="611" spans="1:8" ht="15.6">
      <c r="A611" s="19"/>
      <c r="D611" s="86"/>
      <c r="E611" s="86"/>
      <c r="F611" s="86"/>
      <c r="G611" s="86"/>
      <c r="H611" s="86"/>
    </row>
    <row r="612" spans="1:8" ht="15.6">
      <c r="A612" s="19"/>
      <c r="D612" s="86"/>
      <c r="E612" s="86"/>
      <c r="F612" s="86"/>
      <c r="G612" s="86"/>
      <c r="H612" s="86"/>
    </row>
    <row r="613" spans="1:8" ht="15.6">
      <c r="A613" s="19"/>
      <c r="D613" s="86"/>
      <c r="E613" s="86"/>
      <c r="F613" s="86"/>
      <c r="G613" s="86"/>
      <c r="H613" s="86"/>
    </row>
    <row r="614" spans="1:8" ht="15.6">
      <c r="A614" s="19"/>
      <c r="D614" s="86"/>
      <c r="E614" s="86"/>
      <c r="F614" s="86"/>
      <c r="G614" s="86"/>
      <c r="H614" s="86"/>
    </row>
    <row r="615" spans="1:8" ht="15.6">
      <c r="A615" s="19"/>
      <c r="D615" s="86"/>
      <c r="E615" s="86"/>
      <c r="F615" s="86"/>
      <c r="G615" s="86"/>
      <c r="H615" s="86"/>
    </row>
    <row r="616" spans="1:8" ht="15.6">
      <c r="A616" s="19"/>
      <c r="D616" s="86"/>
      <c r="E616" s="86"/>
      <c r="F616" s="86"/>
      <c r="G616" s="86"/>
      <c r="H616" s="86"/>
    </row>
    <row r="617" spans="1:8" ht="15.6">
      <c r="A617" s="19"/>
      <c r="D617" s="86"/>
      <c r="E617" s="86"/>
      <c r="F617" s="86"/>
      <c r="G617" s="86"/>
      <c r="H617" s="86"/>
    </row>
    <row r="618" spans="1:8" ht="15.6">
      <c r="A618" s="19"/>
      <c r="D618" s="86"/>
      <c r="E618" s="86"/>
      <c r="F618" s="86"/>
      <c r="G618" s="86"/>
      <c r="H618" s="86"/>
    </row>
    <row r="619" spans="1:8" ht="15.6">
      <c r="A619" s="19"/>
      <c r="D619" s="86"/>
      <c r="E619" s="86"/>
      <c r="F619" s="86"/>
      <c r="G619" s="86"/>
      <c r="H619" s="86"/>
    </row>
    <row r="620" spans="1:8" ht="15.6">
      <c r="A620" s="19"/>
      <c r="D620" s="86"/>
      <c r="E620" s="86"/>
      <c r="F620" s="86"/>
      <c r="G620" s="86"/>
      <c r="H620" s="86"/>
    </row>
    <row r="621" spans="1:8" ht="15.6">
      <c r="A621" s="19"/>
      <c r="D621" s="86"/>
      <c r="E621" s="86"/>
      <c r="F621" s="86"/>
      <c r="G621" s="86"/>
      <c r="H621" s="86"/>
    </row>
    <row r="622" spans="1:8" ht="15.6">
      <c r="A622" s="19"/>
      <c r="D622" s="86"/>
      <c r="E622" s="86"/>
      <c r="F622" s="86"/>
      <c r="G622" s="86"/>
      <c r="H622" s="86"/>
    </row>
    <row r="623" spans="1:8" ht="15.6">
      <c r="A623" s="19"/>
      <c r="D623" s="86"/>
      <c r="E623" s="86"/>
      <c r="F623" s="86"/>
      <c r="G623" s="86"/>
      <c r="H623" s="86"/>
    </row>
    <row r="624" spans="1:8" ht="15.6">
      <c r="A624" s="19"/>
      <c r="D624" s="86"/>
      <c r="E624" s="86"/>
      <c r="F624" s="86"/>
      <c r="G624" s="86"/>
      <c r="H624" s="86"/>
    </row>
    <row r="625" spans="1:8" ht="15.6">
      <c r="A625" s="19"/>
      <c r="D625" s="86"/>
      <c r="E625" s="86"/>
      <c r="F625" s="86"/>
      <c r="G625" s="86"/>
      <c r="H625" s="86"/>
    </row>
    <row r="626" spans="1:8" ht="15.6">
      <c r="A626" s="19"/>
      <c r="D626" s="86"/>
      <c r="E626" s="86"/>
      <c r="F626" s="86"/>
      <c r="G626" s="86"/>
      <c r="H626" s="86"/>
    </row>
    <row r="627" spans="1:8" ht="15.6">
      <c r="A627" s="19"/>
      <c r="D627" s="86"/>
      <c r="E627" s="86"/>
      <c r="F627" s="86"/>
      <c r="G627" s="86"/>
      <c r="H627" s="86"/>
    </row>
    <row r="628" spans="1:8" ht="15.6">
      <c r="A628" s="19"/>
      <c r="D628" s="86"/>
      <c r="E628" s="86"/>
      <c r="F628" s="86"/>
      <c r="G628" s="86"/>
      <c r="H628" s="86"/>
    </row>
    <row r="629" spans="1:8" ht="15.6">
      <c r="A629" s="19"/>
      <c r="D629" s="86"/>
      <c r="E629" s="86"/>
      <c r="F629" s="86"/>
      <c r="G629" s="86"/>
      <c r="H629" s="86"/>
    </row>
    <row r="630" spans="1:8" ht="15.6">
      <c r="A630" s="19"/>
      <c r="D630" s="86"/>
      <c r="E630" s="86"/>
      <c r="F630" s="86"/>
      <c r="G630" s="86"/>
      <c r="H630" s="86"/>
    </row>
    <row r="631" spans="1:8" ht="15.6">
      <c r="A631" s="19"/>
      <c r="D631" s="86"/>
      <c r="E631" s="86"/>
      <c r="F631" s="86"/>
      <c r="G631" s="86"/>
      <c r="H631" s="86"/>
    </row>
    <row r="632" spans="1:8" ht="15.6">
      <c r="A632" s="19"/>
      <c r="D632" s="86"/>
      <c r="E632" s="86"/>
      <c r="F632" s="86"/>
      <c r="G632" s="86"/>
      <c r="H632" s="86"/>
    </row>
    <row r="633" spans="1:8" ht="15.6">
      <c r="A633" s="19"/>
      <c r="D633" s="86"/>
      <c r="E633" s="86"/>
      <c r="F633" s="86"/>
      <c r="G633" s="86"/>
      <c r="H633" s="86"/>
    </row>
    <row r="634" spans="1:8" ht="15.6">
      <c r="A634" s="19"/>
      <c r="D634" s="86"/>
      <c r="E634" s="86"/>
      <c r="F634" s="86"/>
      <c r="G634" s="86"/>
      <c r="H634" s="86"/>
    </row>
    <row r="635" spans="1:8" ht="15.6">
      <c r="A635" s="19"/>
      <c r="D635" s="86"/>
      <c r="E635" s="86"/>
      <c r="F635" s="86"/>
      <c r="G635" s="86"/>
      <c r="H635" s="86"/>
    </row>
    <row r="636" spans="1:8" ht="15.6">
      <c r="A636" s="19"/>
      <c r="D636" s="86"/>
      <c r="E636" s="86"/>
      <c r="F636" s="86"/>
      <c r="G636" s="86"/>
      <c r="H636" s="86"/>
    </row>
    <row r="637" spans="1:8" ht="15.6">
      <c r="A637" s="19"/>
      <c r="D637" s="86"/>
      <c r="E637" s="86"/>
      <c r="F637" s="86"/>
      <c r="G637" s="86"/>
      <c r="H637" s="86"/>
    </row>
    <row r="638" spans="1:8" ht="15.6">
      <c r="A638" s="19"/>
      <c r="D638" s="86"/>
      <c r="E638" s="86"/>
      <c r="F638" s="86"/>
      <c r="G638" s="86"/>
      <c r="H638" s="86"/>
    </row>
    <row r="639" spans="1:8" ht="15.6">
      <c r="A639" s="19"/>
      <c r="D639" s="86"/>
      <c r="E639" s="86"/>
      <c r="F639" s="86"/>
      <c r="G639" s="86"/>
      <c r="H639" s="86"/>
    </row>
    <row r="640" spans="1:8" ht="15.6">
      <c r="A640" s="19"/>
      <c r="D640" s="86"/>
      <c r="E640" s="86"/>
      <c r="F640" s="86"/>
      <c r="G640" s="86"/>
      <c r="H640" s="86"/>
    </row>
    <row r="641" spans="1:8" ht="15.6">
      <c r="A641" s="19"/>
      <c r="D641" s="86"/>
      <c r="E641" s="86"/>
      <c r="F641" s="86"/>
      <c r="G641" s="86"/>
      <c r="H641" s="86"/>
    </row>
    <row r="642" spans="1:8" ht="15.6">
      <c r="A642" s="19"/>
      <c r="D642" s="86"/>
      <c r="E642" s="86"/>
      <c r="F642" s="86"/>
      <c r="G642" s="86"/>
      <c r="H642" s="86"/>
    </row>
    <row r="643" spans="1:8" ht="15.6">
      <c r="A643" s="19"/>
      <c r="D643" s="86"/>
      <c r="E643" s="86"/>
      <c r="F643" s="86"/>
      <c r="G643" s="86"/>
      <c r="H643" s="86"/>
    </row>
    <row r="644" spans="1:8" ht="15.6">
      <c r="A644" s="19"/>
      <c r="D644" s="86"/>
      <c r="E644" s="86"/>
      <c r="F644" s="86"/>
      <c r="G644" s="86"/>
      <c r="H644" s="86"/>
    </row>
    <row r="645" spans="1:8" ht="15.6">
      <c r="A645" s="19"/>
      <c r="D645" s="86"/>
      <c r="E645" s="86"/>
      <c r="F645" s="86"/>
      <c r="G645" s="86"/>
      <c r="H645" s="86"/>
    </row>
    <row r="646" spans="1:8" ht="15.6">
      <c r="A646" s="19"/>
      <c r="D646" s="86"/>
      <c r="E646" s="86"/>
      <c r="F646" s="86"/>
      <c r="G646" s="86"/>
      <c r="H646" s="86"/>
    </row>
    <row r="647" spans="1:8" ht="15.6">
      <c r="A647" s="19"/>
      <c r="D647" s="86"/>
      <c r="E647" s="86"/>
      <c r="F647" s="86"/>
      <c r="G647" s="86"/>
      <c r="H647" s="86"/>
    </row>
    <row r="648" spans="1:8" ht="15.6">
      <c r="A648" s="19"/>
      <c r="D648" s="86"/>
      <c r="E648" s="86"/>
      <c r="F648" s="86"/>
      <c r="G648" s="86"/>
      <c r="H648" s="86"/>
    </row>
    <row r="649" spans="1:8" ht="15.6">
      <c r="A649" s="19"/>
      <c r="D649" s="86"/>
      <c r="E649" s="86"/>
      <c r="F649" s="86"/>
      <c r="G649" s="86"/>
      <c r="H649" s="86"/>
    </row>
    <row r="650" spans="1:8" ht="15.6">
      <c r="A650" s="19"/>
      <c r="D650" s="86"/>
      <c r="E650" s="86"/>
      <c r="F650" s="86"/>
      <c r="G650" s="86"/>
      <c r="H650" s="86"/>
    </row>
    <row r="651" spans="1:8" ht="15.6">
      <c r="A651" s="19"/>
      <c r="D651" s="86"/>
      <c r="E651" s="86"/>
      <c r="F651" s="86"/>
      <c r="G651" s="86"/>
      <c r="H651" s="86"/>
    </row>
    <row r="652" spans="1:8" ht="15.6">
      <c r="A652" s="19"/>
      <c r="D652" s="86"/>
      <c r="E652" s="86"/>
      <c r="F652" s="86"/>
      <c r="G652" s="86"/>
      <c r="H652" s="86"/>
    </row>
    <row r="653" spans="1:8" ht="15.6">
      <c r="A653" s="19"/>
      <c r="D653" s="86"/>
      <c r="E653" s="86"/>
      <c r="F653" s="86"/>
      <c r="G653" s="86"/>
      <c r="H653" s="86"/>
    </row>
    <row r="654" spans="1:8" ht="15.6">
      <c r="A654" s="19"/>
      <c r="D654" s="86"/>
      <c r="E654" s="86"/>
      <c r="F654" s="86"/>
      <c r="G654" s="86"/>
      <c r="H654" s="86"/>
    </row>
    <row r="655" spans="1:8" ht="15.6">
      <c r="A655" s="19"/>
      <c r="D655" s="86"/>
      <c r="E655" s="86"/>
      <c r="F655" s="86"/>
      <c r="G655" s="86"/>
      <c r="H655" s="86"/>
    </row>
    <row r="656" spans="1:8" ht="15.6">
      <c r="A656" s="19"/>
      <c r="D656" s="86"/>
      <c r="E656" s="86"/>
      <c r="F656" s="86"/>
      <c r="G656" s="86"/>
      <c r="H656" s="86"/>
    </row>
    <row r="657" spans="1:8" ht="15.6">
      <c r="A657" s="19"/>
      <c r="D657" s="86"/>
      <c r="E657" s="86"/>
      <c r="F657" s="86"/>
      <c r="G657" s="86"/>
      <c r="H657" s="86"/>
    </row>
    <row r="658" spans="1:8" ht="15.6">
      <c r="A658" s="19"/>
      <c r="D658" s="86"/>
      <c r="E658" s="86"/>
      <c r="F658" s="86"/>
      <c r="G658" s="86"/>
      <c r="H658" s="86"/>
    </row>
    <row r="659" spans="1:8" ht="15.6">
      <c r="A659" s="19"/>
      <c r="D659" s="86"/>
      <c r="E659" s="86"/>
      <c r="F659" s="86"/>
      <c r="G659" s="86"/>
      <c r="H659" s="86"/>
    </row>
    <row r="660" spans="1:8" ht="15.6">
      <c r="A660" s="19"/>
      <c r="D660" s="86"/>
      <c r="E660" s="86"/>
      <c r="F660" s="86"/>
      <c r="G660" s="86"/>
      <c r="H660" s="86"/>
    </row>
    <row r="661" spans="1:8" ht="15.6">
      <c r="A661" s="19"/>
      <c r="D661" s="86"/>
      <c r="E661" s="86"/>
      <c r="F661" s="86"/>
      <c r="G661" s="86"/>
      <c r="H661" s="86"/>
    </row>
    <row r="662" spans="1:8" ht="15.6">
      <c r="A662" s="19"/>
      <c r="D662" s="86"/>
      <c r="E662" s="86"/>
      <c r="F662" s="86"/>
      <c r="G662" s="86"/>
      <c r="H662" s="86"/>
    </row>
    <row r="663" spans="1:8" ht="15.6">
      <c r="A663" s="19"/>
      <c r="D663" s="86"/>
      <c r="E663" s="86"/>
      <c r="F663" s="86"/>
      <c r="G663" s="86"/>
      <c r="H663" s="86"/>
    </row>
    <row r="664" spans="1:8" ht="15.6">
      <c r="A664" s="19"/>
      <c r="D664" s="86"/>
      <c r="E664" s="86"/>
      <c r="F664" s="86"/>
      <c r="G664" s="86"/>
      <c r="H664" s="86"/>
    </row>
    <row r="665" spans="1:8" ht="15.6">
      <c r="A665" s="19"/>
      <c r="D665" s="86"/>
      <c r="E665" s="86"/>
      <c r="F665" s="86"/>
      <c r="G665" s="86"/>
      <c r="H665" s="86"/>
    </row>
    <row r="666" spans="1:8" ht="15.6">
      <c r="A666" s="19"/>
      <c r="D666" s="86"/>
      <c r="E666" s="86"/>
      <c r="F666" s="86"/>
      <c r="G666" s="86"/>
      <c r="H666" s="86"/>
    </row>
    <row r="667" spans="1:8" ht="15.6">
      <c r="A667" s="19"/>
      <c r="D667" s="86"/>
      <c r="E667" s="86"/>
      <c r="F667" s="86"/>
      <c r="G667" s="86"/>
      <c r="H667" s="86"/>
    </row>
    <row r="668" spans="1:8" ht="15.6">
      <c r="A668" s="19"/>
      <c r="D668" s="86"/>
      <c r="E668" s="86"/>
      <c r="F668" s="86"/>
      <c r="G668" s="86"/>
      <c r="H668" s="86"/>
    </row>
    <row r="669" spans="1:8" ht="15.6">
      <c r="A669" s="19"/>
      <c r="D669" s="86"/>
      <c r="E669" s="86"/>
      <c r="F669" s="86"/>
      <c r="G669" s="86"/>
      <c r="H669" s="86"/>
    </row>
    <row r="670" spans="1:8" ht="15.6">
      <c r="A670" s="19"/>
      <c r="D670" s="86"/>
      <c r="E670" s="86"/>
      <c r="F670" s="86"/>
      <c r="G670" s="86"/>
      <c r="H670" s="86"/>
    </row>
    <row r="671" spans="1:8" ht="15.6">
      <c r="A671" s="19"/>
      <c r="D671" s="86"/>
      <c r="E671" s="86"/>
      <c r="F671" s="86"/>
      <c r="G671" s="86"/>
      <c r="H671" s="86"/>
    </row>
    <row r="672" spans="1:8" ht="15.6">
      <c r="A672" s="19"/>
      <c r="D672" s="86"/>
      <c r="E672" s="86"/>
      <c r="F672" s="86"/>
      <c r="G672" s="86"/>
      <c r="H672" s="86"/>
    </row>
    <row r="673" spans="1:8" ht="15.6">
      <c r="A673" s="19"/>
      <c r="D673" s="86"/>
      <c r="E673" s="86"/>
      <c r="F673" s="86"/>
      <c r="G673" s="86"/>
      <c r="H673" s="86"/>
    </row>
    <row r="674" spans="1:8" ht="15.6">
      <c r="A674" s="19"/>
      <c r="D674" s="86"/>
      <c r="E674" s="86"/>
      <c r="F674" s="86"/>
      <c r="G674" s="86"/>
      <c r="H674" s="86"/>
    </row>
    <row r="675" spans="1:8" ht="15.6">
      <c r="A675" s="19"/>
      <c r="D675" s="86"/>
      <c r="E675" s="86"/>
      <c r="F675" s="86"/>
      <c r="G675" s="86"/>
      <c r="H675" s="86"/>
    </row>
    <row r="676" spans="1:8" ht="15.6">
      <c r="A676" s="19"/>
      <c r="D676" s="86"/>
      <c r="E676" s="86"/>
      <c r="F676" s="86"/>
      <c r="G676" s="86"/>
      <c r="H676" s="86"/>
    </row>
    <row r="677" spans="1:8" ht="15.6">
      <c r="A677" s="19"/>
      <c r="D677" s="86"/>
      <c r="E677" s="86"/>
      <c r="F677" s="86"/>
      <c r="G677" s="86"/>
      <c r="H677" s="86"/>
    </row>
    <row r="678" spans="1:8" ht="15.6">
      <c r="A678" s="19"/>
      <c r="D678" s="86"/>
      <c r="E678" s="86"/>
      <c r="F678" s="86"/>
      <c r="G678" s="86"/>
      <c r="H678" s="86"/>
    </row>
    <row r="679" spans="1:8" ht="15.6">
      <c r="A679" s="19"/>
      <c r="D679" s="86"/>
      <c r="E679" s="86"/>
      <c r="F679" s="86"/>
      <c r="G679" s="86"/>
      <c r="H679" s="86"/>
    </row>
    <row r="680" spans="1:8" ht="15.6">
      <c r="A680" s="19"/>
      <c r="D680" s="86"/>
      <c r="E680" s="86"/>
      <c r="F680" s="86"/>
      <c r="G680" s="86"/>
      <c r="H680" s="86"/>
    </row>
    <row r="681" spans="1:8" ht="15.6">
      <c r="A681" s="19"/>
      <c r="D681" s="86"/>
      <c r="E681" s="86"/>
      <c r="F681" s="86"/>
      <c r="G681" s="86"/>
      <c r="H681" s="86"/>
    </row>
    <row r="682" spans="1:8" ht="15.6">
      <c r="A682" s="19"/>
      <c r="D682" s="86"/>
      <c r="E682" s="86"/>
      <c r="F682" s="86"/>
      <c r="G682" s="86"/>
      <c r="H682" s="86"/>
    </row>
    <row r="683" spans="1:8" ht="15.6">
      <c r="A683" s="19"/>
      <c r="D683" s="86"/>
      <c r="E683" s="86"/>
      <c r="F683" s="86"/>
      <c r="G683" s="86"/>
      <c r="H683" s="86"/>
    </row>
    <row r="684" spans="1:8" ht="15.6">
      <c r="A684" s="19"/>
      <c r="D684" s="86"/>
      <c r="E684" s="86"/>
      <c r="F684" s="86"/>
      <c r="G684" s="86"/>
      <c r="H684" s="86"/>
    </row>
    <row r="685" spans="1:8" ht="15.6">
      <c r="A685" s="19"/>
      <c r="D685" s="86"/>
      <c r="E685" s="86"/>
      <c r="F685" s="86"/>
      <c r="G685" s="86"/>
      <c r="H685" s="86"/>
    </row>
    <row r="686" spans="1:8" ht="15.6">
      <c r="A686" s="19"/>
      <c r="D686" s="86"/>
      <c r="E686" s="86"/>
      <c r="F686" s="86"/>
      <c r="G686" s="86"/>
      <c r="H686" s="86"/>
    </row>
    <row r="687" spans="1:8" ht="15.6">
      <c r="A687" s="19"/>
      <c r="D687" s="86"/>
      <c r="E687" s="86"/>
      <c r="F687" s="86"/>
      <c r="G687" s="86"/>
      <c r="H687" s="86"/>
    </row>
    <row r="688" spans="1:8" ht="15.6">
      <c r="A688" s="19"/>
      <c r="D688" s="86"/>
      <c r="E688" s="86"/>
      <c r="F688" s="86"/>
      <c r="G688" s="86"/>
      <c r="H688" s="86"/>
    </row>
    <row r="689" spans="1:8" ht="15.6">
      <c r="A689" s="19"/>
      <c r="D689" s="86"/>
      <c r="E689" s="86"/>
      <c r="F689" s="86"/>
      <c r="G689" s="86"/>
      <c r="H689" s="86"/>
    </row>
    <row r="690" spans="1:8" ht="15.6">
      <c r="A690" s="19"/>
      <c r="D690" s="86"/>
      <c r="E690" s="86"/>
      <c r="F690" s="86"/>
      <c r="G690" s="86"/>
      <c r="H690" s="86"/>
    </row>
    <row r="691" spans="1:8" ht="15.6">
      <c r="A691" s="19"/>
      <c r="D691" s="86"/>
      <c r="E691" s="86"/>
      <c r="F691" s="86"/>
      <c r="G691" s="86"/>
      <c r="H691" s="86"/>
    </row>
    <row r="692" spans="1:8" ht="15.6">
      <c r="A692" s="19"/>
      <c r="D692" s="86"/>
      <c r="E692" s="86"/>
      <c r="F692" s="86"/>
      <c r="G692" s="86"/>
      <c r="H692" s="86"/>
    </row>
    <row r="693" spans="1:8" ht="15.6">
      <c r="A693" s="19"/>
      <c r="D693" s="86"/>
      <c r="E693" s="86"/>
      <c r="F693" s="86"/>
      <c r="G693" s="86"/>
      <c r="H693" s="86"/>
    </row>
    <row r="694" spans="1:8" ht="15.6">
      <c r="A694" s="19"/>
      <c r="D694" s="86"/>
      <c r="E694" s="86"/>
      <c r="F694" s="86"/>
      <c r="G694" s="86"/>
      <c r="H694" s="86"/>
    </row>
    <row r="695" spans="1:8" ht="15.6">
      <c r="A695" s="19"/>
      <c r="D695" s="86"/>
      <c r="E695" s="86"/>
      <c r="F695" s="86"/>
      <c r="G695" s="86"/>
      <c r="H695" s="86"/>
    </row>
    <row r="696" spans="1:8" ht="15.6">
      <c r="A696" s="19"/>
      <c r="D696" s="86"/>
      <c r="E696" s="86"/>
      <c r="F696" s="86"/>
      <c r="G696" s="86"/>
      <c r="H696" s="86"/>
    </row>
    <row r="697" spans="1:8" ht="15.6">
      <c r="A697" s="19"/>
      <c r="D697" s="86"/>
      <c r="E697" s="86"/>
      <c r="F697" s="86"/>
      <c r="G697" s="86"/>
      <c r="H697" s="86"/>
    </row>
    <row r="698" spans="1:8" ht="15.6">
      <c r="A698" s="19"/>
      <c r="D698" s="86"/>
      <c r="E698" s="86"/>
      <c r="F698" s="86"/>
      <c r="G698" s="86"/>
      <c r="H698" s="86"/>
    </row>
    <row r="699" spans="1:8" ht="15.6">
      <c r="A699" s="19"/>
      <c r="D699" s="86"/>
      <c r="E699" s="86"/>
      <c r="F699" s="86"/>
      <c r="G699" s="86"/>
      <c r="H699" s="86"/>
    </row>
    <row r="700" spans="1:8" ht="15.6">
      <c r="A700" s="19"/>
      <c r="D700" s="86"/>
      <c r="E700" s="86"/>
      <c r="F700" s="86"/>
      <c r="G700" s="86"/>
      <c r="H700" s="86"/>
    </row>
    <row r="701" spans="1:8" ht="15.6">
      <c r="A701" s="19"/>
      <c r="D701" s="86"/>
      <c r="E701" s="86"/>
      <c r="F701" s="86"/>
      <c r="G701" s="86"/>
      <c r="H701" s="86"/>
    </row>
    <row r="702" spans="1:8" ht="15.6">
      <c r="A702" s="19"/>
      <c r="D702" s="86"/>
      <c r="E702" s="86"/>
      <c r="F702" s="86"/>
      <c r="G702" s="86"/>
      <c r="H702" s="86"/>
    </row>
    <row r="703" spans="1:8" ht="15.6">
      <c r="A703" s="19"/>
      <c r="D703" s="86"/>
      <c r="E703" s="86"/>
      <c r="F703" s="86"/>
      <c r="G703" s="86"/>
      <c r="H703" s="86"/>
    </row>
    <row r="704" spans="1:8" ht="15.6">
      <c r="A704" s="19"/>
      <c r="D704" s="86"/>
      <c r="E704" s="86"/>
      <c r="F704" s="86"/>
      <c r="G704" s="86"/>
      <c r="H704" s="86"/>
    </row>
    <row r="705" spans="1:8" ht="15.6">
      <c r="A705" s="19"/>
      <c r="D705" s="86"/>
      <c r="E705" s="86"/>
      <c r="F705" s="86"/>
      <c r="G705" s="86"/>
      <c r="H705" s="86"/>
    </row>
    <row r="706" spans="1:8" ht="15.6">
      <c r="A706" s="19"/>
      <c r="D706" s="86"/>
      <c r="E706" s="86"/>
      <c r="F706" s="86"/>
      <c r="G706" s="86"/>
      <c r="H706" s="86"/>
    </row>
    <row r="707" spans="1:8" ht="15.6">
      <c r="A707" s="19"/>
      <c r="D707" s="86"/>
      <c r="E707" s="86"/>
      <c r="F707" s="86"/>
      <c r="G707" s="86"/>
      <c r="H707" s="86"/>
    </row>
    <row r="708" spans="1:8" ht="15.6">
      <c r="A708" s="19"/>
      <c r="D708" s="86"/>
      <c r="E708" s="86"/>
      <c r="F708" s="86"/>
      <c r="G708" s="86"/>
      <c r="H708" s="86"/>
    </row>
    <row r="709" spans="1:8" ht="15.6">
      <c r="A709" s="19"/>
      <c r="D709" s="86"/>
      <c r="E709" s="86"/>
      <c r="F709" s="86"/>
      <c r="G709" s="86"/>
      <c r="H709" s="86"/>
    </row>
    <row r="710" spans="1:8" ht="15.6">
      <c r="A710" s="19"/>
      <c r="D710" s="86"/>
      <c r="E710" s="86"/>
      <c r="F710" s="86"/>
      <c r="G710" s="86"/>
      <c r="H710" s="86"/>
    </row>
    <row r="711" spans="1:8" ht="15.6">
      <c r="A711" s="19"/>
      <c r="D711" s="86"/>
      <c r="E711" s="86"/>
      <c r="F711" s="86"/>
      <c r="G711" s="86"/>
      <c r="H711" s="86"/>
    </row>
    <row r="712" spans="1:8" ht="15.6">
      <c r="A712" s="19"/>
      <c r="D712" s="86"/>
      <c r="E712" s="86"/>
      <c r="F712" s="86"/>
      <c r="G712" s="86"/>
      <c r="H712" s="86"/>
    </row>
    <row r="713" spans="1:8" ht="15.6">
      <c r="A713" s="19"/>
      <c r="D713" s="86"/>
      <c r="E713" s="86"/>
      <c r="F713" s="86"/>
      <c r="G713" s="86"/>
      <c r="H713" s="86"/>
    </row>
    <row r="714" spans="1:8" ht="15.6">
      <c r="A714" s="19"/>
      <c r="D714" s="86"/>
      <c r="E714" s="86"/>
      <c r="F714" s="86"/>
      <c r="G714" s="86"/>
      <c r="H714" s="86"/>
    </row>
    <row r="715" spans="1:8" ht="15.6">
      <c r="A715" s="19"/>
      <c r="D715" s="86"/>
      <c r="E715" s="86"/>
      <c r="F715" s="86"/>
      <c r="G715" s="86"/>
      <c r="H715" s="86"/>
    </row>
    <row r="716" spans="1:8" ht="15.6">
      <c r="A716" s="19"/>
      <c r="D716" s="86"/>
      <c r="E716" s="86"/>
      <c r="F716" s="86"/>
      <c r="G716" s="86"/>
      <c r="H716" s="86"/>
    </row>
    <row r="717" spans="1:8" ht="15.6">
      <c r="A717" s="19"/>
      <c r="D717" s="86"/>
      <c r="E717" s="86"/>
      <c r="F717" s="86"/>
      <c r="G717" s="86"/>
      <c r="H717" s="86"/>
    </row>
    <row r="718" spans="1:8" ht="15.6">
      <c r="A718" s="19"/>
      <c r="D718" s="86"/>
      <c r="E718" s="86"/>
      <c r="F718" s="86"/>
      <c r="G718" s="86"/>
      <c r="H718" s="86"/>
    </row>
    <row r="719" spans="1:8" ht="15.6">
      <c r="A719" s="19"/>
      <c r="D719" s="86"/>
      <c r="E719" s="86"/>
      <c r="F719" s="86"/>
      <c r="G719" s="86"/>
      <c r="H719" s="86"/>
    </row>
    <row r="720" spans="1:8" ht="15.6">
      <c r="A720" s="19"/>
      <c r="D720" s="86"/>
      <c r="E720" s="86"/>
      <c r="F720" s="86"/>
      <c r="G720" s="86"/>
      <c r="H720" s="86"/>
    </row>
    <row r="721" spans="1:8" ht="15.6">
      <c r="A721" s="19"/>
      <c r="D721" s="86"/>
      <c r="E721" s="86"/>
      <c r="F721" s="86"/>
      <c r="G721" s="86"/>
      <c r="H721" s="86"/>
    </row>
    <row r="722" spans="1:8" ht="15.6">
      <c r="A722" s="19"/>
      <c r="D722" s="86"/>
      <c r="E722" s="86"/>
      <c r="F722" s="86"/>
      <c r="G722" s="86"/>
      <c r="H722" s="86"/>
    </row>
    <row r="723" spans="1:8" ht="15.6">
      <c r="A723" s="19"/>
      <c r="D723" s="86"/>
      <c r="E723" s="86"/>
      <c r="F723" s="86"/>
      <c r="G723" s="86"/>
      <c r="H723" s="86"/>
    </row>
    <row r="724" spans="1:8" ht="15.6">
      <c r="A724" s="19"/>
      <c r="D724" s="86"/>
      <c r="E724" s="86"/>
      <c r="F724" s="86"/>
      <c r="G724" s="86"/>
      <c r="H724" s="86"/>
    </row>
    <row r="725" spans="1:8" ht="15.6">
      <c r="A725" s="19"/>
      <c r="D725" s="86"/>
      <c r="E725" s="86"/>
      <c r="F725" s="86"/>
      <c r="G725" s="86"/>
      <c r="H725" s="86"/>
    </row>
    <row r="726" spans="1:8" ht="15.6">
      <c r="A726" s="19"/>
      <c r="D726" s="86"/>
      <c r="E726" s="86"/>
      <c r="F726" s="86"/>
      <c r="G726" s="86"/>
      <c r="H726" s="86"/>
    </row>
    <row r="727" spans="1:8" ht="15.6">
      <c r="A727" s="19"/>
      <c r="D727" s="86"/>
      <c r="E727" s="86"/>
      <c r="F727" s="86"/>
      <c r="G727" s="86"/>
      <c r="H727" s="86"/>
    </row>
    <row r="728" spans="1:8" ht="15.6">
      <c r="A728" s="19"/>
      <c r="D728" s="86"/>
      <c r="E728" s="86"/>
      <c r="F728" s="86"/>
      <c r="G728" s="86"/>
      <c r="H728" s="86"/>
    </row>
    <row r="729" spans="1:8" ht="15.6">
      <c r="A729" s="19"/>
      <c r="D729" s="86"/>
      <c r="E729" s="86"/>
      <c r="F729" s="86"/>
      <c r="G729" s="86"/>
      <c r="H729" s="86"/>
    </row>
    <row r="730" spans="1:8" ht="15.6">
      <c r="A730" s="19"/>
      <c r="D730" s="86"/>
      <c r="E730" s="86"/>
      <c r="F730" s="86"/>
      <c r="G730" s="86"/>
      <c r="H730" s="86"/>
    </row>
    <row r="731" spans="1:8" ht="15.6">
      <c r="A731" s="19"/>
      <c r="D731" s="86"/>
      <c r="E731" s="86"/>
      <c r="F731" s="86"/>
      <c r="G731" s="86"/>
      <c r="H731" s="86"/>
    </row>
    <row r="732" spans="1:8" ht="15.6">
      <c r="A732" s="19"/>
      <c r="D732" s="86"/>
      <c r="E732" s="86"/>
      <c r="F732" s="86"/>
      <c r="G732" s="86"/>
      <c r="H732" s="86"/>
    </row>
    <row r="733" spans="1:8" ht="15.6">
      <c r="A733" s="19"/>
      <c r="D733" s="86"/>
      <c r="E733" s="86"/>
      <c r="F733" s="86"/>
      <c r="G733" s="86"/>
      <c r="H733" s="86"/>
    </row>
    <row r="734" spans="1:8" ht="15.6">
      <c r="A734" s="19"/>
      <c r="D734" s="86"/>
      <c r="E734" s="86"/>
      <c r="F734" s="86"/>
      <c r="G734" s="86"/>
      <c r="H734" s="86"/>
    </row>
    <row r="735" spans="1:8" ht="15.6">
      <c r="A735" s="19"/>
      <c r="D735" s="86"/>
      <c r="E735" s="86"/>
      <c r="F735" s="86"/>
      <c r="G735" s="86"/>
      <c r="H735" s="86"/>
    </row>
    <row r="736" spans="1:8" ht="15.6">
      <c r="A736" s="19"/>
      <c r="D736" s="86"/>
      <c r="E736" s="86"/>
      <c r="F736" s="86"/>
      <c r="G736" s="86"/>
      <c r="H736" s="86"/>
    </row>
    <row r="737" spans="1:8" ht="15.6">
      <c r="A737" s="19"/>
      <c r="D737" s="86"/>
      <c r="E737" s="86"/>
      <c r="F737" s="86"/>
      <c r="G737" s="86"/>
      <c r="H737" s="86"/>
    </row>
    <row r="738" spans="1:8" ht="15.6">
      <c r="A738" s="19"/>
      <c r="D738" s="86"/>
      <c r="E738" s="86"/>
      <c r="F738" s="86"/>
      <c r="G738" s="86"/>
      <c r="H738" s="86"/>
    </row>
    <row r="739" spans="1:8" ht="15.6">
      <c r="A739" s="19"/>
      <c r="D739" s="86"/>
      <c r="E739" s="86"/>
      <c r="F739" s="86"/>
      <c r="G739" s="86"/>
      <c r="H739" s="86"/>
    </row>
    <row r="740" spans="1:8" ht="15.6">
      <c r="A740" s="19"/>
      <c r="D740" s="86"/>
      <c r="E740" s="86"/>
      <c r="F740" s="86"/>
      <c r="G740" s="86"/>
      <c r="H740" s="86"/>
    </row>
    <row r="741" spans="1:8" ht="15.6">
      <c r="A741" s="19"/>
      <c r="D741" s="86"/>
      <c r="E741" s="86"/>
      <c r="F741" s="86"/>
      <c r="G741" s="86"/>
      <c r="H741" s="86"/>
    </row>
    <row r="742" spans="1:8" ht="15.6">
      <c r="A742" s="19"/>
      <c r="D742" s="86"/>
      <c r="E742" s="86"/>
      <c r="F742" s="86"/>
      <c r="G742" s="86"/>
      <c r="H742" s="86"/>
    </row>
    <row r="743" spans="1:8" ht="15.6">
      <c r="A743" s="19"/>
      <c r="D743" s="86"/>
      <c r="E743" s="86"/>
      <c r="F743" s="86"/>
      <c r="G743" s="86"/>
      <c r="H743" s="86"/>
    </row>
    <row r="744" spans="1:8" ht="15.6">
      <c r="A744" s="19"/>
      <c r="D744" s="86"/>
      <c r="E744" s="86"/>
      <c r="F744" s="86"/>
      <c r="G744" s="86"/>
      <c r="H744" s="86"/>
    </row>
    <row r="745" spans="1:8" ht="15.6">
      <c r="A745" s="19"/>
      <c r="D745" s="86"/>
      <c r="E745" s="86"/>
      <c r="F745" s="86"/>
      <c r="G745" s="86"/>
      <c r="H745" s="86"/>
    </row>
    <row r="746" spans="1:8" ht="15.6">
      <c r="A746" s="19"/>
      <c r="D746" s="86"/>
      <c r="E746" s="86"/>
      <c r="F746" s="86"/>
      <c r="G746" s="86"/>
      <c r="H746" s="86"/>
    </row>
    <row r="747" spans="1:8" ht="15.6">
      <c r="A747" s="19"/>
      <c r="D747" s="86"/>
      <c r="E747" s="86"/>
      <c r="F747" s="86"/>
      <c r="G747" s="86"/>
      <c r="H747" s="86"/>
    </row>
    <row r="748" spans="1:8" ht="15.6">
      <c r="A748" s="19"/>
      <c r="D748" s="86"/>
      <c r="E748" s="86"/>
      <c r="F748" s="86"/>
      <c r="G748" s="86"/>
      <c r="H748" s="86"/>
    </row>
    <row r="749" spans="1:8" ht="15.6">
      <c r="A749" s="19"/>
      <c r="D749" s="86"/>
      <c r="E749" s="86"/>
      <c r="F749" s="86"/>
      <c r="G749" s="86"/>
      <c r="H749" s="86"/>
    </row>
    <row r="750" spans="1:8" ht="15.6">
      <c r="A750" s="19"/>
      <c r="D750" s="86"/>
      <c r="E750" s="86"/>
      <c r="F750" s="86"/>
      <c r="G750" s="86"/>
      <c r="H750" s="86"/>
    </row>
    <row r="751" spans="1:8" ht="15.6">
      <c r="A751" s="19"/>
      <c r="D751" s="86"/>
      <c r="E751" s="86"/>
      <c r="F751" s="86"/>
      <c r="G751" s="86"/>
      <c r="H751" s="86"/>
    </row>
    <row r="752" spans="1:8" ht="15.6">
      <c r="A752" s="19"/>
      <c r="D752" s="86"/>
      <c r="E752" s="86"/>
      <c r="F752" s="86"/>
      <c r="G752" s="86"/>
      <c r="H752" s="86"/>
    </row>
    <row r="753" spans="1:8" ht="15.6">
      <c r="A753" s="19"/>
      <c r="D753" s="86"/>
      <c r="E753" s="86"/>
      <c r="F753" s="86"/>
      <c r="G753" s="86"/>
      <c r="H753" s="86"/>
    </row>
    <row r="754" spans="1:8" ht="15.6">
      <c r="A754" s="19"/>
      <c r="D754" s="86"/>
      <c r="E754" s="86"/>
      <c r="F754" s="86"/>
      <c r="G754" s="86"/>
      <c r="H754" s="86"/>
    </row>
    <row r="755" spans="1:8" ht="15.6">
      <c r="A755" s="19"/>
      <c r="D755" s="86"/>
      <c r="E755" s="86"/>
      <c r="F755" s="86"/>
      <c r="G755" s="86"/>
      <c r="H755" s="86"/>
    </row>
    <row r="756" spans="1:8" ht="15.6">
      <c r="A756" s="19"/>
      <c r="D756" s="86"/>
      <c r="E756" s="86"/>
      <c r="F756" s="86"/>
      <c r="G756" s="86"/>
      <c r="H756" s="86"/>
    </row>
    <row r="757" spans="1:8" ht="15.6">
      <c r="A757" s="19"/>
      <c r="D757" s="86"/>
      <c r="E757" s="86"/>
      <c r="F757" s="86"/>
      <c r="G757" s="86"/>
      <c r="H757" s="86"/>
    </row>
    <row r="758" spans="1:8" ht="15.6">
      <c r="A758" s="19"/>
      <c r="D758" s="86"/>
      <c r="E758" s="86"/>
      <c r="F758" s="86"/>
      <c r="G758" s="86"/>
      <c r="H758" s="86"/>
    </row>
    <row r="759" spans="1:8" ht="15.6">
      <c r="A759" s="19"/>
      <c r="D759" s="86"/>
      <c r="E759" s="86"/>
      <c r="F759" s="86"/>
      <c r="G759" s="86"/>
      <c r="H759" s="86"/>
    </row>
    <row r="760" spans="1:8" ht="15.6">
      <c r="A760" s="19"/>
      <c r="D760" s="86"/>
      <c r="E760" s="86"/>
      <c r="F760" s="86"/>
      <c r="G760" s="86"/>
      <c r="H760" s="86"/>
    </row>
    <row r="761" spans="1:8" ht="15.6">
      <c r="A761" s="19"/>
      <c r="D761" s="86"/>
      <c r="E761" s="86"/>
      <c r="F761" s="86"/>
      <c r="G761" s="86"/>
      <c r="H761" s="86"/>
    </row>
    <row r="762" spans="1:8" ht="15.6">
      <c r="A762" s="19"/>
      <c r="D762" s="86"/>
      <c r="E762" s="86"/>
      <c r="F762" s="86"/>
      <c r="G762" s="86"/>
      <c r="H762" s="86"/>
    </row>
    <row r="763" spans="1:8" ht="15.6">
      <c r="A763" s="19"/>
      <c r="D763" s="86"/>
      <c r="E763" s="86"/>
      <c r="F763" s="86"/>
      <c r="G763" s="86"/>
      <c r="H763" s="86"/>
    </row>
    <row r="764" spans="1:8" ht="15.6">
      <c r="A764" s="19"/>
      <c r="D764" s="86"/>
      <c r="E764" s="86"/>
      <c r="F764" s="86"/>
      <c r="G764" s="86"/>
      <c r="H764" s="86"/>
    </row>
    <row r="765" spans="1:8" ht="15.6">
      <c r="A765" s="19"/>
      <c r="D765" s="86"/>
      <c r="E765" s="86"/>
      <c r="F765" s="86"/>
      <c r="G765" s="86"/>
      <c r="H765" s="86"/>
    </row>
    <row r="766" spans="1:8" ht="15.6">
      <c r="A766" s="19"/>
      <c r="D766" s="86"/>
      <c r="E766" s="86"/>
      <c r="F766" s="86"/>
      <c r="G766" s="86"/>
      <c r="H766" s="86"/>
    </row>
    <row r="767" spans="1:8" ht="15.6">
      <c r="A767" s="19"/>
      <c r="D767" s="86"/>
      <c r="E767" s="86"/>
      <c r="F767" s="86"/>
      <c r="G767" s="86"/>
      <c r="H767" s="86"/>
    </row>
    <row r="768" spans="1:8" ht="15.6">
      <c r="A768" s="19"/>
      <c r="D768" s="86"/>
      <c r="E768" s="86"/>
      <c r="F768" s="86"/>
      <c r="G768" s="86"/>
      <c r="H768" s="86"/>
    </row>
    <row r="769" spans="1:8" ht="15.6">
      <c r="A769" s="19"/>
      <c r="D769" s="86"/>
      <c r="E769" s="86"/>
      <c r="F769" s="86"/>
      <c r="G769" s="86"/>
      <c r="H769" s="86"/>
    </row>
    <row r="770" spans="1:8" ht="15.6">
      <c r="A770" s="19"/>
      <c r="D770" s="86"/>
      <c r="E770" s="86"/>
      <c r="F770" s="86"/>
      <c r="G770" s="86"/>
      <c r="H770" s="86"/>
    </row>
    <row r="771" spans="1:8" ht="15.6">
      <c r="A771" s="19"/>
      <c r="D771" s="86"/>
      <c r="E771" s="86"/>
      <c r="F771" s="86"/>
      <c r="G771" s="86"/>
      <c r="H771" s="86"/>
    </row>
    <row r="772" spans="1:8" ht="15.6">
      <c r="A772" s="19"/>
      <c r="D772" s="86"/>
      <c r="E772" s="86"/>
      <c r="F772" s="86"/>
      <c r="G772" s="86"/>
      <c r="H772" s="86"/>
    </row>
    <row r="773" spans="1:8" ht="15.6">
      <c r="A773" s="19"/>
      <c r="D773" s="86"/>
      <c r="E773" s="86"/>
      <c r="F773" s="86"/>
      <c r="G773" s="86"/>
      <c r="H773" s="86"/>
    </row>
    <row r="774" spans="1:8" ht="15.6">
      <c r="A774" s="19"/>
      <c r="D774" s="86"/>
      <c r="E774" s="86"/>
      <c r="F774" s="86"/>
      <c r="G774" s="86"/>
      <c r="H774" s="86"/>
    </row>
    <row r="775" spans="1:8" ht="15.6">
      <c r="A775" s="19"/>
      <c r="D775" s="86"/>
      <c r="E775" s="86"/>
      <c r="F775" s="86"/>
      <c r="G775" s="86"/>
      <c r="H775" s="86"/>
    </row>
    <row r="776" spans="1:8" ht="15.6">
      <c r="A776" s="19"/>
      <c r="D776" s="86"/>
      <c r="E776" s="86"/>
      <c r="F776" s="86"/>
      <c r="G776" s="86"/>
      <c r="H776" s="86"/>
    </row>
    <row r="777" spans="1:8" ht="15.6">
      <c r="A777" s="19"/>
      <c r="D777" s="86"/>
      <c r="E777" s="86"/>
      <c r="F777" s="86"/>
      <c r="G777" s="86"/>
      <c r="H777" s="86"/>
    </row>
    <row r="778" spans="1:8" ht="15.6">
      <c r="A778" s="19"/>
      <c r="D778" s="86"/>
      <c r="E778" s="86"/>
      <c r="F778" s="86"/>
      <c r="G778" s="86"/>
      <c r="H778" s="86"/>
    </row>
    <row r="779" spans="1:8" ht="15.6">
      <c r="A779" s="19"/>
      <c r="D779" s="86"/>
      <c r="E779" s="86"/>
      <c r="F779" s="86"/>
      <c r="G779" s="86"/>
      <c r="H779" s="86"/>
    </row>
    <row r="780" spans="1:8" ht="15.6">
      <c r="A780" s="19"/>
      <c r="D780" s="86"/>
      <c r="E780" s="86"/>
      <c r="F780" s="86"/>
      <c r="G780" s="86"/>
      <c r="H780" s="86"/>
    </row>
    <row r="781" spans="1:8" ht="15.6">
      <c r="A781" s="19"/>
      <c r="D781" s="86"/>
      <c r="E781" s="86"/>
      <c r="F781" s="86"/>
      <c r="G781" s="86"/>
      <c r="H781" s="86"/>
    </row>
    <row r="782" spans="1:8" ht="15.6">
      <c r="A782" s="19"/>
      <c r="D782" s="86"/>
      <c r="E782" s="86"/>
      <c r="F782" s="86"/>
      <c r="G782" s="86"/>
      <c r="H782" s="86"/>
    </row>
    <row r="783" spans="1:8" ht="15.6">
      <c r="A783" s="19"/>
      <c r="D783" s="86"/>
      <c r="E783" s="86"/>
      <c r="F783" s="86"/>
      <c r="G783" s="86"/>
      <c r="H783" s="86"/>
    </row>
    <row r="784" spans="1:8" ht="15.6">
      <c r="A784" s="19"/>
      <c r="D784" s="86"/>
      <c r="E784" s="86"/>
      <c r="F784" s="86"/>
      <c r="G784" s="86"/>
      <c r="H784" s="86"/>
    </row>
    <row r="785" spans="1:8" ht="15.6">
      <c r="A785" s="19"/>
      <c r="D785" s="86"/>
      <c r="E785" s="86"/>
      <c r="F785" s="86"/>
      <c r="G785" s="86"/>
      <c r="H785" s="86"/>
    </row>
    <row r="786" spans="1:8" ht="15.6">
      <c r="A786" s="19"/>
      <c r="D786" s="86"/>
      <c r="E786" s="86"/>
      <c r="F786" s="86"/>
      <c r="G786" s="86"/>
      <c r="H786" s="86"/>
    </row>
    <row r="787" spans="1:8" ht="15.6">
      <c r="A787" s="19"/>
      <c r="D787" s="86"/>
      <c r="E787" s="86"/>
      <c r="F787" s="86"/>
      <c r="G787" s="86"/>
      <c r="H787" s="86"/>
    </row>
    <row r="788" spans="1:8" ht="15.6">
      <c r="A788" s="19"/>
      <c r="D788" s="86"/>
      <c r="E788" s="86"/>
      <c r="F788" s="86"/>
      <c r="G788" s="86"/>
      <c r="H788" s="86"/>
    </row>
    <row r="789" spans="1:8" ht="15.6">
      <c r="A789" s="19"/>
      <c r="D789" s="86"/>
      <c r="E789" s="86"/>
      <c r="F789" s="86"/>
      <c r="G789" s="86"/>
      <c r="H789" s="86"/>
    </row>
    <row r="790" spans="1:8" ht="15.6">
      <c r="A790" s="19"/>
      <c r="D790" s="86"/>
      <c r="E790" s="86"/>
      <c r="F790" s="86"/>
      <c r="G790" s="86"/>
      <c r="H790" s="86"/>
    </row>
    <row r="791" spans="1:8" ht="15.6">
      <c r="A791" s="19"/>
      <c r="D791" s="86"/>
      <c r="E791" s="86"/>
      <c r="F791" s="86"/>
      <c r="G791" s="86"/>
      <c r="H791" s="86"/>
    </row>
    <row r="792" spans="1:8" ht="15.6">
      <c r="A792" s="19"/>
      <c r="D792" s="86"/>
      <c r="E792" s="86"/>
      <c r="F792" s="86"/>
      <c r="G792" s="86"/>
      <c r="H792" s="86"/>
    </row>
    <row r="793" spans="1:8" ht="15.6">
      <c r="A793" s="19"/>
      <c r="D793" s="86"/>
      <c r="E793" s="86"/>
      <c r="F793" s="86"/>
      <c r="G793" s="86"/>
      <c r="H793" s="86"/>
    </row>
    <row r="794" spans="1:8" ht="15.6">
      <c r="A794" s="19"/>
      <c r="D794" s="86"/>
      <c r="E794" s="86"/>
      <c r="F794" s="86"/>
      <c r="G794" s="86"/>
      <c r="H794" s="86"/>
    </row>
    <row r="795" spans="1:8" ht="15.6">
      <c r="A795" s="19"/>
      <c r="D795" s="86"/>
      <c r="E795" s="86"/>
      <c r="F795" s="86"/>
      <c r="G795" s="86"/>
      <c r="H795" s="86"/>
    </row>
    <row r="796" spans="1:8" ht="15.6">
      <c r="A796" s="19"/>
      <c r="D796" s="86"/>
      <c r="E796" s="86"/>
      <c r="F796" s="86"/>
      <c r="G796" s="86"/>
      <c r="H796" s="86"/>
    </row>
    <row r="797" spans="1:8" ht="15.6">
      <c r="A797" s="19"/>
      <c r="D797" s="86"/>
      <c r="E797" s="86"/>
      <c r="F797" s="86"/>
      <c r="G797" s="86"/>
      <c r="H797" s="86"/>
    </row>
    <row r="798" spans="1:8" ht="15.6">
      <c r="A798" s="19"/>
      <c r="D798" s="86"/>
      <c r="E798" s="86"/>
      <c r="F798" s="86"/>
      <c r="G798" s="86"/>
      <c r="H798" s="86"/>
    </row>
    <row r="799" spans="1:8" ht="15.6">
      <c r="A799" s="19"/>
      <c r="D799" s="86"/>
      <c r="E799" s="86"/>
      <c r="F799" s="86"/>
      <c r="G799" s="86"/>
      <c r="H799" s="86"/>
    </row>
    <row r="800" spans="1:8" ht="15.6">
      <c r="A800" s="19"/>
      <c r="D800" s="86"/>
      <c r="E800" s="86"/>
      <c r="F800" s="86"/>
      <c r="G800" s="86"/>
      <c r="H800" s="86"/>
    </row>
    <row r="801" spans="1:8" ht="15.6">
      <c r="A801" s="19"/>
      <c r="D801" s="86"/>
      <c r="E801" s="86"/>
      <c r="F801" s="86"/>
      <c r="G801" s="86"/>
      <c r="H801" s="86"/>
    </row>
    <row r="802" spans="1:8" ht="15.6">
      <c r="A802" s="19"/>
      <c r="D802" s="86"/>
      <c r="E802" s="86"/>
      <c r="F802" s="86"/>
      <c r="G802" s="86"/>
      <c r="H802" s="86"/>
    </row>
    <row r="803" spans="1:8" ht="15.6">
      <c r="A803" s="19"/>
      <c r="D803" s="86"/>
      <c r="E803" s="86"/>
      <c r="F803" s="86"/>
      <c r="G803" s="86"/>
      <c r="H803" s="86"/>
    </row>
    <row r="804" spans="1:8" ht="15.6">
      <c r="A804" s="19"/>
      <c r="D804" s="86"/>
      <c r="E804" s="86"/>
      <c r="F804" s="86"/>
      <c r="G804" s="86"/>
      <c r="H804" s="86"/>
    </row>
    <row r="805" spans="1:8" ht="15.6">
      <c r="A805" s="19"/>
      <c r="D805" s="86"/>
      <c r="E805" s="86"/>
      <c r="F805" s="86"/>
      <c r="G805" s="86"/>
      <c r="H805" s="86"/>
    </row>
    <row r="806" spans="1:8" ht="15.6">
      <c r="A806" s="19"/>
      <c r="D806" s="86"/>
      <c r="E806" s="86"/>
      <c r="F806" s="86"/>
      <c r="G806" s="86"/>
      <c r="H806" s="86"/>
    </row>
    <row r="807" spans="1:8" ht="15.6">
      <c r="A807" s="19"/>
      <c r="D807" s="86"/>
      <c r="E807" s="86"/>
      <c r="F807" s="86"/>
      <c r="G807" s="86"/>
      <c r="H807" s="86"/>
    </row>
    <row r="808" spans="1:8" ht="15.6">
      <c r="A808" s="19"/>
      <c r="D808" s="86"/>
      <c r="E808" s="86"/>
      <c r="F808" s="86"/>
      <c r="G808" s="86"/>
      <c r="H808" s="86"/>
    </row>
    <row r="809" spans="1:8" ht="15.6">
      <c r="A809" s="19"/>
      <c r="D809" s="86"/>
      <c r="E809" s="86"/>
      <c r="F809" s="86"/>
      <c r="G809" s="86"/>
      <c r="H809" s="86"/>
    </row>
    <row r="810" spans="1:8" ht="15.6">
      <c r="A810" s="19"/>
      <c r="D810" s="86"/>
      <c r="E810" s="86"/>
      <c r="F810" s="86"/>
      <c r="G810" s="86"/>
      <c r="H810" s="86"/>
    </row>
    <row r="811" spans="1:8" ht="15.6">
      <c r="A811" s="19"/>
      <c r="D811" s="86"/>
      <c r="E811" s="86"/>
      <c r="F811" s="86"/>
      <c r="G811" s="86"/>
      <c r="H811" s="86"/>
    </row>
    <row r="812" spans="1:8" ht="15.6">
      <c r="A812" s="19"/>
      <c r="D812" s="86"/>
      <c r="E812" s="86"/>
      <c r="F812" s="86"/>
      <c r="G812" s="86"/>
      <c r="H812" s="86"/>
    </row>
    <row r="813" spans="1:8" ht="15.6">
      <c r="A813" s="19"/>
      <c r="D813" s="86"/>
      <c r="E813" s="86"/>
      <c r="F813" s="86"/>
      <c r="G813" s="86"/>
      <c r="H813" s="86"/>
    </row>
    <row r="814" spans="1:8" ht="15.6">
      <c r="A814" s="19"/>
      <c r="D814" s="86"/>
      <c r="E814" s="86"/>
      <c r="F814" s="86"/>
      <c r="G814" s="86"/>
      <c r="H814" s="86"/>
    </row>
    <row r="815" spans="1:8" ht="15.6">
      <c r="A815" s="19"/>
      <c r="D815" s="86"/>
      <c r="E815" s="86"/>
      <c r="F815" s="86"/>
      <c r="G815" s="86"/>
      <c r="H815" s="86"/>
    </row>
    <row r="816" spans="1:8" ht="15.6">
      <c r="A816" s="19"/>
      <c r="D816" s="86"/>
      <c r="E816" s="86"/>
      <c r="F816" s="86"/>
      <c r="G816" s="86"/>
      <c r="H816" s="86"/>
    </row>
    <row r="817" spans="1:8" ht="15.6">
      <c r="A817" s="19"/>
      <c r="D817" s="86"/>
      <c r="E817" s="86"/>
      <c r="F817" s="86"/>
      <c r="G817" s="86"/>
      <c r="H817" s="86"/>
    </row>
    <row r="818" spans="1:8" ht="15.6">
      <c r="A818" s="19"/>
      <c r="D818" s="86"/>
      <c r="E818" s="86"/>
      <c r="F818" s="86"/>
      <c r="G818" s="86"/>
      <c r="H818" s="86"/>
    </row>
    <row r="819" spans="1:8" ht="15.6">
      <c r="A819" s="19"/>
      <c r="D819" s="86"/>
      <c r="E819" s="86"/>
      <c r="F819" s="86"/>
      <c r="G819" s="86"/>
      <c r="H819" s="86"/>
    </row>
    <row r="820" spans="1:8" ht="15.6">
      <c r="A820" s="19"/>
      <c r="D820" s="86"/>
      <c r="E820" s="86"/>
      <c r="F820" s="86"/>
      <c r="G820" s="86"/>
      <c r="H820" s="86"/>
    </row>
    <row r="821" spans="1:8" ht="15.6">
      <c r="A821" s="19"/>
      <c r="D821" s="86"/>
      <c r="E821" s="86"/>
      <c r="F821" s="86"/>
      <c r="G821" s="86"/>
      <c r="H821" s="86"/>
    </row>
    <row r="822" spans="1:8" ht="15.6">
      <c r="A822" s="19"/>
      <c r="D822" s="86"/>
      <c r="E822" s="86"/>
      <c r="F822" s="86"/>
      <c r="G822" s="86"/>
      <c r="H822" s="86"/>
    </row>
    <row r="823" spans="1:8" ht="15.6">
      <c r="A823" s="19"/>
      <c r="D823" s="86"/>
      <c r="E823" s="86"/>
      <c r="F823" s="86"/>
      <c r="G823" s="86"/>
      <c r="H823" s="86"/>
    </row>
    <row r="824" spans="1:8" ht="15.6">
      <c r="A824" s="19"/>
      <c r="D824" s="86"/>
      <c r="E824" s="86"/>
      <c r="F824" s="86"/>
      <c r="G824" s="86"/>
      <c r="H824" s="86"/>
    </row>
    <row r="825" spans="1:8" ht="15.6">
      <c r="A825" s="19"/>
      <c r="D825" s="86"/>
      <c r="E825" s="86"/>
      <c r="F825" s="86"/>
      <c r="G825" s="86"/>
      <c r="H825" s="86"/>
    </row>
    <row r="826" spans="1:8" ht="15.6">
      <c r="A826" s="19"/>
      <c r="D826" s="86"/>
      <c r="E826" s="86"/>
      <c r="F826" s="86"/>
      <c r="G826" s="86"/>
      <c r="H826" s="86"/>
    </row>
    <row r="827" spans="1:8" ht="15.6">
      <c r="A827" s="19"/>
      <c r="D827" s="86"/>
      <c r="E827" s="86"/>
      <c r="F827" s="86"/>
      <c r="G827" s="86"/>
      <c r="H827" s="86"/>
    </row>
    <row r="828" spans="1:8" ht="15.6">
      <c r="A828" s="19"/>
      <c r="D828" s="86"/>
      <c r="E828" s="86"/>
      <c r="F828" s="86"/>
      <c r="G828" s="86"/>
      <c r="H828" s="86"/>
    </row>
    <row r="829" spans="1:8" ht="15.6">
      <c r="A829" s="19"/>
      <c r="D829" s="86"/>
      <c r="E829" s="86"/>
      <c r="F829" s="86"/>
      <c r="G829" s="86"/>
      <c r="H829" s="86"/>
    </row>
    <row r="830" spans="1:8" ht="15.6">
      <c r="A830" s="19"/>
      <c r="D830" s="86"/>
      <c r="E830" s="86"/>
      <c r="F830" s="86"/>
      <c r="G830" s="86"/>
      <c r="H830" s="86"/>
    </row>
    <row r="831" spans="1:8" ht="15.6">
      <c r="A831" s="19"/>
      <c r="D831" s="86"/>
      <c r="E831" s="86"/>
      <c r="F831" s="86"/>
      <c r="G831" s="86"/>
      <c r="H831" s="86"/>
    </row>
    <row r="832" spans="1:8" ht="15.6">
      <c r="A832" s="19"/>
      <c r="D832" s="86"/>
      <c r="E832" s="86"/>
      <c r="F832" s="86"/>
      <c r="G832" s="86"/>
      <c r="H832" s="86"/>
    </row>
    <row r="833" spans="1:8" ht="15.6">
      <c r="A833" s="19"/>
      <c r="D833" s="86"/>
      <c r="E833" s="86"/>
      <c r="F833" s="86"/>
      <c r="G833" s="86"/>
      <c r="H833" s="86"/>
    </row>
    <row r="834" spans="1:8" ht="15.6">
      <c r="A834" s="19"/>
      <c r="D834" s="86"/>
      <c r="E834" s="86"/>
      <c r="F834" s="86"/>
      <c r="G834" s="86"/>
      <c r="H834" s="86"/>
    </row>
    <row r="835" spans="1:8" ht="15.6">
      <c r="A835" s="19"/>
      <c r="D835" s="86"/>
      <c r="E835" s="86"/>
      <c r="F835" s="86"/>
      <c r="G835" s="86"/>
      <c r="H835" s="86"/>
    </row>
    <row r="836" spans="1:8" ht="15.6">
      <c r="A836" s="19"/>
      <c r="D836" s="86"/>
      <c r="E836" s="86"/>
      <c r="F836" s="86"/>
      <c r="G836" s="86"/>
      <c r="H836" s="86"/>
    </row>
    <row r="837" spans="1:8" ht="15.6">
      <c r="A837" s="19"/>
      <c r="D837" s="86"/>
      <c r="E837" s="86"/>
      <c r="F837" s="86"/>
      <c r="G837" s="86"/>
      <c r="H837" s="86"/>
    </row>
    <row r="838" spans="1:8" ht="15.6">
      <c r="A838" s="19"/>
      <c r="D838" s="86"/>
      <c r="E838" s="86"/>
      <c r="F838" s="86"/>
      <c r="G838" s="86"/>
      <c r="H838" s="86"/>
    </row>
    <row r="839" spans="1:8" ht="15.6">
      <c r="A839" s="19"/>
      <c r="D839" s="86"/>
      <c r="E839" s="86"/>
      <c r="F839" s="86"/>
      <c r="G839" s="86"/>
      <c r="H839" s="86"/>
    </row>
    <row r="840" spans="1:8" ht="15.6">
      <c r="A840" s="19"/>
      <c r="D840" s="86"/>
      <c r="E840" s="86"/>
      <c r="F840" s="86"/>
      <c r="G840" s="86"/>
      <c r="H840" s="86"/>
    </row>
    <row r="841" spans="1:8" ht="15.6">
      <c r="A841" s="19"/>
      <c r="D841" s="86"/>
      <c r="E841" s="86"/>
      <c r="F841" s="86"/>
      <c r="G841" s="86"/>
      <c r="H841" s="86"/>
    </row>
    <row r="842" spans="1:8" ht="15.6">
      <c r="A842" s="19"/>
      <c r="D842" s="86"/>
      <c r="E842" s="86"/>
      <c r="F842" s="86"/>
      <c r="G842" s="86"/>
      <c r="H842" s="86"/>
    </row>
    <row r="843" spans="1:8" ht="15.6">
      <c r="A843" s="19"/>
      <c r="D843" s="86"/>
      <c r="E843" s="86"/>
      <c r="F843" s="86"/>
      <c r="G843" s="86"/>
      <c r="H843" s="86"/>
    </row>
    <row r="844" spans="1:8" ht="15.6">
      <c r="A844" s="19"/>
      <c r="D844" s="86"/>
      <c r="E844" s="86"/>
      <c r="F844" s="86"/>
      <c r="G844" s="86"/>
      <c r="H844" s="86"/>
    </row>
    <row r="845" spans="1:8" ht="15.6">
      <c r="A845" s="19"/>
      <c r="D845" s="86"/>
      <c r="E845" s="86"/>
      <c r="F845" s="86"/>
      <c r="G845" s="86"/>
      <c r="H845" s="86"/>
    </row>
    <row r="846" spans="1:8" ht="15.6">
      <c r="A846" s="19"/>
      <c r="D846" s="86"/>
      <c r="E846" s="86"/>
      <c r="F846" s="86"/>
      <c r="G846" s="86"/>
      <c r="H846" s="86"/>
    </row>
    <row r="847" spans="1:8" ht="15.6">
      <c r="A847" s="19"/>
      <c r="D847" s="86"/>
      <c r="E847" s="86"/>
      <c r="F847" s="86"/>
      <c r="G847" s="86"/>
      <c r="H847" s="86"/>
    </row>
    <row r="848" spans="1:8" ht="15.6">
      <c r="A848" s="19"/>
      <c r="D848" s="86"/>
      <c r="E848" s="86"/>
      <c r="F848" s="86"/>
      <c r="G848" s="86"/>
      <c r="H848" s="86"/>
    </row>
    <row r="849" spans="1:8" ht="15.6">
      <c r="A849" s="19"/>
      <c r="D849" s="86"/>
      <c r="E849" s="86"/>
      <c r="F849" s="86"/>
      <c r="G849" s="86"/>
      <c r="H849" s="86"/>
    </row>
    <row r="850" spans="1:8" ht="15.6">
      <c r="A850" s="19"/>
      <c r="D850" s="86"/>
      <c r="E850" s="86"/>
      <c r="F850" s="86"/>
      <c r="G850" s="86"/>
      <c r="H850" s="86"/>
    </row>
    <row r="851" spans="1:8" ht="15.6">
      <c r="A851" s="19"/>
      <c r="D851" s="86"/>
      <c r="E851" s="86"/>
      <c r="F851" s="86"/>
      <c r="G851" s="86"/>
      <c r="H851" s="86"/>
    </row>
    <row r="852" spans="1:8" ht="15.6">
      <c r="A852" s="19"/>
      <c r="D852" s="86"/>
      <c r="E852" s="86"/>
      <c r="F852" s="86"/>
      <c r="G852" s="86"/>
      <c r="H852" s="86"/>
    </row>
    <row r="853" spans="1:8" ht="15.6">
      <c r="A853" s="19"/>
      <c r="D853" s="86"/>
      <c r="E853" s="86"/>
      <c r="F853" s="86"/>
      <c r="G853" s="86"/>
      <c r="H853" s="86"/>
    </row>
    <row r="854" spans="1:8" ht="15.6">
      <c r="A854" s="19"/>
      <c r="D854" s="86"/>
      <c r="E854" s="86"/>
      <c r="F854" s="86"/>
      <c r="G854" s="86"/>
      <c r="H854" s="86"/>
    </row>
    <row r="855" spans="1:8" ht="15.6">
      <c r="A855" s="19"/>
      <c r="D855" s="86"/>
      <c r="E855" s="86"/>
      <c r="F855" s="86"/>
      <c r="G855" s="86"/>
      <c r="H855" s="86"/>
    </row>
    <row r="856" spans="1:8" ht="15.6">
      <c r="A856" s="19"/>
      <c r="D856" s="86"/>
      <c r="E856" s="86"/>
      <c r="F856" s="86"/>
      <c r="G856" s="86"/>
      <c r="H856" s="86"/>
    </row>
    <row r="857" spans="1:8" ht="15.6">
      <c r="A857" s="19"/>
      <c r="D857" s="86"/>
      <c r="E857" s="86"/>
      <c r="F857" s="86"/>
      <c r="G857" s="86"/>
      <c r="H857" s="86"/>
    </row>
    <row r="858" spans="1:8" ht="15.6">
      <c r="A858" s="19"/>
      <c r="D858" s="86"/>
      <c r="E858" s="86"/>
      <c r="F858" s="86"/>
      <c r="G858" s="86"/>
      <c r="H858" s="86"/>
    </row>
    <row r="859" spans="1:8" ht="15.6">
      <c r="A859" s="19"/>
      <c r="D859" s="86"/>
      <c r="E859" s="86"/>
      <c r="F859" s="86"/>
      <c r="G859" s="86"/>
      <c r="H859" s="86"/>
    </row>
    <row r="860" spans="1:8" ht="15.6">
      <c r="A860" s="19"/>
      <c r="D860" s="86"/>
      <c r="E860" s="86"/>
      <c r="F860" s="86"/>
      <c r="G860" s="86"/>
      <c r="H860" s="86"/>
    </row>
    <row r="861" spans="1:8" ht="15.6">
      <c r="A861" s="19"/>
      <c r="D861" s="86"/>
      <c r="E861" s="86"/>
      <c r="F861" s="86"/>
      <c r="G861" s="86"/>
      <c r="H861" s="86"/>
    </row>
    <row r="862" spans="1:8" ht="15.6">
      <c r="A862" s="19"/>
      <c r="D862" s="86"/>
      <c r="E862" s="86"/>
      <c r="F862" s="86"/>
      <c r="G862" s="86"/>
      <c r="H862" s="86"/>
    </row>
    <row r="863" spans="1:8" ht="15.6">
      <c r="A863" s="19"/>
      <c r="D863" s="86"/>
      <c r="E863" s="86"/>
      <c r="F863" s="86"/>
      <c r="G863" s="86"/>
      <c r="H863" s="86"/>
    </row>
    <row r="864" spans="1:8" ht="15.6">
      <c r="A864" s="19"/>
      <c r="D864" s="86"/>
      <c r="E864" s="86"/>
      <c r="F864" s="86"/>
      <c r="G864" s="86"/>
      <c r="H864" s="86"/>
    </row>
    <row r="865" spans="1:8" ht="15.6">
      <c r="A865" s="19"/>
      <c r="D865" s="86"/>
      <c r="E865" s="86"/>
      <c r="F865" s="86"/>
      <c r="G865" s="86"/>
      <c r="H865" s="86"/>
    </row>
    <row r="866" spans="1:8" ht="15.6">
      <c r="A866" s="19"/>
      <c r="D866" s="86"/>
      <c r="E866" s="86"/>
      <c r="F866" s="86"/>
      <c r="G866" s="86"/>
      <c r="H866" s="86"/>
    </row>
    <row r="867" spans="1:8" ht="15.6">
      <c r="A867" s="19"/>
      <c r="D867" s="86"/>
      <c r="E867" s="86"/>
      <c r="F867" s="86"/>
      <c r="G867" s="86"/>
      <c r="H867" s="86"/>
    </row>
    <row r="868" spans="1:8" ht="15.6">
      <c r="A868" s="19"/>
      <c r="D868" s="86"/>
      <c r="E868" s="86"/>
      <c r="F868" s="86"/>
      <c r="G868" s="86"/>
      <c r="H868" s="86"/>
    </row>
    <row r="869" spans="1:8" ht="15.6">
      <c r="A869" s="19"/>
      <c r="D869" s="86"/>
      <c r="E869" s="86"/>
      <c r="F869" s="86"/>
      <c r="G869" s="86"/>
      <c r="H869" s="86"/>
    </row>
    <row r="870" spans="1:8" ht="15.6">
      <c r="A870" s="19"/>
      <c r="D870" s="86"/>
      <c r="E870" s="86"/>
      <c r="F870" s="86"/>
      <c r="G870" s="86"/>
      <c r="H870" s="86"/>
    </row>
    <row r="871" spans="1:8" ht="15.6">
      <c r="A871" s="19"/>
      <c r="D871" s="86"/>
      <c r="E871" s="86"/>
      <c r="F871" s="86"/>
      <c r="G871" s="86"/>
      <c r="H871" s="86"/>
    </row>
    <row r="872" spans="1:8" ht="15.6">
      <c r="A872" s="19"/>
      <c r="D872" s="86"/>
      <c r="E872" s="86"/>
      <c r="F872" s="86"/>
      <c r="G872" s="86"/>
      <c r="H872" s="86"/>
    </row>
    <row r="873" spans="1:8" ht="15.6">
      <c r="A873" s="19"/>
      <c r="D873" s="86"/>
      <c r="E873" s="86"/>
      <c r="F873" s="86"/>
      <c r="G873" s="86"/>
      <c r="H873" s="86"/>
    </row>
    <row r="874" spans="1:8" ht="15.6">
      <c r="A874" s="19"/>
      <c r="D874" s="86"/>
      <c r="E874" s="86"/>
      <c r="F874" s="86"/>
      <c r="G874" s="86"/>
      <c r="H874" s="86"/>
    </row>
    <row r="875" spans="1:8" ht="15.6">
      <c r="A875" s="19"/>
      <c r="D875" s="86"/>
      <c r="E875" s="86"/>
      <c r="F875" s="86"/>
      <c r="G875" s="86"/>
      <c r="H875" s="86"/>
    </row>
    <row r="876" spans="1:8" ht="15.6">
      <c r="A876" s="19"/>
      <c r="D876" s="86"/>
      <c r="E876" s="86"/>
      <c r="F876" s="86"/>
      <c r="G876" s="86"/>
      <c r="H876" s="86"/>
    </row>
    <row r="877" spans="1:8" ht="15.6">
      <c r="A877" s="19"/>
      <c r="D877" s="86"/>
      <c r="E877" s="86"/>
      <c r="F877" s="86"/>
      <c r="G877" s="86"/>
      <c r="H877" s="86"/>
    </row>
    <row r="878" spans="1:8" ht="15.6">
      <c r="A878" s="19"/>
      <c r="D878" s="86"/>
      <c r="E878" s="86"/>
      <c r="F878" s="86"/>
      <c r="G878" s="86"/>
      <c r="H878" s="86"/>
    </row>
    <row r="879" spans="1:8" ht="15.6">
      <c r="A879" s="19"/>
      <c r="D879" s="86"/>
      <c r="E879" s="86"/>
      <c r="F879" s="86"/>
      <c r="G879" s="86"/>
      <c r="H879" s="86"/>
    </row>
    <row r="880" spans="1:8" ht="15.6">
      <c r="A880" s="19"/>
      <c r="D880" s="86"/>
      <c r="E880" s="86"/>
      <c r="F880" s="86"/>
      <c r="G880" s="86"/>
      <c r="H880" s="86"/>
    </row>
    <row r="881" spans="1:8" ht="15.6">
      <c r="A881" s="19"/>
      <c r="D881" s="86"/>
      <c r="E881" s="86"/>
      <c r="F881" s="86"/>
      <c r="G881" s="86"/>
      <c r="H881" s="86"/>
    </row>
    <row r="882" spans="1:8" ht="15.6">
      <c r="A882" s="19"/>
      <c r="D882" s="86"/>
      <c r="E882" s="86"/>
      <c r="F882" s="86"/>
      <c r="G882" s="86"/>
      <c r="H882" s="86"/>
    </row>
    <row r="883" spans="1:8" ht="15.6">
      <c r="A883" s="19"/>
      <c r="D883" s="86"/>
      <c r="E883" s="86"/>
      <c r="F883" s="86"/>
      <c r="G883" s="86"/>
      <c r="H883" s="86"/>
    </row>
    <row r="884" spans="1:8" ht="15.6">
      <c r="A884" s="19"/>
      <c r="D884" s="86"/>
      <c r="E884" s="86"/>
      <c r="F884" s="86"/>
      <c r="G884" s="86"/>
      <c r="H884" s="86"/>
    </row>
    <row r="885" spans="1:8" ht="15.6">
      <c r="A885" s="19"/>
      <c r="D885" s="86"/>
      <c r="E885" s="86"/>
      <c r="F885" s="86"/>
      <c r="G885" s="86"/>
      <c r="H885" s="86"/>
    </row>
    <row r="886" spans="1:8" ht="15.6">
      <c r="A886" s="19"/>
      <c r="D886" s="86"/>
      <c r="E886" s="86"/>
      <c r="F886" s="86"/>
      <c r="G886" s="86"/>
      <c r="H886" s="86"/>
    </row>
    <row r="887" spans="1:8" ht="15.6">
      <c r="A887" s="19"/>
      <c r="D887" s="86"/>
      <c r="E887" s="86"/>
      <c r="F887" s="86"/>
      <c r="G887" s="86"/>
      <c r="H887" s="86"/>
    </row>
    <row r="888" spans="1:8" ht="15.6">
      <c r="A888" s="19"/>
      <c r="D888" s="86"/>
      <c r="E888" s="86"/>
      <c r="F888" s="86"/>
      <c r="G888" s="86"/>
      <c r="H888" s="86"/>
    </row>
    <row r="889" spans="1:8" ht="15.6">
      <c r="A889" s="19"/>
      <c r="D889" s="86"/>
      <c r="E889" s="86"/>
      <c r="F889" s="86"/>
      <c r="G889" s="86"/>
      <c r="H889" s="86"/>
    </row>
    <row r="890" spans="1:8" ht="15.6">
      <c r="A890" s="19"/>
      <c r="D890" s="86"/>
      <c r="E890" s="86"/>
      <c r="F890" s="86"/>
      <c r="G890" s="86"/>
      <c r="H890" s="86"/>
    </row>
    <row r="891" spans="1:8" ht="15.6">
      <c r="A891" s="19"/>
      <c r="D891" s="86"/>
      <c r="E891" s="86"/>
      <c r="F891" s="86"/>
      <c r="G891" s="86"/>
      <c r="H891" s="86"/>
    </row>
    <row r="892" spans="1:8" ht="15.6">
      <c r="A892" s="19"/>
      <c r="D892" s="86"/>
      <c r="E892" s="86"/>
      <c r="F892" s="86"/>
      <c r="G892" s="86"/>
      <c r="H892" s="86"/>
    </row>
    <row r="893" spans="1:8" ht="15.6">
      <c r="A893" s="19"/>
      <c r="D893" s="86"/>
      <c r="E893" s="86"/>
      <c r="F893" s="86"/>
      <c r="G893" s="86"/>
      <c r="H893" s="86"/>
    </row>
    <row r="894" spans="1:8" ht="15.6">
      <c r="A894" s="19"/>
      <c r="D894" s="86"/>
      <c r="E894" s="86"/>
      <c r="F894" s="86"/>
      <c r="G894" s="86"/>
      <c r="H894" s="86"/>
    </row>
    <row r="895" spans="1:8" ht="15.6">
      <c r="A895" s="19"/>
      <c r="D895" s="86"/>
      <c r="E895" s="86"/>
      <c r="F895" s="86"/>
      <c r="G895" s="86"/>
      <c r="H895" s="86"/>
    </row>
    <row r="896" spans="1:8" ht="15.6">
      <c r="A896" s="19"/>
      <c r="D896" s="86"/>
      <c r="E896" s="86"/>
      <c r="F896" s="86"/>
      <c r="G896" s="86"/>
      <c r="H896" s="86"/>
    </row>
    <row r="897" spans="1:8" ht="15.6">
      <c r="A897" s="19"/>
      <c r="D897" s="86"/>
      <c r="E897" s="86"/>
      <c r="F897" s="86"/>
      <c r="G897" s="86"/>
      <c r="H897" s="86"/>
    </row>
    <row r="898" spans="1:8" ht="15.6">
      <c r="A898" s="19"/>
      <c r="D898" s="86"/>
      <c r="E898" s="86"/>
      <c r="F898" s="86"/>
      <c r="G898" s="86"/>
      <c r="H898" s="86"/>
    </row>
    <row r="899" spans="1:8" ht="15.6">
      <c r="A899" s="19"/>
      <c r="D899" s="86"/>
      <c r="E899" s="86"/>
      <c r="F899" s="86"/>
      <c r="G899" s="86"/>
      <c r="H899" s="86"/>
    </row>
    <row r="900" spans="1:8" ht="15.6">
      <c r="A900" s="19"/>
      <c r="D900" s="86"/>
      <c r="E900" s="86"/>
      <c r="F900" s="86"/>
      <c r="G900" s="86"/>
      <c r="H900" s="86"/>
    </row>
    <row r="901" spans="1:8" ht="15.6">
      <c r="A901" s="19"/>
      <c r="D901" s="86"/>
      <c r="E901" s="86"/>
      <c r="F901" s="86"/>
      <c r="G901" s="86"/>
      <c r="H901" s="86"/>
    </row>
    <row r="902" spans="1:8" ht="15.6">
      <c r="A902" s="19"/>
      <c r="D902" s="86"/>
      <c r="E902" s="86"/>
      <c r="F902" s="86"/>
      <c r="G902" s="86"/>
      <c r="H902" s="86"/>
    </row>
    <row r="903" spans="1:8" ht="15.6">
      <c r="A903" s="19"/>
      <c r="D903" s="86"/>
      <c r="E903" s="86"/>
      <c r="F903" s="86"/>
      <c r="G903" s="86"/>
      <c r="H903" s="86"/>
    </row>
    <row r="904" spans="1:8" ht="15.6">
      <c r="A904" s="19"/>
      <c r="D904" s="86"/>
      <c r="E904" s="86"/>
      <c r="F904" s="86"/>
      <c r="G904" s="86"/>
      <c r="H904" s="86"/>
    </row>
    <row r="905" spans="1:8" ht="15.6">
      <c r="A905" s="19"/>
      <c r="D905" s="86"/>
      <c r="E905" s="86"/>
      <c r="F905" s="86"/>
      <c r="G905" s="86"/>
      <c r="H905" s="86"/>
    </row>
    <row r="906" spans="1:8" ht="15.6">
      <c r="A906" s="19"/>
      <c r="D906" s="86"/>
      <c r="E906" s="86"/>
      <c r="F906" s="86"/>
      <c r="G906" s="86"/>
      <c r="H906" s="86"/>
    </row>
    <row r="907" spans="1:8" ht="15.6">
      <c r="A907" s="19"/>
      <c r="D907" s="86"/>
      <c r="E907" s="86"/>
      <c r="F907" s="86"/>
      <c r="G907" s="86"/>
      <c r="H907" s="86"/>
    </row>
    <row r="908" spans="1:8" ht="15.6">
      <c r="A908" s="19"/>
      <c r="D908" s="86"/>
      <c r="E908" s="86"/>
      <c r="F908" s="86"/>
      <c r="G908" s="86"/>
      <c r="H908" s="86"/>
    </row>
    <row r="909" spans="1:8" ht="15.6">
      <c r="A909" s="19"/>
      <c r="D909" s="86"/>
      <c r="E909" s="86"/>
      <c r="F909" s="86"/>
      <c r="G909" s="86"/>
      <c r="H909" s="86"/>
    </row>
    <row r="910" spans="1:8" ht="15.6">
      <c r="A910" s="19"/>
      <c r="D910" s="86"/>
      <c r="E910" s="86"/>
      <c r="F910" s="86"/>
      <c r="G910" s="86"/>
      <c r="H910" s="86"/>
    </row>
    <row r="911" spans="1:8" ht="15.6">
      <c r="A911" s="19"/>
      <c r="D911" s="86"/>
      <c r="E911" s="86"/>
      <c r="F911" s="86"/>
      <c r="G911" s="86"/>
      <c r="H911" s="86"/>
    </row>
    <row r="912" spans="1:8" ht="15.6">
      <c r="A912" s="19"/>
      <c r="D912" s="86"/>
      <c r="E912" s="86"/>
      <c r="F912" s="86"/>
      <c r="G912" s="86"/>
      <c r="H912" s="86"/>
    </row>
    <row r="913" spans="1:8" ht="15.6">
      <c r="A913" s="19"/>
      <c r="D913" s="86"/>
      <c r="E913" s="86"/>
      <c r="F913" s="86"/>
      <c r="G913" s="86"/>
      <c r="H913" s="86"/>
    </row>
    <row r="914" spans="1:8" ht="15.6">
      <c r="A914" s="19"/>
      <c r="D914" s="86"/>
      <c r="E914" s="86"/>
      <c r="F914" s="86"/>
      <c r="G914" s="86"/>
      <c r="H914" s="86"/>
    </row>
    <row r="915" spans="1:8" ht="15.6">
      <c r="A915" s="19"/>
      <c r="D915" s="86"/>
      <c r="E915" s="86"/>
      <c r="F915" s="86"/>
      <c r="G915" s="86"/>
      <c r="H915" s="86"/>
    </row>
    <row r="916" spans="1:8" ht="15.6">
      <c r="A916" s="19"/>
      <c r="D916" s="86"/>
      <c r="E916" s="86"/>
      <c r="F916" s="86"/>
      <c r="G916" s="86"/>
      <c r="H916" s="86"/>
    </row>
    <row r="917" spans="1:8" ht="15.6">
      <c r="A917" s="19"/>
      <c r="D917" s="86"/>
      <c r="E917" s="86"/>
      <c r="F917" s="86"/>
      <c r="G917" s="86"/>
      <c r="H917" s="86"/>
    </row>
    <row r="918" spans="1:8" ht="15.6">
      <c r="A918" s="19"/>
      <c r="D918" s="86"/>
      <c r="E918" s="86"/>
      <c r="F918" s="86"/>
      <c r="G918" s="86"/>
      <c r="H918" s="86"/>
    </row>
    <row r="919" spans="1:8" ht="15.6">
      <c r="A919" s="19"/>
      <c r="D919" s="86"/>
      <c r="E919" s="86"/>
      <c r="F919" s="86"/>
      <c r="G919" s="86"/>
      <c r="H919" s="86"/>
    </row>
    <row r="920" spans="1:8" ht="15.6">
      <c r="A920" s="19"/>
      <c r="D920" s="86"/>
      <c r="E920" s="86"/>
      <c r="F920" s="86"/>
      <c r="G920" s="86"/>
      <c r="H920" s="86"/>
    </row>
    <row r="921" spans="1:8" ht="15.6">
      <c r="A921" s="19"/>
      <c r="D921" s="86"/>
      <c r="E921" s="86"/>
      <c r="F921" s="86"/>
      <c r="G921" s="86"/>
      <c r="H921" s="86"/>
    </row>
    <row r="922" spans="1:8" ht="15.6">
      <c r="A922" s="19"/>
      <c r="D922" s="86"/>
      <c r="E922" s="86"/>
      <c r="F922" s="86"/>
      <c r="G922" s="86"/>
      <c r="H922" s="86"/>
    </row>
    <row r="923" spans="1:8" ht="15.6">
      <c r="A923" s="19"/>
      <c r="D923" s="86"/>
      <c r="E923" s="86"/>
      <c r="F923" s="86"/>
      <c r="G923" s="86"/>
      <c r="H923" s="86"/>
    </row>
    <row r="924" spans="1:8" ht="15.6">
      <c r="A924" s="19"/>
      <c r="D924" s="86"/>
      <c r="E924" s="86"/>
      <c r="F924" s="86"/>
      <c r="G924" s="86"/>
      <c r="H924" s="86"/>
    </row>
    <row r="925" spans="1:8" ht="15.6">
      <c r="A925" s="19"/>
      <c r="D925" s="86"/>
      <c r="E925" s="86"/>
      <c r="F925" s="86"/>
      <c r="G925" s="86"/>
      <c r="H925" s="86"/>
    </row>
    <row r="926" spans="1:8" ht="15.6">
      <c r="A926" s="19"/>
      <c r="D926" s="86"/>
      <c r="E926" s="86"/>
      <c r="F926" s="86"/>
      <c r="G926" s="86"/>
      <c r="H926" s="86"/>
    </row>
    <row r="927" spans="1:8" ht="15.6">
      <c r="A927" s="19"/>
      <c r="D927" s="86"/>
      <c r="E927" s="86"/>
      <c r="F927" s="86"/>
      <c r="G927" s="86"/>
      <c r="H927" s="86"/>
    </row>
    <row r="928" spans="1:8" ht="15.6">
      <c r="A928" s="19"/>
      <c r="D928" s="86"/>
      <c r="E928" s="86"/>
      <c r="F928" s="86"/>
      <c r="G928" s="86"/>
      <c r="H928" s="86"/>
    </row>
    <row r="929" spans="1:8" ht="15.6">
      <c r="A929" s="19"/>
      <c r="D929" s="86"/>
      <c r="E929" s="86"/>
      <c r="F929" s="86"/>
      <c r="G929" s="86"/>
      <c r="H929" s="86"/>
    </row>
    <row r="930" spans="1:8" ht="15.6">
      <c r="A930" s="19"/>
      <c r="D930" s="86"/>
      <c r="E930" s="86"/>
      <c r="F930" s="86"/>
      <c r="G930" s="86"/>
      <c r="H930" s="86"/>
    </row>
    <row r="931" spans="1:8" ht="15.6">
      <c r="A931" s="19"/>
      <c r="D931" s="86"/>
      <c r="E931" s="86"/>
      <c r="F931" s="86"/>
      <c r="G931" s="86"/>
      <c r="H931" s="86"/>
    </row>
    <row r="932" spans="1:8" ht="15.6">
      <c r="A932" s="19"/>
      <c r="D932" s="86"/>
      <c r="E932" s="86"/>
      <c r="F932" s="86"/>
      <c r="G932" s="86"/>
      <c r="H932" s="86"/>
    </row>
    <row r="933" spans="1:8" ht="15.6">
      <c r="A933" s="19"/>
      <c r="D933" s="86"/>
      <c r="E933" s="86"/>
      <c r="F933" s="86"/>
      <c r="G933" s="86"/>
      <c r="H933" s="86"/>
    </row>
    <row r="934" spans="1:8" ht="15.6">
      <c r="A934" s="19"/>
      <c r="D934" s="86"/>
      <c r="E934" s="86"/>
      <c r="F934" s="86"/>
      <c r="G934" s="86"/>
      <c r="H934" s="86"/>
    </row>
    <row r="935" spans="1:8" ht="15.6">
      <c r="A935" s="19"/>
      <c r="D935" s="86"/>
      <c r="E935" s="86"/>
      <c r="F935" s="86"/>
      <c r="G935" s="86"/>
      <c r="H935" s="86"/>
    </row>
    <row r="936" spans="1:8" ht="15.6">
      <c r="A936" s="19"/>
      <c r="D936" s="86"/>
      <c r="E936" s="86"/>
      <c r="F936" s="86"/>
      <c r="G936" s="86"/>
      <c r="H936" s="86"/>
    </row>
    <row r="937" spans="1:8" ht="15.6">
      <c r="A937" s="19"/>
      <c r="D937" s="86"/>
      <c r="E937" s="86"/>
      <c r="F937" s="86"/>
      <c r="G937" s="86"/>
      <c r="H937" s="86"/>
    </row>
    <row r="938" spans="1:8" ht="15.6">
      <c r="A938" s="19"/>
      <c r="D938" s="86"/>
      <c r="E938" s="86"/>
      <c r="F938" s="86"/>
      <c r="G938" s="86"/>
      <c r="H938" s="86"/>
    </row>
    <row r="939" spans="1:8" ht="15.6">
      <c r="A939" s="19"/>
      <c r="D939" s="86"/>
      <c r="E939" s="86"/>
      <c r="F939" s="86"/>
      <c r="G939" s="86"/>
      <c r="H939" s="86"/>
    </row>
    <row r="940" spans="1:8" ht="15.6">
      <c r="A940" s="19"/>
      <c r="D940" s="86"/>
      <c r="E940" s="86"/>
      <c r="F940" s="86"/>
      <c r="G940" s="86"/>
      <c r="H940" s="86"/>
    </row>
    <row r="941" spans="1:8" ht="15.6">
      <c r="A941" s="19"/>
      <c r="D941" s="86"/>
      <c r="E941" s="86"/>
      <c r="F941" s="86"/>
      <c r="G941" s="86"/>
      <c r="H941" s="86"/>
    </row>
    <row r="942" spans="1:8" ht="15.6">
      <c r="A942" s="19"/>
      <c r="D942" s="86"/>
      <c r="E942" s="86"/>
      <c r="F942" s="86"/>
      <c r="G942" s="86"/>
      <c r="H942" s="86"/>
    </row>
    <row r="943" spans="1:8" ht="15.6">
      <c r="A943" s="19"/>
      <c r="D943" s="86"/>
      <c r="E943" s="86"/>
      <c r="F943" s="86"/>
      <c r="G943" s="86"/>
      <c r="H943" s="86"/>
    </row>
    <row r="944" spans="1:8" ht="15.6">
      <c r="A944" s="19"/>
      <c r="D944" s="86"/>
      <c r="E944" s="86"/>
      <c r="F944" s="86"/>
      <c r="G944" s="86"/>
      <c r="H944" s="86"/>
    </row>
    <row r="945" spans="1:8" ht="15.6">
      <c r="A945" s="19"/>
      <c r="D945" s="86"/>
      <c r="E945" s="86"/>
      <c r="F945" s="86"/>
      <c r="G945" s="86"/>
      <c r="H945" s="86"/>
    </row>
    <row r="946" spans="1:8" ht="15.6">
      <c r="A946" s="19"/>
      <c r="D946" s="86"/>
      <c r="E946" s="86"/>
      <c r="F946" s="86"/>
      <c r="G946" s="86"/>
      <c r="H946" s="86"/>
    </row>
    <row r="947" spans="1:8" ht="15.6">
      <c r="A947" s="19"/>
      <c r="D947" s="86"/>
      <c r="E947" s="86"/>
      <c r="F947" s="86"/>
      <c r="G947" s="86"/>
      <c r="H947" s="86"/>
    </row>
    <row r="948" spans="1:8" ht="15.6">
      <c r="A948" s="19"/>
      <c r="D948" s="86"/>
      <c r="E948" s="86"/>
      <c r="F948" s="86"/>
      <c r="G948" s="86"/>
      <c r="H948" s="86"/>
    </row>
    <row r="949" spans="1:8" ht="15.6">
      <c r="A949" s="19"/>
      <c r="D949" s="86"/>
      <c r="E949" s="86"/>
      <c r="F949" s="86"/>
      <c r="G949" s="86"/>
      <c r="H949" s="86"/>
    </row>
    <row r="950" spans="1:8" ht="15.6">
      <c r="A950" s="19"/>
      <c r="D950" s="86"/>
      <c r="E950" s="86"/>
      <c r="F950" s="86"/>
      <c r="G950" s="86"/>
      <c r="H950" s="86"/>
    </row>
    <row r="951" spans="1:8" ht="15.6">
      <c r="A951" s="19"/>
      <c r="D951" s="86"/>
      <c r="E951" s="86"/>
      <c r="F951" s="86"/>
      <c r="G951" s="86"/>
      <c r="H951" s="86"/>
    </row>
    <row r="952" spans="1:8" ht="15.6">
      <c r="A952" s="19"/>
      <c r="D952" s="86"/>
      <c r="E952" s="86"/>
      <c r="F952" s="86"/>
      <c r="G952" s="86"/>
      <c r="H952" s="86"/>
    </row>
    <row r="953" spans="1:8" ht="15.6">
      <c r="A953" s="19"/>
      <c r="D953" s="86"/>
      <c r="E953" s="86"/>
      <c r="F953" s="86"/>
      <c r="G953" s="86"/>
      <c r="H953" s="86"/>
    </row>
  </sheetData>
  <mergeCells count="32">
    <mergeCell ref="D22:H22"/>
    <mergeCell ref="D65:G65"/>
    <mergeCell ref="D66:G66"/>
    <mergeCell ref="I60:R60"/>
    <mergeCell ref="D23:H23"/>
    <mergeCell ref="D24:H24"/>
    <mergeCell ref="D25:H25"/>
    <mergeCell ref="D27:H27"/>
    <mergeCell ref="D28:H28"/>
    <mergeCell ref="D29:H29"/>
    <mergeCell ref="D30:H30"/>
    <mergeCell ref="D60:G60"/>
    <mergeCell ref="D61:G61"/>
    <mergeCell ref="D62:G62"/>
    <mergeCell ref="D63:G63"/>
    <mergeCell ref="D64:G64"/>
    <mergeCell ref="B21:B22"/>
    <mergeCell ref="B23:B24"/>
    <mergeCell ref="B25:B28"/>
    <mergeCell ref="D4:H4"/>
    <mergeCell ref="D5:H5"/>
    <mergeCell ref="D6:H6"/>
    <mergeCell ref="D7:H7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</mergeCells>
  <printOptions gridLines="1"/>
  <pageMargins left="0.31496062992125984" right="0.31496062992125984" top="0.74803149606299213" bottom="0.74803149606299213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000-000000000000}">
          <x14:formula1>
            <xm:f>Hoja3!$E$3:$E$6</xm:f>
          </x14:formula1>
          <xm:sqref>D17</xm:sqref>
        </x14:dataValidation>
        <x14:dataValidation type="list" allowBlank="1" showErrorMessage="1" xr:uid="{00000000-0002-0000-0000-000001000000}">
          <x14:formula1>
            <xm:f>Hoja3!$Q$3:$Q$5</xm:f>
          </x14:formula1>
          <xm:sqref>D64</xm:sqref>
        </x14:dataValidation>
        <x14:dataValidation type="list" allowBlank="1" showErrorMessage="1" xr:uid="{00000000-0002-0000-0000-000002000000}">
          <x14:formula1>
            <xm:f>Hoja3!$H$3:$H$5</xm:f>
          </x14:formula1>
          <xm:sqref>D21</xm:sqref>
        </x14:dataValidation>
        <x14:dataValidation type="list" allowBlank="1" showErrorMessage="1" xr:uid="{00000000-0002-0000-0000-000003000000}">
          <x14:formula1>
            <xm:f>Hoja3!$F$3:$F$30</xm:f>
          </x14:formula1>
          <xm:sqref>D18</xm:sqref>
        </x14:dataValidation>
        <x14:dataValidation type="list" allowBlank="1" showErrorMessage="1" xr:uid="{00000000-0002-0000-0000-000004000000}">
          <x14:formula1>
            <xm:f>Hoja3!$C$3:$C$32</xm:f>
          </x14:formula1>
          <xm:sqref>D14</xm:sqref>
        </x14:dataValidation>
        <x14:dataValidation type="list" allowBlank="1" showErrorMessage="1" xr:uid="{00000000-0002-0000-0000-000005000000}">
          <x14:formula1>
            <xm:f>Hoja3!$P$3:$P$6</xm:f>
          </x14:formula1>
          <xm:sqref>D61</xm:sqref>
        </x14:dataValidation>
        <x14:dataValidation type="list" allowBlank="1" showErrorMessage="1" xr:uid="{00000000-0002-0000-0000-000006000000}">
          <x14:formula1>
            <xm:f>Hoja3!$R$4:$R$99</xm:f>
          </x14:formula1>
          <xm:sqref>B38 B40 B44:B47</xm:sqref>
        </x14:dataValidation>
        <x14:dataValidation type="list" allowBlank="1" showErrorMessage="1" xr:uid="{00000000-0002-0000-0000-000007000000}">
          <x14:formula1>
            <xm:f>Hoja3!$O$3:$O$7</xm:f>
          </x14:formula1>
          <xm:sqref>D60</xm:sqref>
        </x14:dataValidation>
        <x14:dataValidation type="list" allowBlank="1" showErrorMessage="1" xr:uid="{00000000-0002-0000-0000-000008000000}">
          <x14:formula1>
            <xm:f>Hoja3!$B$3:$B$25</xm:f>
          </x14:formula1>
          <xm:sqref>D15</xm:sqref>
        </x14:dataValidation>
        <x14:dataValidation type="list" allowBlank="1" showErrorMessage="1" xr:uid="{00000000-0002-0000-0000-000009000000}">
          <x14:formula1>
            <xm:f>Hoja3!$G$3:$G$113</xm:f>
          </x14:formula1>
          <xm:sqref>D20</xm:sqref>
        </x14:dataValidation>
        <x14:dataValidation type="list" allowBlank="1" showErrorMessage="1" xr:uid="{00000000-0002-0000-0000-00000A000000}">
          <x14:formula1>
            <xm:f>Hoja3!$I$3:$I$32</xm:f>
          </x14:formula1>
          <xm:sqref>D22</xm:sqref>
        </x14:dataValidation>
        <x14:dataValidation type="list" allowBlank="1" showErrorMessage="1" xr:uid="{00000000-0002-0000-0000-00000B000000}">
          <x14:formula1>
            <xm:f>Hoja3!$R$3:$R$99</xm:f>
          </x14:formula1>
          <xm:sqref>B35 D62</xm:sqref>
        </x14:dataValidation>
        <x14:dataValidation type="list" allowBlank="1" showErrorMessage="1" xr:uid="{00000000-0002-0000-0000-00000C000000}">
          <x14:formula1>
            <xm:f>Hoja3!$D$3:$D$32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9"/>
  <sheetViews>
    <sheetView workbookViewId="0"/>
  </sheetViews>
  <sheetFormatPr baseColWidth="10" defaultColWidth="14.44140625" defaultRowHeight="15" customHeight="1"/>
  <cols>
    <col min="1" max="1" width="30.33203125" customWidth="1"/>
    <col min="2" max="2" width="20.33203125" customWidth="1"/>
  </cols>
  <sheetData>
    <row r="1" spans="1:7">
      <c r="A1" s="96" t="str">
        <f ca="1">IFERROR(__xludf.DUMMYFUNCTION("QUERY(MIR!A32:AF49,""select C, M, O, AE where A='FIN'"",1)"),"RESUMEN NARRATIVO")</f>
        <v>RESUMEN NARRATIVO</v>
      </c>
      <c r="B1" s="97" t="str">
        <f ca="1">IFERROR(__xludf.DUMMYFUNCTION("""COMPUTED_VALUE"""),"UNIDAD DE MEDIDA")</f>
        <v>UNIDAD DE MEDIDA</v>
      </c>
      <c r="C1" s="97" t="str">
        <f ca="1">IFERROR(__xludf.DUMMYFUNCTION("""COMPUTED_VALUE"""),"META PROGRAMADA")</f>
        <v>META PROGRAMADA</v>
      </c>
      <c r="D1" s="97" t="str">
        <f ca="1">IFERROR(__xludf.DUMMYFUNCTION("""COMPUTED_VALUE"""),"Total acumulado")</f>
        <v>Total acumulado</v>
      </c>
      <c r="E1" s="98" t="s">
        <v>257</v>
      </c>
      <c r="F1" s="98" t="s">
        <v>258</v>
      </c>
      <c r="G1" s="180" t="s">
        <v>74</v>
      </c>
    </row>
    <row r="2" spans="1:7">
      <c r="A2" s="99" t="str">
        <f ca="1">IFERROR(__xludf.DUMMYFUNCTION("""COMPUTED_VALUE"""),"COMPONENTE 1")</f>
        <v>COMPONENTE 1</v>
      </c>
      <c r="B2" s="95" t="str">
        <f ca="1">IFERROR(__xludf.DUMMYFUNCTION("""COMPUTED_VALUE"""),"Promedio")</f>
        <v>Promedio</v>
      </c>
      <c r="C2" s="6">
        <f ca="1">IFERROR(__xludf.DUMMYFUNCTION("""COMPUTED_VALUE"""),372)</f>
        <v>372</v>
      </c>
      <c r="D2" s="6">
        <f ca="1">IFERROR(__xludf.DUMMYFUNCTION("""COMPUTED_VALUE"""),950)</f>
        <v>950</v>
      </c>
      <c r="E2" s="95">
        <f t="shared" ref="E2:E5" ca="1" si="0">C2/3</f>
        <v>124</v>
      </c>
      <c r="F2" s="95">
        <f t="shared" ref="F2:F5" ca="1" si="1">D2/6</f>
        <v>158.33333333333334</v>
      </c>
      <c r="G2" s="181"/>
    </row>
    <row r="3" spans="1:7">
      <c r="A3" s="99" t="str">
        <f ca="1">IFERROR(__xludf.DUMMYFUNCTION("""COMPUTED_VALUE"""),"COMPONENTE 2")</f>
        <v>COMPONENTE 2</v>
      </c>
      <c r="B3" s="95" t="str">
        <f ca="1">IFERROR(__xludf.DUMMYFUNCTION("""COMPUTED_VALUE"""),"Promedio")</f>
        <v>Promedio</v>
      </c>
      <c r="C3" s="6">
        <f ca="1">IFERROR(__xludf.DUMMYFUNCTION("""COMPUTED_VALUE"""),450)</f>
        <v>450</v>
      </c>
      <c r="D3" s="6">
        <f ca="1">IFERROR(__xludf.DUMMYFUNCTION("""COMPUTED_VALUE"""),936)</f>
        <v>936</v>
      </c>
      <c r="E3" s="95">
        <f t="shared" ca="1" si="0"/>
        <v>150</v>
      </c>
      <c r="F3" s="95">
        <f t="shared" ca="1" si="1"/>
        <v>156</v>
      </c>
      <c r="G3" s="181"/>
    </row>
    <row r="4" spans="1:7">
      <c r="A4" s="99" t="str">
        <f ca="1">IFERROR(__xludf.DUMMYFUNCTION("""COMPUTED_VALUE"""),"ACTIVIDAD 3.1")</f>
        <v>ACTIVIDAD 3.1</v>
      </c>
      <c r="B4" s="95" t="str">
        <f ca="1">IFERROR(__xludf.DUMMYFUNCTION("""COMPUTED_VALUE"""),"Promedio")</f>
        <v>Promedio</v>
      </c>
      <c r="C4" s="6">
        <f ca="1">IFERROR(__xludf.DUMMYFUNCTION("""COMPUTED_VALUE"""),66)</f>
        <v>66</v>
      </c>
      <c r="D4" s="6">
        <f ca="1">IFERROR(__xludf.DUMMYFUNCTION("""COMPUTED_VALUE"""),142)</f>
        <v>142</v>
      </c>
      <c r="E4" s="95">
        <f t="shared" ca="1" si="0"/>
        <v>22</v>
      </c>
      <c r="F4" s="95">
        <f t="shared" ca="1" si="1"/>
        <v>23.666666666666668</v>
      </c>
      <c r="G4" s="181"/>
    </row>
    <row r="5" spans="1:7">
      <c r="A5" s="99" t="str">
        <f ca="1">IFERROR(__xludf.DUMMYFUNCTION("""COMPUTED_VALUE"""),"COMPONENTE 4")</f>
        <v>COMPONENTE 4</v>
      </c>
      <c r="B5" s="95" t="str">
        <f ca="1">IFERROR(__xludf.DUMMYFUNCTION("""COMPUTED_VALUE"""),"Promedio")</f>
        <v>Promedio</v>
      </c>
      <c r="C5" s="6">
        <f ca="1">IFERROR(__xludf.DUMMYFUNCTION("""COMPUTED_VALUE"""),6000)</f>
        <v>6000</v>
      </c>
      <c r="D5" s="6">
        <f ca="1">IFERROR(__xludf.DUMMYFUNCTION("""COMPUTED_VALUE"""),15239)</f>
        <v>15239</v>
      </c>
      <c r="E5" s="95">
        <f t="shared" ca="1" si="0"/>
        <v>2000</v>
      </c>
      <c r="F5" s="95">
        <f t="shared" ca="1" si="1"/>
        <v>2539.8333333333335</v>
      </c>
      <c r="G5" s="181"/>
    </row>
    <row r="6" spans="1:7">
      <c r="A6" s="100" t="str">
        <f ca="1">IFERROR(__xludf.DUMMYFUNCTION("""COMPUTED_VALUE"""),"COMPONENTE 5")</f>
        <v>COMPONENTE 5</v>
      </c>
      <c r="B6" s="101" t="str">
        <f ca="1">IFERROR(__xludf.DUMMYFUNCTION("""COMPUTED_VALUE"""),"Porcentaje")</f>
        <v>Porcentaje</v>
      </c>
      <c r="C6" s="102">
        <f ca="1">IFERROR(__xludf.DUMMYFUNCTION("""COMPUTED_VALUE"""),7920)</f>
        <v>7920</v>
      </c>
      <c r="D6" s="102">
        <f ca="1">IFERROR(__xludf.DUMMYFUNCTION("""COMPUTED_VALUE"""),4903)</f>
        <v>4903</v>
      </c>
      <c r="E6" s="102">
        <f t="shared" ref="E6:F6" ca="1" si="2">C6</f>
        <v>7920</v>
      </c>
      <c r="F6" s="6">
        <f t="shared" ca="1" si="2"/>
        <v>4903</v>
      </c>
      <c r="G6" s="172"/>
    </row>
    <row r="8" spans="1:7">
      <c r="E8" s="103">
        <f t="shared" ref="E8:F8" ca="1" si="3">SUM(E2:E6)</f>
        <v>10216</v>
      </c>
      <c r="F8" s="103">
        <f t="shared" ca="1" si="3"/>
        <v>7780.8333333333339</v>
      </c>
      <c r="G8" s="104">
        <f ca="1">10216-E8</f>
        <v>0</v>
      </c>
    </row>
    <row r="11" spans="1:7">
      <c r="A11" s="96" t="str">
        <f ca="1">IFERROR(__xludf.DUMMYFUNCTION("QUERY(MIR!A32:AF49,""select C, M, O,AE where A='PROPÓSITO'"",1)"),"RESUMEN NARRATIVO")</f>
        <v>RESUMEN NARRATIVO</v>
      </c>
      <c r="B11" s="97" t="str">
        <f ca="1">IFERROR(__xludf.DUMMYFUNCTION("""COMPUTED_VALUE"""),"UNIDAD DE MEDIDA")</f>
        <v>UNIDAD DE MEDIDA</v>
      </c>
      <c r="C11" s="97" t="str">
        <f ca="1">IFERROR(__xludf.DUMMYFUNCTION("""COMPUTED_VALUE"""),"META PROGRAMADA")</f>
        <v>META PROGRAMADA</v>
      </c>
      <c r="D11" s="97" t="str">
        <f ca="1">IFERROR(__xludf.DUMMYFUNCTION("""COMPUTED_VALUE"""),"Total acumulado")</f>
        <v>Total acumulado</v>
      </c>
      <c r="E11" s="97"/>
      <c r="F11" s="97"/>
      <c r="G11" s="180" t="s">
        <v>88</v>
      </c>
    </row>
    <row r="12" spans="1:7">
      <c r="A12" s="99" t="str">
        <f ca="1">IFERROR(__xludf.DUMMYFUNCTION("""COMPUTED_VALUE"""),"ACTIVIDAD 1.1")</f>
        <v>ACTIVIDAD 1.1</v>
      </c>
      <c r="B12" s="95" t="str">
        <f ca="1">IFERROR(__xludf.DUMMYFUNCTION("""COMPUTED_VALUE"""),"Porcentaje")</f>
        <v>Porcentaje</v>
      </c>
      <c r="C12" s="6">
        <f ca="1">IFERROR(__xludf.DUMMYFUNCTION("""COMPUTED_VALUE"""),810)</f>
        <v>810</v>
      </c>
      <c r="D12" s="6">
        <f ca="1">IFERROR(__xludf.DUMMYFUNCTION("""COMPUTED_VALUE"""),497)</f>
        <v>497</v>
      </c>
      <c r="G12" s="181"/>
    </row>
    <row r="13" spans="1:7">
      <c r="A13" s="99" t="str">
        <f ca="1">IFERROR(__xludf.DUMMYFUNCTION("""COMPUTED_VALUE"""),"ACTIVIDAD 2.1")</f>
        <v>ACTIVIDAD 2.1</v>
      </c>
      <c r="B13" s="95" t="str">
        <f ca="1">IFERROR(__xludf.DUMMYFUNCTION("""COMPUTED_VALUE"""),"Porcentaje")</f>
        <v>Porcentaje</v>
      </c>
      <c r="C13" s="6">
        <f ca="1">IFERROR(__xludf.DUMMYFUNCTION("""COMPUTED_VALUE"""),5600)</f>
        <v>5600</v>
      </c>
      <c r="D13" s="6">
        <f ca="1">IFERROR(__xludf.DUMMYFUNCTION("""COMPUTED_VALUE"""),3745)</f>
        <v>3745</v>
      </c>
      <c r="G13" s="181"/>
    </row>
    <row r="14" spans="1:7">
      <c r="A14" s="99" t="str">
        <f ca="1">IFERROR(__xludf.DUMMYFUNCTION("""COMPUTED_VALUE"""),"COMPONENTE 3")</f>
        <v>COMPONENTE 3</v>
      </c>
      <c r="B14" s="95" t="str">
        <f ca="1">IFERROR(__xludf.DUMMYFUNCTION("""COMPUTED_VALUE"""),"Porcentaje")</f>
        <v>Porcentaje</v>
      </c>
      <c r="C14" s="6">
        <f ca="1">IFERROR(__xludf.DUMMYFUNCTION("""COMPUTED_VALUE"""),470)</f>
        <v>470</v>
      </c>
      <c r="D14" s="6">
        <f ca="1">IFERROR(__xludf.DUMMYFUNCTION("""COMPUTED_VALUE"""),354)</f>
        <v>354</v>
      </c>
      <c r="G14" s="181"/>
    </row>
    <row r="15" spans="1:7">
      <c r="A15" s="99" t="str">
        <f ca="1">IFERROR(__xludf.DUMMYFUNCTION("""COMPUTED_VALUE"""),"ACTIVIDAD 4.2")</f>
        <v>ACTIVIDAD 4.2</v>
      </c>
      <c r="B15" s="95" t="str">
        <f ca="1">IFERROR(__xludf.DUMMYFUNCTION("""COMPUTED_VALUE"""),"Porcentaje")</f>
        <v>Porcentaje</v>
      </c>
      <c r="C15" s="6">
        <f ca="1">IFERROR(__xludf.DUMMYFUNCTION("""COMPUTED_VALUE"""),22000)</f>
        <v>22000</v>
      </c>
      <c r="D15" s="6">
        <f ca="1">IFERROR(__xludf.DUMMYFUNCTION("""COMPUTED_VALUE"""),10740)</f>
        <v>10740</v>
      </c>
      <c r="G15" s="181"/>
    </row>
    <row r="16" spans="1:7">
      <c r="A16" s="99" t="str">
        <f ca="1">IFERROR(__xludf.DUMMYFUNCTION("""COMPUTED_VALUE"""),"ACTIVIDAD 5.1")</f>
        <v>ACTIVIDAD 5.1</v>
      </c>
      <c r="B16" s="95" t="str">
        <f ca="1">IFERROR(__xludf.DUMMYFUNCTION("""COMPUTED_VALUE"""),"Porcentaje")</f>
        <v>Porcentaje</v>
      </c>
      <c r="C16" s="6">
        <f ca="1">IFERROR(__xludf.DUMMYFUNCTION("""COMPUTED_VALUE"""),7250)</f>
        <v>7250</v>
      </c>
      <c r="D16" s="6">
        <f ca="1">IFERROR(__xludf.DUMMYFUNCTION("""COMPUTED_VALUE"""),4293)</f>
        <v>4293</v>
      </c>
      <c r="G16" s="181"/>
    </row>
    <row r="17" spans="1:7">
      <c r="A17" s="100" t="str">
        <f ca="1">IFERROR(__xludf.DUMMYFUNCTION("""COMPUTED_VALUE"""),"ACTIVIDAD 5.2")</f>
        <v>ACTIVIDAD 5.2</v>
      </c>
      <c r="B17" s="101" t="str">
        <f ca="1">IFERROR(__xludf.DUMMYFUNCTION("""COMPUTED_VALUE"""),"Porcentaje")</f>
        <v>Porcentaje</v>
      </c>
      <c r="C17" s="102">
        <f ca="1">IFERROR(__xludf.DUMMYFUNCTION("""COMPUTED_VALUE"""),670)</f>
        <v>670</v>
      </c>
      <c r="D17" s="102">
        <f ca="1">IFERROR(__xludf.DUMMYFUNCTION("""COMPUTED_VALUE"""),688)</f>
        <v>688</v>
      </c>
      <c r="E17" s="101"/>
      <c r="F17" s="101"/>
      <c r="G17" s="105"/>
    </row>
    <row r="19" spans="1:7">
      <c r="C19" s="106">
        <f t="shared" ref="C19:D19" ca="1" si="4">SUM(C12:C17)</f>
        <v>36800</v>
      </c>
      <c r="D19" s="6">
        <f t="shared" ca="1" si="4"/>
        <v>20317</v>
      </c>
    </row>
  </sheetData>
  <mergeCells count="2">
    <mergeCell ref="G1:G6"/>
    <mergeCell ref="G11:G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953"/>
  <sheetViews>
    <sheetView workbookViewId="0"/>
  </sheetViews>
  <sheetFormatPr baseColWidth="10" defaultColWidth="14.44140625" defaultRowHeight="15" customHeight="1"/>
  <cols>
    <col min="1" max="1" width="3.5546875" customWidth="1"/>
    <col min="2" max="2" width="17.88671875" customWidth="1"/>
    <col min="3" max="3" width="51.33203125" customWidth="1"/>
    <col min="4" max="4" width="25.109375" customWidth="1"/>
    <col min="5" max="5" width="26.88671875" customWidth="1"/>
    <col min="6" max="6" width="19.44140625" customWidth="1"/>
    <col min="7" max="7" width="21.6640625" customWidth="1"/>
    <col min="8" max="8" width="21.109375" customWidth="1"/>
    <col min="9" max="9" width="26" customWidth="1"/>
    <col min="10" max="10" width="25.5546875" customWidth="1"/>
    <col min="11" max="11" width="29.88671875" customWidth="1"/>
    <col min="12" max="12" width="20.88671875" customWidth="1"/>
    <col min="13" max="13" width="21.33203125" customWidth="1"/>
    <col min="14" max="14" width="19.5546875" customWidth="1"/>
    <col min="15" max="15" width="19.44140625" customWidth="1"/>
    <col min="16" max="16" width="18.5546875" customWidth="1"/>
    <col min="17" max="17" width="23" customWidth="1"/>
    <col min="18" max="18" width="18.88671875" customWidth="1"/>
    <col min="19" max="19" width="14" customWidth="1"/>
    <col min="20" max="31" width="10.6640625" customWidth="1"/>
    <col min="32" max="33" width="20.5546875" customWidth="1"/>
  </cols>
  <sheetData>
    <row r="1" spans="1:19" ht="15.6">
      <c r="A1" s="2"/>
      <c r="B1" s="3"/>
      <c r="C1" s="3"/>
      <c r="D1" s="4"/>
      <c r="E1" s="4"/>
      <c r="F1" s="4"/>
      <c r="G1" s="4"/>
      <c r="H1" s="4"/>
      <c r="I1" s="3"/>
      <c r="J1" s="5"/>
      <c r="K1" s="5"/>
      <c r="L1" s="3"/>
      <c r="M1" s="3"/>
      <c r="N1" s="5"/>
      <c r="O1" s="5"/>
      <c r="P1" s="5"/>
      <c r="Q1" s="3"/>
      <c r="R1" s="3"/>
    </row>
    <row r="2" spans="1:19" ht="15.6">
      <c r="A2" s="2"/>
      <c r="B2" s="3"/>
      <c r="C2" s="3"/>
      <c r="D2" s="4"/>
      <c r="E2" s="4"/>
      <c r="F2" s="4"/>
      <c r="G2" s="4"/>
      <c r="H2" s="4"/>
      <c r="I2" s="3"/>
      <c r="J2" s="5"/>
      <c r="K2" s="5"/>
      <c r="L2" s="3"/>
      <c r="M2" s="3"/>
      <c r="N2" s="5"/>
      <c r="O2" s="5"/>
      <c r="P2" s="5"/>
      <c r="Q2" s="3"/>
      <c r="R2" s="3"/>
    </row>
    <row r="3" spans="1:19" ht="15.6">
      <c r="A3" s="2"/>
      <c r="B3" s="3"/>
      <c r="C3" s="3"/>
      <c r="D3" s="4"/>
      <c r="E3" s="4"/>
      <c r="F3" s="4"/>
      <c r="G3" s="4"/>
      <c r="H3" s="4"/>
      <c r="I3" s="3"/>
      <c r="J3" s="5"/>
      <c r="K3" s="5"/>
      <c r="L3" s="3"/>
      <c r="M3" s="3"/>
      <c r="N3" s="5"/>
      <c r="O3" s="5"/>
      <c r="P3" s="5"/>
      <c r="Q3" s="3"/>
      <c r="R3" s="3"/>
    </row>
    <row r="4" spans="1:19" ht="15.6">
      <c r="A4" s="2"/>
      <c r="B4" s="3"/>
      <c r="C4" s="3"/>
      <c r="D4" s="160" t="s">
        <v>0</v>
      </c>
      <c r="E4" s="161"/>
      <c r="F4" s="161"/>
      <c r="G4" s="161"/>
      <c r="H4" s="161"/>
      <c r="I4" s="3"/>
      <c r="J4" s="5"/>
      <c r="K4" s="5"/>
      <c r="L4" s="3"/>
      <c r="M4" s="3"/>
      <c r="N4" s="5"/>
      <c r="O4" s="5"/>
      <c r="P4" s="5"/>
      <c r="Q4" s="3"/>
      <c r="R4" s="3"/>
    </row>
    <row r="5" spans="1:19" ht="15.6">
      <c r="A5" s="2"/>
      <c r="B5" s="3"/>
      <c r="C5" s="3"/>
      <c r="D5" s="160" t="s">
        <v>1</v>
      </c>
      <c r="E5" s="161"/>
      <c r="F5" s="161"/>
      <c r="G5" s="161"/>
      <c r="H5" s="161"/>
      <c r="I5" s="3"/>
      <c r="J5" s="5"/>
      <c r="K5" s="5"/>
      <c r="L5" s="3"/>
      <c r="M5" s="3"/>
      <c r="N5" s="5"/>
      <c r="O5" s="5"/>
      <c r="P5" s="5"/>
      <c r="Q5" s="3"/>
      <c r="R5" s="3"/>
    </row>
    <row r="6" spans="1:19" ht="15.6">
      <c r="A6" s="2"/>
      <c r="B6" s="3"/>
      <c r="C6" s="3"/>
      <c r="D6" s="160" t="s">
        <v>2</v>
      </c>
      <c r="E6" s="161"/>
      <c r="F6" s="161"/>
      <c r="G6" s="161"/>
      <c r="H6" s="161"/>
      <c r="I6" s="3"/>
      <c r="J6" s="5"/>
      <c r="K6" s="5"/>
      <c r="L6" s="3"/>
      <c r="M6" s="3"/>
      <c r="N6" s="5"/>
      <c r="O6" s="5"/>
      <c r="P6" s="5"/>
      <c r="Q6" s="3"/>
      <c r="R6" s="3"/>
    </row>
    <row r="7" spans="1:19" ht="15.6">
      <c r="A7" s="2"/>
      <c r="B7" s="3"/>
      <c r="C7" s="3"/>
      <c r="D7" s="160"/>
      <c r="E7" s="161"/>
      <c r="F7" s="161"/>
      <c r="G7" s="161"/>
      <c r="H7" s="161"/>
      <c r="I7" s="3"/>
      <c r="J7" s="5"/>
      <c r="K7" s="5"/>
      <c r="L7" s="3"/>
      <c r="M7" s="3"/>
      <c r="N7" s="5"/>
      <c r="O7" s="5"/>
      <c r="P7" s="5"/>
      <c r="Q7" s="3"/>
      <c r="R7" s="3"/>
    </row>
    <row r="8" spans="1:19" ht="15.6">
      <c r="A8" s="2"/>
      <c r="B8" s="3"/>
      <c r="C8" s="3"/>
      <c r="D8" s="7"/>
      <c r="E8" s="7"/>
      <c r="F8" s="7"/>
      <c r="G8" s="7"/>
      <c r="H8" s="7"/>
      <c r="I8" s="3"/>
      <c r="J8" s="5"/>
      <c r="K8" s="5"/>
      <c r="L8" s="3"/>
      <c r="M8" s="3"/>
      <c r="N8" s="5"/>
      <c r="O8" s="5"/>
      <c r="P8" s="5"/>
      <c r="Q8" s="3"/>
      <c r="R8" s="3"/>
    </row>
    <row r="9" spans="1:19" ht="15.6">
      <c r="A9" s="2"/>
      <c r="B9" s="3"/>
      <c r="C9" s="3"/>
      <c r="D9" s="4"/>
      <c r="E9" s="4"/>
      <c r="F9" s="4"/>
      <c r="G9" s="4"/>
      <c r="H9" s="4"/>
      <c r="I9" s="3"/>
      <c r="J9" s="5"/>
      <c r="K9" s="5"/>
      <c r="L9" s="3"/>
      <c r="M9" s="3"/>
      <c r="N9" s="5"/>
      <c r="O9" s="5"/>
      <c r="P9" s="5"/>
      <c r="Q9" s="3"/>
      <c r="R9" s="3"/>
    </row>
    <row r="10" spans="1:19" ht="15.6">
      <c r="A10" s="2"/>
      <c r="B10" s="3"/>
      <c r="C10" s="3"/>
      <c r="D10" s="4"/>
      <c r="E10" s="4"/>
      <c r="F10" s="4"/>
      <c r="G10" s="4"/>
      <c r="H10" s="4"/>
      <c r="I10" s="3"/>
      <c r="J10" s="5"/>
      <c r="K10" s="5"/>
      <c r="L10" s="3"/>
      <c r="M10" s="3"/>
      <c r="N10" s="5"/>
      <c r="O10" s="5"/>
      <c r="P10" s="5"/>
      <c r="Q10" s="3"/>
      <c r="R10" s="3"/>
    </row>
    <row r="11" spans="1:19" ht="15.6">
      <c r="A11" s="2"/>
      <c r="B11" s="3"/>
      <c r="C11" s="3"/>
      <c r="D11" s="4"/>
      <c r="E11" s="4"/>
      <c r="F11" s="4"/>
      <c r="G11" s="4"/>
      <c r="H11" s="4"/>
      <c r="I11" s="3"/>
      <c r="J11" s="5"/>
      <c r="K11" s="5"/>
      <c r="L11" s="3"/>
      <c r="M11" s="3"/>
      <c r="N11" s="5"/>
      <c r="O11" s="5"/>
      <c r="P11" s="5"/>
      <c r="Q11" s="3"/>
      <c r="R11" s="3"/>
    </row>
    <row r="12" spans="1:19" ht="15.6">
      <c r="A12" s="8"/>
      <c r="B12" s="9"/>
      <c r="C12" s="9"/>
      <c r="D12" s="9"/>
      <c r="E12" s="9"/>
      <c r="F12" s="9"/>
      <c r="G12" s="9"/>
      <c r="H12" s="9"/>
      <c r="I12" s="9"/>
      <c r="J12" s="10"/>
      <c r="K12" s="10"/>
      <c r="L12" s="9"/>
      <c r="M12" s="9"/>
      <c r="N12" s="10"/>
      <c r="O12" s="10"/>
      <c r="P12" s="10"/>
      <c r="Q12" s="9"/>
      <c r="R12" s="9"/>
      <c r="S12" s="11"/>
    </row>
    <row r="13" spans="1:19" ht="15.6">
      <c r="A13" s="8"/>
      <c r="B13" s="9"/>
      <c r="C13" s="12" t="s">
        <v>3</v>
      </c>
      <c r="D13" s="162" t="s">
        <v>4</v>
      </c>
      <c r="E13" s="163"/>
      <c r="F13" s="163"/>
      <c r="G13" s="163"/>
      <c r="H13" s="164"/>
      <c r="I13" s="13"/>
      <c r="J13" s="10"/>
      <c r="K13" s="10"/>
      <c r="L13" s="9"/>
      <c r="M13" s="9"/>
      <c r="N13" s="10"/>
      <c r="O13" s="10"/>
      <c r="P13" s="10"/>
      <c r="Q13" s="9"/>
      <c r="R13" s="9"/>
      <c r="S13" s="11"/>
    </row>
    <row r="14" spans="1:19" ht="15.6">
      <c r="A14" s="8"/>
      <c r="B14" s="9"/>
      <c r="C14" s="12" t="s">
        <v>5</v>
      </c>
      <c r="D14" s="165" t="s">
        <v>6</v>
      </c>
      <c r="E14" s="163"/>
      <c r="F14" s="163"/>
      <c r="G14" s="163"/>
      <c r="H14" s="164"/>
      <c r="I14" s="14" t="s">
        <v>7</v>
      </c>
      <c r="J14" s="10"/>
      <c r="K14" s="10"/>
      <c r="L14" s="9"/>
      <c r="M14" s="9"/>
      <c r="N14" s="10"/>
      <c r="O14" s="10"/>
      <c r="P14" s="10"/>
      <c r="Q14" s="9"/>
      <c r="R14" s="9"/>
      <c r="S14" s="11"/>
    </row>
    <row r="15" spans="1:19" ht="15.6">
      <c r="A15" s="8"/>
      <c r="B15" s="9"/>
      <c r="C15" s="12" t="s">
        <v>8</v>
      </c>
      <c r="D15" s="165" t="s">
        <v>9</v>
      </c>
      <c r="E15" s="163"/>
      <c r="F15" s="163"/>
      <c r="G15" s="163"/>
      <c r="H15" s="164"/>
      <c r="I15" s="14" t="s">
        <v>7</v>
      </c>
      <c r="J15" s="10"/>
      <c r="K15" s="10"/>
      <c r="L15" s="9"/>
      <c r="M15" s="9"/>
      <c r="N15" s="10"/>
      <c r="O15" s="10"/>
      <c r="P15" s="10"/>
      <c r="Q15" s="9"/>
      <c r="R15" s="9"/>
      <c r="S15" s="11"/>
    </row>
    <row r="16" spans="1:19" ht="15.6">
      <c r="A16" s="8"/>
      <c r="B16" s="9"/>
      <c r="C16" s="12" t="s">
        <v>10</v>
      </c>
      <c r="D16" s="165" t="s">
        <v>11</v>
      </c>
      <c r="E16" s="163"/>
      <c r="F16" s="163"/>
      <c r="G16" s="163"/>
      <c r="H16" s="164"/>
      <c r="I16" s="13"/>
      <c r="J16" s="10"/>
      <c r="K16" s="10"/>
      <c r="L16" s="9"/>
      <c r="M16" s="9"/>
      <c r="N16" s="10"/>
      <c r="O16" s="10"/>
      <c r="P16" s="10"/>
      <c r="Q16" s="9"/>
      <c r="R16" s="9"/>
      <c r="S16" s="11"/>
    </row>
    <row r="17" spans="1:33" ht="15.6">
      <c r="A17" s="8"/>
      <c r="B17" s="9"/>
      <c r="C17" s="12" t="s">
        <v>12</v>
      </c>
      <c r="D17" s="165" t="s">
        <v>13</v>
      </c>
      <c r="E17" s="163"/>
      <c r="F17" s="163"/>
      <c r="G17" s="163"/>
      <c r="H17" s="164"/>
      <c r="I17" s="14" t="s">
        <v>7</v>
      </c>
      <c r="J17" s="10"/>
      <c r="K17" s="10"/>
      <c r="L17" s="9"/>
      <c r="M17" s="9"/>
      <c r="N17" s="10"/>
      <c r="O17" s="10"/>
      <c r="P17" s="10"/>
      <c r="Q17" s="9"/>
      <c r="R17" s="9"/>
      <c r="S17" s="11"/>
    </row>
    <row r="18" spans="1:33" ht="15.6">
      <c r="A18" s="15"/>
      <c r="B18" s="16"/>
      <c r="C18" s="12" t="s">
        <v>14</v>
      </c>
      <c r="D18" s="165" t="s">
        <v>15</v>
      </c>
      <c r="E18" s="163"/>
      <c r="F18" s="163"/>
      <c r="G18" s="163"/>
      <c r="H18" s="164"/>
      <c r="I18" s="14" t="s">
        <v>7</v>
      </c>
      <c r="J18" s="10"/>
      <c r="K18" s="10"/>
      <c r="L18" s="9"/>
      <c r="M18" s="9"/>
      <c r="N18" s="10"/>
      <c r="O18" s="10"/>
      <c r="P18" s="10"/>
      <c r="Q18" s="9"/>
      <c r="R18" s="9"/>
      <c r="S18" s="11"/>
    </row>
    <row r="19" spans="1:33" ht="15.6" hidden="1">
      <c r="A19" s="17"/>
      <c r="B19" s="18"/>
      <c r="C19" s="12" t="s">
        <v>16</v>
      </c>
      <c r="D19" s="165"/>
      <c r="E19" s="163"/>
      <c r="F19" s="163"/>
      <c r="G19" s="163"/>
      <c r="H19" s="164"/>
      <c r="I19" s="13"/>
      <c r="J19" s="10"/>
      <c r="K19" s="10"/>
      <c r="L19" s="9"/>
      <c r="M19" s="9"/>
      <c r="N19" s="10"/>
      <c r="O19" s="10"/>
      <c r="P19" s="10"/>
      <c r="Q19" s="9"/>
      <c r="R19" s="9"/>
      <c r="S19" s="11"/>
    </row>
    <row r="20" spans="1:33" ht="15.6">
      <c r="A20" s="19"/>
      <c r="C20" s="12" t="s">
        <v>16</v>
      </c>
      <c r="D20" s="165" t="s">
        <v>17</v>
      </c>
      <c r="E20" s="163"/>
      <c r="F20" s="163"/>
      <c r="G20" s="163"/>
      <c r="H20" s="164"/>
      <c r="I20" s="14" t="s">
        <v>7</v>
      </c>
      <c r="J20" s="10"/>
      <c r="K20" s="10"/>
      <c r="L20" s="9"/>
      <c r="M20" s="9"/>
      <c r="N20" s="10"/>
      <c r="O20" s="10"/>
      <c r="P20" s="10"/>
      <c r="Q20" s="9"/>
      <c r="R20" s="9"/>
      <c r="S20" s="11"/>
    </row>
    <row r="21" spans="1:33" ht="15.6">
      <c r="A21" s="20"/>
      <c r="B21" s="156" t="s">
        <v>18</v>
      </c>
      <c r="C21" s="12" t="s">
        <v>19</v>
      </c>
      <c r="D21" s="165" t="s">
        <v>20</v>
      </c>
      <c r="E21" s="163"/>
      <c r="F21" s="163"/>
      <c r="G21" s="163"/>
      <c r="H21" s="164"/>
      <c r="I21" s="14" t="s">
        <v>7</v>
      </c>
      <c r="K21" s="10"/>
      <c r="L21" s="9"/>
      <c r="M21" s="9"/>
      <c r="N21" s="10"/>
      <c r="O21" s="10"/>
      <c r="P21" s="10"/>
      <c r="Q21" s="9"/>
      <c r="R21" s="9"/>
      <c r="S21" s="11"/>
    </row>
    <row r="22" spans="1:33" ht="15.6">
      <c r="A22" s="20"/>
      <c r="B22" s="157"/>
      <c r="C22" s="12" t="s">
        <v>21</v>
      </c>
      <c r="D22" s="165" t="s">
        <v>22</v>
      </c>
      <c r="E22" s="163"/>
      <c r="F22" s="163"/>
      <c r="G22" s="163"/>
      <c r="H22" s="164"/>
      <c r="I22" s="14" t="s">
        <v>7</v>
      </c>
      <c r="J22" s="10"/>
      <c r="K22" s="10"/>
      <c r="L22" s="9"/>
      <c r="M22" s="9"/>
      <c r="N22" s="10"/>
      <c r="O22" s="10"/>
      <c r="P22" s="10"/>
      <c r="Q22" s="9"/>
      <c r="R22" s="9"/>
      <c r="S22" s="11"/>
    </row>
    <row r="23" spans="1:33" ht="15.6">
      <c r="A23" s="21"/>
      <c r="B23" s="158" t="s">
        <v>23</v>
      </c>
      <c r="C23" s="12" t="s">
        <v>24</v>
      </c>
      <c r="D23" s="169" t="s">
        <v>25</v>
      </c>
      <c r="E23" s="163"/>
      <c r="F23" s="163"/>
      <c r="G23" s="163"/>
      <c r="H23" s="164"/>
      <c r="I23" s="22" t="s">
        <v>7</v>
      </c>
      <c r="J23" s="10"/>
      <c r="K23" s="10"/>
      <c r="L23" s="9"/>
      <c r="M23" s="9"/>
      <c r="N23" s="10"/>
      <c r="O23" s="10"/>
      <c r="P23" s="10"/>
      <c r="Q23" s="9"/>
      <c r="R23" s="9"/>
      <c r="S23" s="11"/>
    </row>
    <row r="24" spans="1:33" ht="31.2">
      <c r="A24" s="21"/>
      <c r="B24" s="159"/>
      <c r="C24" s="12" t="s">
        <v>26</v>
      </c>
      <c r="D24" s="170" t="s">
        <v>27</v>
      </c>
      <c r="E24" s="171"/>
      <c r="F24" s="171"/>
      <c r="G24" s="171"/>
      <c r="H24" s="172"/>
      <c r="I24" s="22" t="s">
        <v>7</v>
      </c>
      <c r="J24" s="10"/>
      <c r="K24" s="10"/>
      <c r="L24" s="9"/>
      <c r="M24" s="9"/>
      <c r="N24" s="10"/>
      <c r="O24" s="10"/>
      <c r="P24" s="10"/>
      <c r="Q24" s="9"/>
      <c r="R24" s="9"/>
      <c r="S24" s="11"/>
    </row>
    <row r="25" spans="1:33" ht="15.6">
      <c r="A25" s="21"/>
      <c r="B25" s="158" t="s">
        <v>28</v>
      </c>
      <c r="C25" s="12" t="s">
        <v>29</v>
      </c>
      <c r="D25" s="170" t="s">
        <v>30</v>
      </c>
      <c r="E25" s="171"/>
      <c r="F25" s="171"/>
      <c r="G25" s="171"/>
      <c r="H25" s="172"/>
      <c r="I25" s="22" t="s">
        <v>7</v>
      </c>
      <c r="J25" s="10"/>
      <c r="K25" s="10"/>
      <c r="L25" s="9"/>
      <c r="M25" s="9"/>
      <c r="N25" s="10"/>
      <c r="O25" s="10"/>
      <c r="P25" s="10"/>
      <c r="Q25" s="9"/>
      <c r="R25" s="9"/>
      <c r="S25" s="11"/>
    </row>
    <row r="26" spans="1:33" ht="15.6">
      <c r="A26" s="21"/>
      <c r="B26" s="157"/>
      <c r="C26" s="12" t="s">
        <v>31</v>
      </c>
      <c r="D26" s="23" t="s">
        <v>32</v>
      </c>
      <c r="E26" s="24"/>
      <c r="F26" s="24"/>
      <c r="G26" s="24"/>
      <c r="H26" s="25"/>
      <c r="I26" s="22" t="s">
        <v>7</v>
      </c>
      <c r="J26" s="10"/>
      <c r="K26" s="10"/>
      <c r="L26" s="9"/>
      <c r="M26" s="9"/>
      <c r="N26" s="10"/>
      <c r="O26" s="10"/>
      <c r="P26" s="10"/>
      <c r="Q26" s="9"/>
      <c r="R26" s="9"/>
      <c r="S26" s="11"/>
    </row>
    <row r="27" spans="1:33" ht="15.6">
      <c r="A27" s="21"/>
      <c r="B27" s="157"/>
      <c r="C27" s="12" t="s">
        <v>33</v>
      </c>
      <c r="D27" s="170" t="s">
        <v>34</v>
      </c>
      <c r="E27" s="171"/>
      <c r="F27" s="171"/>
      <c r="G27" s="171"/>
      <c r="H27" s="172"/>
      <c r="I27" s="22" t="s">
        <v>7</v>
      </c>
      <c r="J27" s="10"/>
      <c r="K27" s="10"/>
      <c r="L27" s="9"/>
      <c r="M27" s="9"/>
      <c r="N27" s="10"/>
      <c r="O27" s="10"/>
      <c r="P27" s="10"/>
      <c r="Q27" s="9"/>
      <c r="R27" s="9"/>
      <c r="S27" s="11"/>
    </row>
    <row r="28" spans="1:33" ht="15.6">
      <c r="A28" s="21"/>
      <c r="B28" s="157"/>
      <c r="C28" s="12" t="s">
        <v>35</v>
      </c>
      <c r="D28" s="170" t="s">
        <v>36</v>
      </c>
      <c r="E28" s="171"/>
      <c r="F28" s="171"/>
      <c r="G28" s="171"/>
      <c r="H28" s="172"/>
      <c r="I28" s="26"/>
      <c r="J28" s="10"/>
      <c r="K28" s="10"/>
      <c r="L28" s="9"/>
      <c r="M28" s="9"/>
      <c r="N28" s="10"/>
      <c r="O28" s="27"/>
      <c r="P28" s="27"/>
      <c r="Q28" s="9"/>
      <c r="R28" s="9"/>
      <c r="S28" s="11"/>
    </row>
    <row r="29" spans="1:33" ht="31.2">
      <c r="A29" s="15"/>
      <c r="B29" s="16"/>
      <c r="C29" s="12" t="s">
        <v>37</v>
      </c>
      <c r="D29" s="173" t="s">
        <v>38</v>
      </c>
      <c r="E29" s="163"/>
      <c r="F29" s="163"/>
      <c r="G29" s="163"/>
      <c r="H29" s="163"/>
      <c r="I29" s="9"/>
      <c r="J29" s="10"/>
      <c r="K29" s="10"/>
      <c r="L29" s="9"/>
      <c r="M29" s="9"/>
      <c r="N29" s="10"/>
      <c r="O29" s="27"/>
      <c r="P29" s="27"/>
      <c r="Q29" s="9"/>
      <c r="R29" s="9"/>
      <c r="S29" s="11"/>
    </row>
    <row r="30" spans="1:33" ht="15.6">
      <c r="A30" s="15"/>
      <c r="B30" s="16"/>
      <c r="C30" s="28" t="s">
        <v>39</v>
      </c>
      <c r="D30" s="174"/>
      <c r="E30" s="163"/>
      <c r="F30" s="163"/>
      <c r="G30" s="163"/>
      <c r="H30" s="164"/>
      <c r="I30" s="13"/>
      <c r="J30" s="10"/>
      <c r="K30" s="10"/>
      <c r="L30" s="9"/>
      <c r="M30" s="9"/>
      <c r="N30" s="10"/>
      <c r="O30" s="10"/>
      <c r="P30" s="10"/>
      <c r="Q30" s="9"/>
      <c r="R30" s="9"/>
      <c r="S30" s="11"/>
    </row>
    <row r="31" spans="1:33" ht="15.6">
      <c r="A31" s="8"/>
      <c r="B31" s="29"/>
      <c r="C31" s="29"/>
      <c r="D31" s="30"/>
      <c r="E31" s="30"/>
      <c r="F31" s="30"/>
      <c r="G31" s="30"/>
      <c r="H31" s="3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AE31" s="104" t="s">
        <v>40</v>
      </c>
      <c r="AF31" s="104" t="s">
        <v>232</v>
      </c>
      <c r="AG31" s="104">
        <v>3</v>
      </c>
    </row>
    <row r="32" spans="1:33" ht="62.4">
      <c r="A32" s="33"/>
      <c r="B32" s="34" t="s">
        <v>42</v>
      </c>
      <c r="C32" s="35" t="s">
        <v>43</v>
      </c>
      <c r="D32" s="28" t="s">
        <v>44</v>
      </c>
      <c r="E32" s="28" t="s">
        <v>45</v>
      </c>
      <c r="F32" s="28" t="s">
        <v>46</v>
      </c>
      <c r="G32" s="28" t="s">
        <v>47</v>
      </c>
      <c r="H32" s="28" t="s">
        <v>48</v>
      </c>
      <c r="I32" s="28" t="s">
        <v>49</v>
      </c>
      <c r="J32" s="36" t="s">
        <v>50</v>
      </c>
      <c r="K32" s="36" t="s">
        <v>51</v>
      </c>
      <c r="L32" s="28" t="s">
        <v>52</v>
      </c>
      <c r="M32" s="28" t="s">
        <v>53</v>
      </c>
      <c r="N32" s="36" t="s">
        <v>54</v>
      </c>
      <c r="O32" s="36" t="s">
        <v>55</v>
      </c>
      <c r="P32" s="36" t="s">
        <v>56</v>
      </c>
      <c r="Q32" s="28" t="s">
        <v>57</v>
      </c>
      <c r="R32" s="28" t="s">
        <v>58</v>
      </c>
      <c r="S32" s="37" t="s">
        <v>59</v>
      </c>
      <c r="T32" s="38" t="s">
        <v>60</v>
      </c>
      <c r="U32" s="38" t="s">
        <v>61</v>
      </c>
      <c r="V32" s="38" t="s">
        <v>62</v>
      </c>
      <c r="W32" s="38" t="s">
        <v>63</v>
      </c>
      <c r="X32" s="38" t="s">
        <v>64</v>
      </c>
      <c r="Y32" s="38" t="s">
        <v>65</v>
      </c>
      <c r="Z32" s="38" t="s">
        <v>66</v>
      </c>
      <c r="AA32" s="38" t="s">
        <v>67</v>
      </c>
      <c r="AB32" s="38" t="s">
        <v>68</v>
      </c>
      <c r="AC32" s="38" t="s">
        <v>69</v>
      </c>
      <c r="AD32" s="38" t="s">
        <v>70</v>
      </c>
      <c r="AE32" s="39" t="s">
        <v>71</v>
      </c>
      <c r="AF32" s="39" t="s">
        <v>72</v>
      </c>
      <c r="AG32" s="39" t="s">
        <v>73</v>
      </c>
    </row>
    <row r="33" spans="1:33" ht="179.4">
      <c r="A33" s="8"/>
      <c r="B33" s="9"/>
      <c r="C33" s="12" t="s">
        <v>74</v>
      </c>
      <c r="D33" s="40" t="s">
        <v>75</v>
      </c>
      <c r="E33" s="41" t="s">
        <v>76</v>
      </c>
      <c r="F33" s="40" t="s">
        <v>77</v>
      </c>
      <c r="G33" s="41" t="s">
        <v>78</v>
      </c>
      <c r="H33" s="41" t="s">
        <v>79</v>
      </c>
      <c r="I33" s="40" t="s">
        <v>80</v>
      </c>
      <c r="J33" s="42" t="s">
        <v>81</v>
      </c>
      <c r="K33" s="43" t="s">
        <v>82</v>
      </c>
      <c r="L33" s="41" t="s">
        <v>83</v>
      </c>
      <c r="M33" s="41" t="s">
        <v>84</v>
      </c>
      <c r="N33" s="44" t="s">
        <v>85</v>
      </c>
      <c r="O33" s="107">
        <f>(SUMIFS(O35:O60,$A$35:$A$60,"FIN"))+SUMIFS(O35:O60,$A$35:$A$60,"FIN/PROPÓSITO")</f>
        <v>7038</v>
      </c>
      <c r="P33" s="42"/>
      <c r="Q33" s="41" t="s">
        <v>86</v>
      </c>
      <c r="R33" s="40" t="s">
        <v>87</v>
      </c>
      <c r="S33" s="46">
        <v>0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8"/>
      <c r="AE33" s="108">
        <f ca="1">SUMIF($A$33:$A$49,"FIN",AG35:AG49)+SUMIF($A$33:$A$49,"FIN/PROPÓSITO",AG35:AG49)</f>
        <v>11690</v>
      </c>
      <c r="AF33" s="11"/>
      <c r="AG33" s="11"/>
    </row>
    <row r="34" spans="1:33" ht="220.8">
      <c r="A34" s="49"/>
      <c r="B34" s="50" t="s">
        <v>7</v>
      </c>
      <c r="C34" s="12" t="s">
        <v>88</v>
      </c>
      <c r="D34" s="40" t="s">
        <v>89</v>
      </c>
      <c r="E34" s="40" t="s">
        <v>90</v>
      </c>
      <c r="F34" s="40" t="s">
        <v>91</v>
      </c>
      <c r="G34" s="41" t="s">
        <v>78</v>
      </c>
      <c r="H34" s="41" t="s">
        <v>79</v>
      </c>
      <c r="I34" s="41" t="s">
        <v>92</v>
      </c>
      <c r="J34" s="42" t="s">
        <v>93</v>
      </c>
      <c r="K34" s="42" t="s">
        <v>94</v>
      </c>
      <c r="L34" s="41" t="s">
        <v>83</v>
      </c>
      <c r="M34" s="41" t="s">
        <v>84</v>
      </c>
      <c r="N34" s="44" t="s">
        <v>85</v>
      </c>
      <c r="O34" s="51">
        <f>(SUMIFS(O35:O60,$A$35:$A$60,"PROPÓSITO"))+SUMIFS(O35:O60,$A$35:$A$60,"FIN/PROPÓSITO")</f>
        <v>36800</v>
      </c>
      <c r="P34" s="42"/>
      <c r="Q34" s="41" t="s">
        <v>95</v>
      </c>
      <c r="R34" s="52" t="s">
        <v>96</v>
      </c>
      <c r="S34" s="32">
        <v>0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09">
        <f ca="1">SUMIF($A$33:$A$49,"PROPÓSITO",AG35:AG49)+SUMIF($A$33:$A$49,"FIN/PROPÓSITO",AG35:AG49)</f>
        <v>4503</v>
      </c>
      <c r="AF34" s="11"/>
      <c r="AG34" s="11"/>
    </row>
    <row r="35" spans="1:33" ht="151.80000000000001">
      <c r="A35" s="53" t="s">
        <v>74</v>
      </c>
      <c r="B35" s="54" t="s">
        <v>97</v>
      </c>
      <c r="C35" s="28" t="s">
        <v>98</v>
      </c>
      <c r="D35" s="40" t="s">
        <v>99</v>
      </c>
      <c r="E35" s="40" t="s">
        <v>100</v>
      </c>
      <c r="F35" s="40" t="s">
        <v>101</v>
      </c>
      <c r="G35" s="40" t="s">
        <v>78</v>
      </c>
      <c r="H35" s="40" t="s">
        <v>79</v>
      </c>
      <c r="I35" s="55" t="s">
        <v>259</v>
      </c>
      <c r="J35" s="55" t="s">
        <v>103</v>
      </c>
      <c r="K35" s="55">
        <v>4</v>
      </c>
      <c r="L35" s="56" t="s">
        <v>104</v>
      </c>
      <c r="M35" s="40" t="s">
        <v>105</v>
      </c>
      <c r="N35" s="40" t="s">
        <v>85</v>
      </c>
      <c r="O35" s="40">
        <v>372</v>
      </c>
      <c r="P35" s="42"/>
      <c r="Q35" s="58" t="s">
        <v>106</v>
      </c>
      <c r="R35" s="40" t="s">
        <v>107</v>
      </c>
      <c r="S35" s="58">
        <f ca="1">IFERROR(__xludf.DUMMYFUNCTION("ARRAYFORMULA( Value(QUERY((importrange(""1oW9Cb2v8ctwHmxFCJfae-MHYgV7KCq0s5iFTt2idb9Q"",""TOTALES!E2:P4"")),""Select*"",1)))"),139)</f>
        <v>139</v>
      </c>
      <c r="T35" s="58">
        <f ca="1">IFERROR(__xludf.DUMMYFUNCTION("""COMPUTED_VALUE"""),139)</f>
        <v>139</v>
      </c>
      <c r="U35" s="58">
        <f ca="1">IFERROR(__xludf.DUMMYFUNCTION("""COMPUTED_VALUE"""),212)</f>
        <v>212</v>
      </c>
      <c r="V35" s="58">
        <f ca="1">IFERROR(__xludf.DUMMYFUNCTION("""COMPUTED_VALUE"""),124)</f>
        <v>124</v>
      </c>
      <c r="W35" s="58">
        <f ca="1">IFERROR(__xludf.DUMMYFUNCTION("""COMPUTED_VALUE"""),166)</f>
        <v>166</v>
      </c>
      <c r="X35" s="58">
        <f ca="1">IFERROR(__xludf.DUMMYFUNCTION("""COMPUTED_VALUE"""),170)</f>
        <v>170</v>
      </c>
      <c r="Y35" s="58">
        <f ca="1">IFERROR(__xludf.DUMMYFUNCTION("""COMPUTED_VALUE"""),0)</f>
        <v>0</v>
      </c>
      <c r="Z35" s="58">
        <f ca="1">IFERROR(__xludf.DUMMYFUNCTION("""COMPUTED_VALUE"""),0)</f>
        <v>0</v>
      </c>
      <c r="AA35" s="58">
        <f ca="1">IFERROR(__xludf.DUMMYFUNCTION("""COMPUTED_VALUE"""),0)</f>
        <v>0</v>
      </c>
      <c r="AB35" s="58">
        <f ca="1">IFERROR(__xludf.DUMMYFUNCTION("""COMPUTED_VALUE"""),0)</f>
        <v>0</v>
      </c>
      <c r="AC35" s="58">
        <f ca="1">IFERROR(__xludf.DUMMYFUNCTION("""COMPUTED_VALUE"""),0)</f>
        <v>0</v>
      </c>
      <c r="AD35" s="58">
        <f ca="1">IFERROR(__xludf.DUMMYFUNCTION("""COMPUTED_VALUE"""),0)</f>
        <v>0</v>
      </c>
      <c r="AE35" s="110">
        <f t="shared" ref="AE35:AE37" ca="1" si="0">SUM(S35:AD35)</f>
        <v>950</v>
      </c>
      <c r="AF35" s="11">
        <f t="shared" ref="AF35:AF49" ca="1" si="1">IF(M35="Porcentaje",_xludf.concat( (ROUND(((AE35/O35)*100),1)),"%"),ROUND((AE35/4),1))</f>
        <v>237.5</v>
      </c>
      <c r="AG35" s="59">
        <f t="shared" ref="AG35:AG49" ca="1" si="2">IF(M35="Promedio",(AE35/$AG$31),AE35)</f>
        <v>316.66666666666669</v>
      </c>
    </row>
    <row r="36" spans="1:33" ht="234.6">
      <c r="A36" s="53" t="s">
        <v>88</v>
      </c>
      <c r="B36" s="60"/>
      <c r="C36" s="61" t="s">
        <v>108</v>
      </c>
      <c r="D36" s="40" t="s">
        <v>109</v>
      </c>
      <c r="E36" s="40" t="s">
        <v>110</v>
      </c>
      <c r="F36" s="40" t="s">
        <v>111</v>
      </c>
      <c r="G36" s="40" t="s">
        <v>78</v>
      </c>
      <c r="H36" s="40" t="s">
        <v>112</v>
      </c>
      <c r="I36" s="62" t="s">
        <v>113</v>
      </c>
      <c r="J36" s="62" t="s">
        <v>114</v>
      </c>
      <c r="K36" s="62" t="s">
        <v>115</v>
      </c>
      <c r="L36" s="56" t="s">
        <v>116</v>
      </c>
      <c r="M36" s="40" t="s">
        <v>84</v>
      </c>
      <c r="N36" s="40" t="s">
        <v>85</v>
      </c>
      <c r="O36" s="40">
        <v>810</v>
      </c>
      <c r="P36" s="63"/>
      <c r="Q36" s="40" t="s">
        <v>117</v>
      </c>
      <c r="R36" s="40" t="s">
        <v>118</v>
      </c>
      <c r="S36" s="58">
        <f ca="1">IFERROR(__xludf.DUMMYFUNCTION("""COMPUTED_VALUE"""),64)</f>
        <v>64</v>
      </c>
      <c r="T36" s="58">
        <f ca="1">IFERROR(__xludf.DUMMYFUNCTION("""COMPUTED_VALUE"""),47)</f>
        <v>47</v>
      </c>
      <c r="U36" s="58">
        <f ca="1">IFERROR(__xludf.DUMMYFUNCTION("""COMPUTED_VALUE"""),55)</f>
        <v>55</v>
      </c>
      <c r="V36" s="58">
        <f ca="1">IFERROR(__xludf.DUMMYFUNCTION("""COMPUTED_VALUE"""),92)</f>
        <v>92</v>
      </c>
      <c r="W36" s="58">
        <f ca="1">IFERROR(__xludf.DUMMYFUNCTION("""COMPUTED_VALUE"""),141)</f>
        <v>141</v>
      </c>
      <c r="X36" s="58">
        <f ca="1">IFERROR(__xludf.DUMMYFUNCTION("""COMPUTED_VALUE"""),98)</f>
        <v>98</v>
      </c>
      <c r="Y36" s="58">
        <f ca="1">IFERROR(__xludf.DUMMYFUNCTION("""COMPUTED_VALUE"""),0)</f>
        <v>0</v>
      </c>
      <c r="Z36" s="58">
        <f ca="1">IFERROR(__xludf.DUMMYFUNCTION("""COMPUTED_VALUE"""),0)</f>
        <v>0</v>
      </c>
      <c r="AA36" s="58">
        <f ca="1">IFERROR(__xludf.DUMMYFUNCTION("""COMPUTED_VALUE"""),0)</f>
        <v>0</v>
      </c>
      <c r="AB36" s="58">
        <f ca="1">IFERROR(__xludf.DUMMYFUNCTION("""COMPUTED_VALUE"""),0)</f>
        <v>0</v>
      </c>
      <c r="AC36" s="58">
        <f ca="1">IFERROR(__xludf.DUMMYFUNCTION("""COMPUTED_VALUE"""),0)</f>
        <v>0</v>
      </c>
      <c r="AD36" s="58">
        <f ca="1">IFERROR(__xludf.DUMMYFUNCTION("""COMPUTED_VALUE"""),0)</f>
        <v>0</v>
      </c>
      <c r="AE36" s="110">
        <f t="shared" ca="1" si="0"/>
        <v>497</v>
      </c>
      <c r="AF36" s="11" t="e">
        <f t="shared" ca="1" si="1"/>
        <v>#NAME?</v>
      </c>
      <c r="AG36" s="59">
        <f t="shared" ca="1" si="2"/>
        <v>497</v>
      </c>
    </row>
    <row r="37" spans="1:33" ht="248.4">
      <c r="A37" s="64"/>
      <c r="B37" s="65"/>
      <c r="C37" s="61" t="s">
        <v>119</v>
      </c>
      <c r="D37" s="40" t="s">
        <v>120</v>
      </c>
      <c r="E37" s="40" t="s">
        <v>121</v>
      </c>
      <c r="F37" s="40" t="s">
        <v>122</v>
      </c>
      <c r="G37" s="40" t="s">
        <v>78</v>
      </c>
      <c r="H37" s="40" t="s">
        <v>112</v>
      </c>
      <c r="I37" s="62" t="s">
        <v>123</v>
      </c>
      <c r="J37" s="62" t="s">
        <v>124</v>
      </c>
      <c r="K37" s="62" t="s">
        <v>125</v>
      </c>
      <c r="L37" s="56" t="s">
        <v>116</v>
      </c>
      <c r="M37" s="40" t="s">
        <v>84</v>
      </c>
      <c r="N37" s="40" t="s">
        <v>85</v>
      </c>
      <c r="O37" s="40">
        <v>990</v>
      </c>
      <c r="P37" s="63"/>
      <c r="Q37" s="41" t="s">
        <v>126</v>
      </c>
      <c r="R37" s="40" t="s">
        <v>127</v>
      </c>
      <c r="S37" s="58">
        <f ca="1">IFERROR(__xludf.DUMMYFUNCTION("""COMPUTED_VALUE"""),122)</f>
        <v>122</v>
      </c>
      <c r="T37" s="58">
        <f ca="1">IFERROR(__xludf.DUMMYFUNCTION("""COMPUTED_VALUE"""),103)</f>
        <v>103</v>
      </c>
      <c r="U37" s="58">
        <f ca="1">IFERROR(__xludf.DUMMYFUNCTION("""COMPUTED_VALUE"""),98)</f>
        <v>98</v>
      </c>
      <c r="V37" s="58">
        <f ca="1">IFERROR(__xludf.DUMMYFUNCTION("""COMPUTED_VALUE"""),55)</f>
        <v>55</v>
      </c>
      <c r="W37" s="58">
        <f ca="1">IFERROR(__xludf.DUMMYFUNCTION("""COMPUTED_VALUE"""),103)</f>
        <v>103</v>
      </c>
      <c r="X37" s="58">
        <f ca="1">IFERROR(__xludf.DUMMYFUNCTION("""COMPUTED_VALUE"""),91)</f>
        <v>91</v>
      </c>
      <c r="Y37" s="58">
        <f ca="1">IFERROR(__xludf.DUMMYFUNCTION("""COMPUTED_VALUE"""),0)</f>
        <v>0</v>
      </c>
      <c r="Z37" s="58">
        <f ca="1">IFERROR(__xludf.DUMMYFUNCTION("""COMPUTED_VALUE"""),0)</f>
        <v>0</v>
      </c>
      <c r="AA37" s="58">
        <f ca="1">IFERROR(__xludf.DUMMYFUNCTION("""COMPUTED_VALUE"""),0)</f>
        <v>0</v>
      </c>
      <c r="AB37" s="58">
        <f ca="1">IFERROR(__xludf.DUMMYFUNCTION("""COMPUTED_VALUE"""),0)</f>
        <v>0</v>
      </c>
      <c r="AC37" s="58">
        <f ca="1">IFERROR(__xludf.DUMMYFUNCTION("""COMPUTED_VALUE"""),0)</f>
        <v>0</v>
      </c>
      <c r="AD37" s="58">
        <f ca="1">IFERROR(__xludf.DUMMYFUNCTION("""COMPUTED_VALUE"""),0)</f>
        <v>0</v>
      </c>
      <c r="AE37" s="110">
        <f t="shared" ca="1" si="0"/>
        <v>572</v>
      </c>
      <c r="AF37" s="11" t="e">
        <f t="shared" ca="1" si="1"/>
        <v>#NAME?</v>
      </c>
      <c r="AG37" s="59">
        <f t="shared" ca="1" si="2"/>
        <v>572</v>
      </c>
    </row>
    <row r="38" spans="1:33" ht="96.6">
      <c r="A38" s="53" t="s">
        <v>74</v>
      </c>
      <c r="B38" s="66" t="s">
        <v>97</v>
      </c>
      <c r="C38" s="28" t="s">
        <v>128</v>
      </c>
      <c r="D38" s="40" t="s">
        <v>129</v>
      </c>
      <c r="E38" s="40" t="s">
        <v>130</v>
      </c>
      <c r="F38" s="40" t="s">
        <v>131</v>
      </c>
      <c r="G38" s="40" t="s">
        <v>78</v>
      </c>
      <c r="H38" s="40" t="s">
        <v>79</v>
      </c>
      <c r="I38" s="67" t="s">
        <v>260</v>
      </c>
      <c r="J38" s="67" t="s">
        <v>133</v>
      </c>
      <c r="K38" s="67">
        <v>4</v>
      </c>
      <c r="L38" s="56" t="s">
        <v>104</v>
      </c>
      <c r="M38" s="40" t="s">
        <v>105</v>
      </c>
      <c r="N38" s="68" t="s">
        <v>85</v>
      </c>
      <c r="O38" s="40">
        <v>600</v>
      </c>
      <c r="P38" s="63"/>
      <c r="Q38" s="41" t="s">
        <v>106</v>
      </c>
      <c r="R38" s="40" t="s">
        <v>134</v>
      </c>
      <c r="S38" s="58">
        <f ca="1">IFERROR(__xludf.DUMMYFUNCTION("ARRAYFORMULA( VALUE(QUERY((importrange(""1qnZqD9JI9g6d5ptLsRSkezEQSwQh8N6kbm_VLpWCLNQ"",""TOTALES!E2:P3"")),""Select*"",1)))"),133)</f>
        <v>133</v>
      </c>
      <c r="T38" s="58">
        <f ca="1">IFERROR(__xludf.DUMMYFUNCTION("""COMPUTED_VALUE"""),152)</f>
        <v>152</v>
      </c>
      <c r="U38" s="58">
        <f ca="1">IFERROR(__xludf.DUMMYFUNCTION("""COMPUTED_VALUE"""),155)</f>
        <v>155</v>
      </c>
      <c r="V38" s="58">
        <f ca="1">IFERROR(__xludf.DUMMYFUNCTION("""COMPUTED_VALUE"""),157)</f>
        <v>157</v>
      </c>
      <c r="W38" s="58">
        <f ca="1">IFERROR(__xludf.DUMMYFUNCTION("""COMPUTED_VALUE"""),167)</f>
        <v>167</v>
      </c>
      <c r="X38" s="58">
        <f ca="1">IFERROR(__xludf.DUMMYFUNCTION("""COMPUTED_VALUE"""),172)</f>
        <v>172</v>
      </c>
      <c r="Y38" s="58">
        <f ca="1">IFERROR(__xludf.DUMMYFUNCTION("""COMPUTED_VALUE"""),0)</f>
        <v>0</v>
      </c>
      <c r="Z38" s="58">
        <f ca="1">IFERROR(__xludf.DUMMYFUNCTION("""COMPUTED_VALUE"""),0)</f>
        <v>0</v>
      </c>
      <c r="AA38" s="58">
        <f ca="1">IFERROR(__xludf.DUMMYFUNCTION("""COMPUTED_VALUE"""),0)</f>
        <v>0</v>
      </c>
      <c r="AB38" s="58">
        <f ca="1">IFERROR(__xludf.DUMMYFUNCTION("""COMPUTED_VALUE"""),0)</f>
        <v>0</v>
      </c>
      <c r="AC38" s="58">
        <f ca="1">IFERROR(__xludf.DUMMYFUNCTION("""COMPUTED_VALUE"""),0)</f>
        <v>0</v>
      </c>
      <c r="AD38" s="58">
        <f ca="1">IFERROR(__xludf.DUMMYFUNCTION("""COMPUTED_VALUE"""),0)</f>
        <v>0</v>
      </c>
      <c r="AE38" s="110">
        <f t="shared" ref="AE38:AE39" ca="1" si="3">SUM(S38:U38)</f>
        <v>440</v>
      </c>
      <c r="AF38" s="11">
        <f t="shared" ca="1" si="1"/>
        <v>110</v>
      </c>
      <c r="AG38" s="59">
        <f t="shared" ca="1" si="2"/>
        <v>146.66666666666666</v>
      </c>
    </row>
    <row r="39" spans="1:33" ht="335.25" customHeight="1">
      <c r="A39" s="69" t="s">
        <v>88</v>
      </c>
      <c r="B39" s="70"/>
      <c r="C39" s="61" t="s">
        <v>135</v>
      </c>
      <c r="D39" s="71" t="s">
        <v>136</v>
      </c>
      <c r="E39" s="40" t="s">
        <v>137</v>
      </c>
      <c r="F39" s="40" t="s">
        <v>138</v>
      </c>
      <c r="G39" s="40" t="s">
        <v>78</v>
      </c>
      <c r="H39" s="40" t="s">
        <v>112</v>
      </c>
      <c r="I39" s="67" t="s">
        <v>139</v>
      </c>
      <c r="J39" s="67" t="s">
        <v>140</v>
      </c>
      <c r="K39" s="67" t="s">
        <v>141</v>
      </c>
      <c r="L39" s="56" t="s">
        <v>116</v>
      </c>
      <c r="M39" s="40" t="s">
        <v>84</v>
      </c>
      <c r="N39" s="68" t="s">
        <v>85</v>
      </c>
      <c r="O39" s="111">
        <v>5600</v>
      </c>
      <c r="P39" s="73"/>
      <c r="Q39" s="58" t="s">
        <v>142</v>
      </c>
      <c r="R39" s="40" t="s">
        <v>143</v>
      </c>
      <c r="S39" s="58">
        <f ca="1">IFERROR(__xludf.DUMMYFUNCTION("""COMPUTED_VALUE"""),475)</f>
        <v>475</v>
      </c>
      <c r="T39" s="58">
        <f ca="1">IFERROR(__xludf.DUMMYFUNCTION("""COMPUTED_VALUE"""),542)</f>
        <v>542</v>
      </c>
      <c r="U39" s="58">
        <f ca="1">IFERROR(__xludf.DUMMYFUNCTION("""COMPUTED_VALUE"""),633)</f>
        <v>633</v>
      </c>
      <c r="V39" s="58">
        <f ca="1">IFERROR(__xludf.DUMMYFUNCTION("""COMPUTED_VALUE"""),562)</f>
        <v>562</v>
      </c>
      <c r="W39" s="58">
        <f ca="1">IFERROR(__xludf.DUMMYFUNCTION("""COMPUTED_VALUE"""),715)</f>
        <v>715</v>
      </c>
      <c r="X39" s="58">
        <f ca="1">IFERROR(__xludf.DUMMYFUNCTION("""COMPUTED_VALUE"""),818)</f>
        <v>818</v>
      </c>
      <c r="Y39" s="58">
        <f ca="1">IFERROR(__xludf.DUMMYFUNCTION("""COMPUTED_VALUE"""),0)</f>
        <v>0</v>
      </c>
      <c r="Z39" s="58">
        <f ca="1">IFERROR(__xludf.DUMMYFUNCTION("""COMPUTED_VALUE"""),0)</f>
        <v>0</v>
      </c>
      <c r="AA39" s="58">
        <f ca="1">IFERROR(__xludf.DUMMYFUNCTION("""COMPUTED_VALUE"""),0)</f>
        <v>0</v>
      </c>
      <c r="AB39" s="58">
        <f ca="1">IFERROR(__xludf.DUMMYFUNCTION("""COMPUTED_VALUE"""),0)</f>
        <v>0</v>
      </c>
      <c r="AC39" s="58">
        <f ca="1">IFERROR(__xludf.DUMMYFUNCTION("""COMPUTED_VALUE"""),0)</f>
        <v>0</v>
      </c>
      <c r="AD39" s="58">
        <f ca="1">IFERROR(__xludf.DUMMYFUNCTION("""COMPUTED_VALUE"""),0)</f>
        <v>0</v>
      </c>
      <c r="AE39" s="110">
        <f t="shared" ca="1" si="3"/>
        <v>1650</v>
      </c>
      <c r="AF39" s="11" t="e">
        <f t="shared" ca="1" si="1"/>
        <v>#NAME?</v>
      </c>
      <c r="AG39" s="59">
        <f t="shared" ca="1" si="2"/>
        <v>1650</v>
      </c>
    </row>
    <row r="40" spans="1:33" ht="179.4">
      <c r="A40" s="53" t="s">
        <v>88</v>
      </c>
      <c r="B40" s="66" t="s">
        <v>97</v>
      </c>
      <c r="C40" s="28" t="s">
        <v>144</v>
      </c>
      <c r="D40" s="40" t="s">
        <v>145</v>
      </c>
      <c r="E40" s="40" t="s">
        <v>146</v>
      </c>
      <c r="F40" s="40" t="s">
        <v>147</v>
      </c>
      <c r="G40" s="40" t="s">
        <v>78</v>
      </c>
      <c r="H40" s="40" t="s">
        <v>79</v>
      </c>
      <c r="I40" s="67" t="s">
        <v>148</v>
      </c>
      <c r="J40" s="67" t="s">
        <v>149</v>
      </c>
      <c r="K40" s="67" t="s">
        <v>150</v>
      </c>
      <c r="L40" s="56" t="s">
        <v>116</v>
      </c>
      <c r="M40" s="40" t="s">
        <v>84</v>
      </c>
      <c r="N40" s="68" t="s">
        <v>85</v>
      </c>
      <c r="O40" s="41">
        <v>470</v>
      </c>
      <c r="P40" s="63"/>
      <c r="Q40" s="41" t="s">
        <v>151</v>
      </c>
      <c r="R40" s="40" t="s">
        <v>152</v>
      </c>
      <c r="S40" s="58">
        <f ca="1">IFERROR(__xludf.DUMMYFUNCTION("ARRAYFORMULA( VALUE( QUERY((importrange(""1BuxWtyq_T2SwlgyldQXGt92ejf_6kltWLvDm6IrZTYs"",""TOTALES!E2:P5"")),""Select*"",1)))"),58)</f>
        <v>58</v>
      </c>
      <c r="T40" s="58">
        <f ca="1">IFERROR(__xludf.DUMMYFUNCTION("""COMPUTED_VALUE"""),55)</f>
        <v>55</v>
      </c>
      <c r="U40" s="58">
        <f ca="1">IFERROR(__xludf.DUMMYFUNCTION("""COMPUTED_VALUE"""),76)</f>
        <v>76</v>
      </c>
      <c r="V40" s="58">
        <f ca="1">IFERROR(__xludf.DUMMYFUNCTION("""COMPUTED_VALUE"""),57)</f>
        <v>57</v>
      </c>
      <c r="W40" s="58">
        <f ca="1">IFERROR(__xludf.DUMMYFUNCTION("""COMPUTED_VALUE"""),54)</f>
        <v>54</v>
      </c>
      <c r="X40" s="58">
        <f ca="1">IFERROR(__xludf.DUMMYFUNCTION("""COMPUTED_VALUE"""),54)</f>
        <v>54</v>
      </c>
      <c r="Y40" s="58">
        <f ca="1">IFERROR(__xludf.DUMMYFUNCTION("""COMPUTED_VALUE"""),0)</f>
        <v>0</v>
      </c>
      <c r="Z40" s="58">
        <f ca="1">IFERROR(__xludf.DUMMYFUNCTION("""COMPUTED_VALUE"""),0)</f>
        <v>0</v>
      </c>
      <c r="AA40" s="58">
        <f ca="1">IFERROR(__xludf.DUMMYFUNCTION("""COMPUTED_VALUE"""),0)</f>
        <v>0</v>
      </c>
      <c r="AB40" s="58">
        <f ca="1">IFERROR(__xludf.DUMMYFUNCTION("""COMPUTED_VALUE"""),0)</f>
        <v>0</v>
      </c>
      <c r="AC40" s="58">
        <f ca="1">IFERROR(__xludf.DUMMYFUNCTION("""COMPUTED_VALUE"""),0)</f>
        <v>0</v>
      </c>
      <c r="AD40" s="58">
        <f ca="1">IFERROR(__xludf.DUMMYFUNCTION("""COMPUTED_VALUE"""),0)</f>
        <v>0</v>
      </c>
      <c r="AE40" s="110">
        <f t="shared" ref="AE40:AE49" ca="1" si="4">SUM(S40:AD40)</f>
        <v>354</v>
      </c>
      <c r="AF40" s="11" t="e">
        <f t="shared" ca="1" si="1"/>
        <v>#NAME?</v>
      </c>
      <c r="AG40" s="59">
        <f t="shared" ca="1" si="2"/>
        <v>354</v>
      </c>
    </row>
    <row r="41" spans="1:33" ht="151.80000000000001">
      <c r="A41" s="53" t="s">
        <v>74</v>
      </c>
      <c r="B41" s="70"/>
      <c r="C41" s="12" t="s">
        <v>153</v>
      </c>
      <c r="D41" s="74" t="s">
        <v>154</v>
      </c>
      <c r="E41" s="74" t="s">
        <v>155</v>
      </c>
      <c r="F41" s="40" t="s">
        <v>156</v>
      </c>
      <c r="G41" s="40" t="s">
        <v>78</v>
      </c>
      <c r="H41" s="40" t="s">
        <v>112</v>
      </c>
      <c r="I41" s="67" t="s">
        <v>261</v>
      </c>
      <c r="J41" s="67" t="s">
        <v>158</v>
      </c>
      <c r="K41" s="67">
        <v>4</v>
      </c>
      <c r="L41" s="56" t="s">
        <v>104</v>
      </c>
      <c r="M41" s="40" t="s">
        <v>105</v>
      </c>
      <c r="N41" s="57" t="s">
        <v>85</v>
      </c>
      <c r="O41" s="40">
        <v>66</v>
      </c>
      <c r="P41" s="63"/>
      <c r="Q41" s="41" t="s">
        <v>151</v>
      </c>
      <c r="R41" s="40" t="s">
        <v>159</v>
      </c>
      <c r="S41" s="58">
        <f ca="1">IFERROR(__xludf.DUMMYFUNCTION("""COMPUTED_VALUE"""),22)</f>
        <v>22</v>
      </c>
      <c r="T41" s="58">
        <f ca="1">IFERROR(__xludf.DUMMYFUNCTION("""COMPUTED_VALUE"""),24)</f>
        <v>24</v>
      </c>
      <c r="U41" s="58">
        <f ca="1">IFERROR(__xludf.DUMMYFUNCTION("""COMPUTED_VALUE"""),24)</f>
        <v>24</v>
      </c>
      <c r="V41" s="58">
        <f ca="1">IFERROR(__xludf.DUMMYFUNCTION("""COMPUTED_VALUE"""),24)</f>
        <v>24</v>
      </c>
      <c r="W41" s="58">
        <f ca="1">IFERROR(__xludf.DUMMYFUNCTION("""COMPUTED_VALUE"""),24)</f>
        <v>24</v>
      </c>
      <c r="X41" s="58">
        <f ca="1">IFERROR(__xludf.DUMMYFUNCTION("""COMPUTED_VALUE"""),24)</f>
        <v>24</v>
      </c>
      <c r="Y41" s="58">
        <f ca="1">IFERROR(__xludf.DUMMYFUNCTION("""COMPUTED_VALUE"""),0)</f>
        <v>0</v>
      </c>
      <c r="Z41" s="58">
        <f ca="1">IFERROR(__xludf.DUMMYFUNCTION("""COMPUTED_VALUE"""),0)</f>
        <v>0</v>
      </c>
      <c r="AA41" s="58">
        <f ca="1">IFERROR(__xludf.DUMMYFUNCTION("""COMPUTED_VALUE"""),0)</f>
        <v>0</v>
      </c>
      <c r="AB41" s="58">
        <f ca="1">IFERROR(__xludf.DUMMYFUNCTION("""COMPUTED_VALUE"""),0)</f>
        <v>0</v>
      </c>
      <c r="AC41" s="58">
        <f ca="1">IFERROR(__xludf.DUMMYFUNCTION("""COMPUTED_VALUE"""),0)</f>
        <v>0</v>
      </c>
      <c r="AD41" s="58">
        <f ca="1">IFERROR(__xludf.DUMMYFUNCTION("""COMPUTED_VALUE"""),0)</f>
        <v>0</v>
      </c>
      <c r="AE41" s="110">
        <f t="shared" ca="1" si="4"/>
        <v>142</v>
      </c>
      <c r="AF41" s="11">
        <f t="shared" ca="1" si="1"/>
        <v>35.5</v>
      </c>
      <c r="AG41" s="59">
        <f t="shared" ca="1" si="2"/>
        <v>47.333333333333336</v>
      </c>
    </row>
    <row r="42" spans="1:33" ht="151.80000000000001">
      <c r="A42" s="64"/>
      <c r="B42" s="70"/>
      <c r="C42" s="61" t="s">
        <v>160</v>
      </c>
      <c r="D42" s="40" t="s">
        <v>161</v>
      </c>
      <c r="E42" s="56" t="s">
        <v>262</v>
      </c>
      <c r="F42" s="40" t="s">
        <v>163</v>
      </c>
      <c r="G42" s="40" t="s">
        <v>78</v>
      </c>
      <c r="H42" s="56" t="s">
        <v>112</v>
      </c>
      <c r="I42" s="67" t="s">
        <v>164</v>
      </c>
      <c r="J42" s="67" t="s">
        <v>165</v>
      </c>
      <c r="K42" s="67" t="s">
        <v>166</v>
      </c>
      <c r="L42" s="56" t="s">
        <v>116</v>
      </c>
      <c r="M42" s="56" t="s">
        <v>84</v>
      </c>
      <c r="N42" s="75" t="s">
        <v>85</v>
      </c>
      <c r="O42" s="78">
        <v>15</v>
      </c>
      <c r="P42" s="77"/>
      <c r="Q42" s="78" t="s">
        <v>167</v>
      </c>
      <c r="R42" s="56" t="s">
        <v>168</v>
      </c>
      <c r="S42" s="58">
        <f ca="1">IFERROR(__xludf.DUMMYFUNCTION("""COMPUTED_VALUE"""),16)</f>
        <v>16</v>
      </c>
      <c r="T42" s="58">
        <f ca="1">IFERROR(__xludf.DUMMYFUNCTION("""COMPUTED_VALUE"""),0)</f>
        <v>0</v>
      </c>
      <c r="U42" s="58">
        <f ca="1">IFERROR(__xludf.DUMMYFUNCTION("""COMPUTED_VALUE"""),0)</f>
        <v>0</v>
      </c>
      <c r="V42" s="58">
        <f ca="1">IFERROR(__xludf.DUMMYFUNCTION("""COMPUTED_VALUE"""),0)</f>
        <v>0</v>
      </c>
      <c r="W42" s="58">
        <f ca="1">IFERROR(__xludf.DUMMYFUNCTION("""COMPUTED_VALUE"""),0)</f>
        <v>0</v>
      </c>
      <c r="X42" s="58">
        <f ca="1">IFERROR(__xludf.DUMMYFUNCTION("""COMPUTED_VALUE"""),0)</f>
        <v>0</v>
      </c>
      <c r="Y42" s="58">
        <f ca="1">IFERROR(__xludf.DUMMYFUNCTION("""COMPUTED_VALUE"""),0)</f>
        <v>0</v>
      </c>
      <c r="Z42" s="58">
        <f ca="1">IFERROR(__xludf.DUMMYFUNCTION("""COMPUTED_VALUE"""),0)</f>
        <v>0</v>
      </c>
      <c r="AA42" s="58">
        <f ca="1">IFERROR(__xludf.DUMMYFUNCTION("""COMPUTED_VALUE"""),0)</f>
        <v>0</v>
      </c>
      <c r="AB42" s="58">
        <f ca="1">IFERROR(__xludf.DUMMYFUNCTION("""COMPUTED_VALUE"""),0)</f>
        <v>0</v>
      </c>
      <c r="AC42" s="58">
        <f ca="1">IFERROR(__xludf.DUMMYFUNCTION("""COMPUTED_VALUE"""),0)</f>
        <v>0</v>
      </c>
      <c r="AD42" s="58">
        <f ca="1">IFERROR(__xludf.DUMMYFUNCTION("""COMPUTED_VALUE"""),0)</f>
        <v>0</v>
      </c>
      <c r="AE42" s="110">
        <f t="shared" ca="1" si="4"/>
        <v>16</v>
      </c>
      <c r="AF42" s="11" t="e">
        <f t="shared" ca="1" si="1"/>
        <v>#NAME?</v>
      </c>
      <c r="AG42" s="59">
        <f t="shared" ca="1" si="2"/>
        <v>16</v>
      </c>
    </row>
    <row r="43" spans="1:33" ht="207">
      <c r="A43" s="64"/>
      <c r="B43" s="70"/>
      <c r="C43" s="61" t="s">
        <v>169</v>
      </c>
      <c r="D43" s="40" t="s">
        <v>170</v>
      </c>
      <c r="E43" s="56" t="s">
        <v>171</v>
      </c>
      <c r="F43" s="40" t="s">
        <v>172</v>
      </c>
      <c r="G43" s="40" t="s">
        <v>78</v>
      </c>
      <c r="H43" s="56" t="s">
        <v>112</v>
      </c>
      <c r="I43" s="67" t="s">
        <v>173</v>
      </c>
      <c r="J43" s="67" t="s">
        <v>174</v>
      </c>
      <c r="K43" s="67" t="s">
        <v>175</v>
      </c>
      <c r="L43" s="56" t="s">
        <v>116</v>
      </c>
      <c r="M43" s="56" t="s">
        <v>84</v>
      </c>
      <c r="N43" s="75" t="s">
        <v>85</v>
      </c>
      <c r="O43" s="78">
        <v>25</v>
      </c>
      <c r="P43" s="77"/>
      <c r="Q43" s="78" t="s">
        <v>176</v>
      </c>
      <c r="R43" s="56" t="s">
        <v>177</v>
      </c>
      <c r="S43" s="58">
        <f ca="1">IFERROR(__xludf.DUMMYFUNCTION("""COMPUTED_VALUE"""),1)</f>
        <v>1</v>
      </c>
      <c r="T43" s="58">
        <f ca="1">IFERROR(__xludf.DUMMYFUNCTION("""COMPUTED_VALUE"""),1)</f>
        <v>1</v>
      </c>
      <c r="U43" s="58">
        <f ca="1">IFERROR(__xludf.DUMMYFUNCTION("""COMPUTED_VALUE"""),6)</f>
        <v>6</v>
      </c>
      <c r="V43" s="58">
        <f ca="1">IFERROR(__xludf.DUMMYFUNCTION("""COMPUTED_VALUE"""),12)</f>
        <v>12</v>
      </c>
      <c r="W43" s="58">
        <f ca="1">IFERROR(__xludf.DUMMYFUNCTION("""COMPUTED_VALUE"""),2)</f>
        <v>2</v>
      </c>
      <c r="X43" s="58">
        <f ca="1">IFERROR(__xludf.DUMMYFUNCTION("""COMPUTED_VALUE"""),2)</f>
        <v>2</v>
      </c>
      <c r="Y43" s="58">
        <f ca="1">IFERROR(__xludf.DUMMYFUNCTION("""COMPUTED_VALUE"""),0)</f>
        <v>0</v>
      </c>
      <c r="Z43" s="58">
        <f ca="1">IFERROR(__xludf.DUMMYFUNCTION("""COMPUTED_VALUE"""),0)</f>
        <v>0</v>
      </c>
      <c r="AA43" s="58">
        <f ca="1">IFERROR(__xludf.DUMMYFUNCTION("""COMPUTED_VALUE"""),0)</f>
        <v>0</v>
      </c>
      <c r="AB43" s="58">
        <f ca="1">IFERROR(__xludf.DUMMYFUNCTION("""COMPUTED_VALUE"""),0)</f>
        <v>0</v>
      </c>
      <c r="AC43" s="58">
        <f ca="1">IFERROR(__xludf.DUMMYFUNCTION("""COMPUTED_VALUE"""),0)</f>
        <v>0</v>
      </c>
      <c r="AD43" s="58">
        <f ca="1">IFERROR(__xludf.DUMMYFUNCTION("""COMPUTED_VALUE"""),0)</f>
        <v>0</v>
      </c>
      <c r="AE43" s="110">
        <f t="shared" ca="1" si="4"/>
        <v>24</v>
      </c>
      <c r="AF43" s="11" t="e">
        <f t="shared" ca="1" si="1"/>
        <v>#NAME?</v>
      </c>
      <c r="AG43" s="59">
        <f t="shared" ca="1" si="2"/>
        <v>24</v>
      </c>
    </row>
    <row r="44" spans="1:33" ht="179.4">
      <c r="A44" s="53" t="s">
        <v>74</v>
      </c>
      <c r="B44" s="66" t="s">
        <v>178</v>
      </c>
      <c r="C44" s="28" t="s">
        <v>179</v>
      </c>
      <c r="D44" s="40" t="s">
        <v>180</v>
      </c>
      <c r="E44" s="40" t="s">
        <v>181</v>
      </c>
      <c r="F44" s="40" t="s">
        <v>182</v>
      </c>
      <c r="G44" s="40" t="s">
        <v>78</v>
      </c>
      <c r="H44" s="56" t="s">
        <v>79</v>
      </c>
      <c r="I44" s="67" t="s">
        <v>263</v>
      </c>
      <c r="J44" s="67" t="s">
        <v>184</v>
      </c>
      <c r="K44" s="67">
        <v>4</v>
      </c>
      <c r="L44" s="56" t="s">
        <v>116</v>
      </c>
      <c r="M44" s="40" t="s">
        <v>105</v>
      </c>
      <c r="N44" s="40">
        <v>1853</v>
      </c>
      <c r="O44" s="40">
        <v>6000</v>
      </c>
      <c r="P44" s="63"/>
      <c r="Q44" s="41" t="s">
        <v>185</v>
      </c>
      <c r="R44" s="40" t="s">
        <v>186</v>
      </c>
      <c r="S44" s="58">
        <f ca="1">IFERROR(__xludf.DUMMYFUNCTION("ARRAYFORMULA( VALUE (QUERY((importrange(""1PirMVXd08mbqVBSl4ZUuF0n4D3mbmZhQftDH3YtTAIs"",""TOTALES!E2:P4"")),""Select*"",1)))"),2157)</f>
        <v>2157</v>
      </c>
      <c r="T44" s="58">
        <f ca="1">IFERROR(__xludf.DUMMYFUNCTION("""COMPUTED_VALUE"""),2758)</f>
        <v>2758</v>
      </c>
      <c r="U44" s="58">
        <f ca="1">IFERROR(__xludf.DUMMYFUNCTION("""COMPUTED_VALUE"""),3263)</f>
        <v>3263</v>
      </c>
      <c r="V44" s="58">
        <f ca="1">IFERROR(__xludf.DUMMYFUNCTION("""COMPUTED_VALUE"""),2053)</f>
        <v>2053</v>
      </c>
      <c r="W44" s="58">
        <f ca="1">IFERROR(__xludf.DUMMYFUNCTION("""COMPUTED_VALUE"""),2540)</f>
        <v>2540</v>
      </c>
      <c r="X44" s="58">
        <f ca="1">IFERROR(__xludf.DUMMYFUNCTION("""COMPUTED_VALUE"""),2468)</f>
        <v>2468</v>
      </c>
      <c r="Y44" s="58">
        <f ca="1">IFERROR(__xludf.DUMMYFUNCTION("""COMPUTED_VALUE"""),0)</f>
        <v>0</v>
      </c>
      <c r="Z44" s="58">
        <f ca="1">IFERROR(__xludf.DUMMYFUNCTION("""COMPUTED_VALUE"""),0)</f>
        <v>0</v>
      </c>
      <c r="AA44" s="58">
        <f ca="1">IFERROR(__xludf.DUMMYFUNCTION("""COMPUTED_VALUE"""),0)</f>
        <v>0</v>
      </c>
      <c r="AB44" s="58">
        <f ca="1">IFERROR(__xludf.DUMMYFUNCTION("""COMPUTED_VALUE"""),0)</f>
        <v>0</v>
      </c>
      <c r="AC44" s="58">
        <f ca="1">IFERROR(__xludf.DUMMYFUNCTION("""COMPUTED_VALUE"""),0)</f>
        <v>0</v>
      </c>
      <c r="AD44" s="58">
        <f ca="1">IFERROR(__xludf.DUMMYFUNCTION("""COMPUTED_VALUE"""),0)</f>
        <v>0</v>
      </c>
      <c r="AE44" s="110">
        <f t="shared" ca="1" si="4"/>
        <v>15239</v>
      </c>
      <c r="AF44" s="11">
        <f t="shared" ca="1" si="1"/>
        <v>3809.8</v>
      </c>
      <c r="AG44" s="59">
        <f t="shared" ca="1" si="2"/>
        <v>5079.666666666667</v>
      </c>
    </row>
    <row r="45" spans="1:33" ht="193.2">
      <c r="A45" s="64"/>
      <c r="B45" s="79"/>
      <c r="C45" s="12" t="s">
        <v>187</v>
      </c>
      <c r="D45" s="40" t="s">
        <v>188</v>
      </c>
      <c r="E45" s="40" t="s">
        <v>189</v>
      </c>
      <c r="F45" s="40" t="s">
        <v>190</v>
      </c>
      <c r="G45" s="40" t="s">
        <v>78</v>
      </c>
      <c r="H45" s="40" t="s">
        <v>112</v>
      </c>
      <c r="I45" s="67" t="s">
        <v>191</v>
      </c>
      <c r="J45" s="67" t="s">
        <v>192</v>
      </c>
      <c r="K45" s="67" t="s">
        <v>193</v>
      </c>
      <c r="L45" s="56" t="s">
        <v>116</v>
      </c>
      <c r="M45" s="40" t="s">
        <v>84</v>
      </c>
      <c r="N45" s="58">
        <v>22</v>
      </c>
      <c r="O45" s="58">
        <v>22</v>
      </c>
      <c r="P45" s="63"/>
      <c r="Q45" s="58" t="s">
        <v>185</v>
      </c>
      <c r="R45" s="40" t="s">
        <v>194</v>
      </c>
      <c r="S45" s="58">
        <f ca="1">IFERROR(__xludf.DUMMYFUNCTION("""COMPUTED_VALUE"""),3)</f>
        <v>3</v>
      </c>
      <c r="T45" s="58">
        <f ca="1">IFERROR(__xludf.DUMMYFUNCTION("""COMPUTED_VALUE"""),1)</f>
        <v>1</v>
      </c>
      <c r="U45" s="58">
        <f ca="1">IFERROR(__xludf.DUMMYFUNCTION("""COMPUTED_VALUE"""),1)</f>
        <v>1</v>
      </c>
      <c r="V45" s="58">
        <f ca="1">IFERROR(__xludf.DUMMYFUNCTION("""COMPUTED_VALUE"""),0)</f>
        <v>0</v>
      </c>
      <c r="W45" s="58">
        <f ca="1">IFERROR(__xludf.DUMMYFUNCTION("""COMPUTED_VALUE"""),0)</f>
        <v>0</v>
      </c>
      <c r="X45" s="58">
        <f ca="1">IFERROR(__xludf.DUMMYFUNCTION("""COMPUTED_VALUE"""),0)</f>
        <v>0</v>
      </c>
      <c r="Y45" s="58">
        <f ca="1">IFERROR(__xludf.DUMMYFUNCTION("""COMPUTED_VALUE"""),0)</f>
        <v>0</v>
      </c>
      <c r="Z45" s="58">
        <f ca="1">IFERROR(__xludf.DUMMYFUNCTION("""COMPUTED_VALUE"""),0)</f>
        <v>0</v>
      </c>
      <c r="AA45" s="58">
        <f ca="1">IFERROR(__xludf.DUMMYFUNCTION("""COMPUTED_VALUE"""),0)</f>
        <v>0</v>
      </c>
      <c r="AB45" s="58">
        <f ca="1">IFERROR(__xludf.DUMMYFUNCTION("""COMPUTED_VALUE"""),0)</f>
        <v>0</v>
      </c>
      <c r="AC45" s="58">
        <f ca="1">IFERROR(__xludf.DUMMYFUNCTION("""COMPUTED_VALUE"""),0)</f>
        <v>0</v>
      </c>
      <c r="AD45" s="58">
        <f ca="1">IFERROR(__xludf.DUMMYFUNCTION("""COMPUTED_VALUE"""),0)</f>
        <v>0</v>
      </c>
      <c r="AE45" s="110">
        <f t="shared" ca="1" si="4"/>
        <v>5</v>
      </c>
      <c r="AF45" s="11" t="e">
        <f t="shared" ca="1" si="1"/>
        <v>#NAME?</v>
      </c>
      <c r="AG45" s="59">
        <f t="shared" ca="1" si="2"/>
        <v>5</v>
      </c>
    </row>
    <row r="46" spans="1:33" ht="124.2">
      <c r="A46" s="53" t="s">
        <v>88</v>
      </c>
      <c r="B46" s="65"/>
      <c r="C46" s="61" t="s">
        <v>195</v>
      </c>
      <c r="D46" s="40" t="s">
        <v>196</v>
      </c>
      <c r="E46" s="40" t="s">
        <v>197</v>
      </c>
      <c r="F46" s="40" t="s">
        <v>198</v>
      </c>
      <c r="G46" s="40" t="s">
        <v>78</v>
      </c>
      <c r="H46" s="40" t="s">
        <v>112</v>
      </c>
      <c r="I46" s="67" t="s">
        <v>199</v>
      </c>
      <c r="J46" s="67" t="s">
        <v>200</v>
      </c>
      <c r="K46" s="67" t="s">
        <v>201</v>
      </c>
      <c r="L46" s="56" t="s">
        <v>116</v>
      </c>
      <c r="M46" s="40" t="s">
        <v>84</v>
      </c>
      <c r="N46" s="75" t="s">
        <v>85</v>
      </c>
      <c r="O46" s="58">
        <v>22000</v>
      </c>
      <c r="P46" s="63"/>
      <c r="Q46" s="58" t="s">
        <v>126</v>
      </c>
      <c r="R46" s="40" t="s">
        <v>202</v>
      </c>
      <c r="S46" s="58">
        <f ca="1">IFERROR(__xludf.DUMMYFUNCTION("""COMPUTED_VALUE"""),1440)</f>
        <v>1440</v>
      </c>
      <c r="T46" s="58">
        <f ca="1">IFERROR(__xludf.DUMMYFUNCTION("""COMPUTED_VALUE"""),2000)</f>
        <v>2000</v>
      </c>
      <c r="U46" s="58">
        <f ca="1">IFERROR(__xludf.DUMMYFUNCTION("""COMPUTED_VALUE"""),1900)</f>
        <v>1900</v>
      </c>
      <c r="V46" s="58">
        <f ca="1">IFERROR(__xludf.DUMMYFUNCTION("""COMPUTED_VALUE"""),1300)</f>
        <v>1300</v>
      </c>
      <c r="W46" s="58">
        <f ca="1">IFERROR(__xludf.DUMMYFUNCTION("""COMPUTED_VALUE"""),2000)</f>
        <v>2000</v>
      </c>
      <c r="X46" s="58">
        <f ca="1">IFERROR(__xludf.DUMMYFUNCTION("""COMPUTED_VALUE"""),2100)</f>
        <v>2100</v>
      </c>
      <c r="Y46" s="58">
        <f ca="1">IFERROR(__xludf.DUMMYFUNCTION("""COMPUTED_VALUE"""),0)</f>
        <v>0</v>
      </c>
      <c r="Z46" s="58">
        <f ca="1">IFERROR(__xludf.DUMMYFUNCTION("""COMPUTED_VALUE"""),0)</f>
        <v>0</v>
      </c>
      <c r="AA46" s="58">
        <f ca="1">IFERROR(__xludf.DUMMYFUNCTION("""COMPUTED_VALUE"""),0)</f>
        <v>0</v>
      </c>
      <c r="AB46" s="58">
        <f ca="1">IFERROR(__xludf.DUMMYFUNCTION("""COMPUTED_VALUE"""),0)</f>
        <v>0</v>
      </c>
      <c r="AC46" s="58">
        <f ca="1">IFERROR(__xludf.DUMMYFUNCTION("""COMPUTED_VALUE"""),0)</f>
        <v>0</v>
      </c>
      <c r="AD46" s="58">
        <f ca="1">IFERROR(__xludf.DUMMYFUNCTION("""COMPUTED_VALUE"""),0)</f>
        <v>0</v>
      </c>
      <c r="AE46" s="110">
        <f t="shared" ca="1" si="4"/>
        <v>10740</v>
      </c>
      <c r="AF46" s="11" t="e">
        <f t="shared" ca="1" si="1"/>
        <v>#NAME?</v>
      </c>
      <c r="AG46" s="59">
        <f t="shared" ca="1" si="2"/>
        <v>10740</v>
      </c>
    </row>
    <row r="47" spans="1:33" ht="276">
      <c r="A47" s="53"/>
      <c r="B47" s="66" t="s">
        <v>97</v>
      </c>
      <c r="C47" s="28" t="s">
        <v>203</v>
      </c>
      <c r="D47" s="40" t="s">
        <v>204</v>
      </c>
      <c r="E47" s="40" t="s">
        <v>205</v>
      </c>
      <c r="F47" s="40" t="s">
        <v>206</v>
      </c>
      <c r="G47" s="40" t="s">
        <v>78</v>
      </c>
      <c r="H47" s="40" t="s">
        <v>79</v>
      </c>
      <c r="I47" s="67" t="s">
        <v>207</v>
      </c>
      <c r="J47" s="67" t="s">
        <v>208</v>
      </c>
      <c r="K47" s="67" t="s">
        <v>209</v>
      </c>
      <c r="L47" s="56" t="s">
        <v>116</v>
      </c>
      <c r="M47" s="40" t="s">
        <v>84</v>
      </c>
      <c r="N47" s="75" t="s">
        <v>85</v>
      </c>
      <c r="O47" s="41">
        <v>7920</v>
      </c>
      <c r="P47" s="63"/>
      <c r="Q47" s="41" t="s">
        <v>210</v>
      </c>
      <c r="R47" s="40" t="s">
        <v>211</v>
      </c>
      <c r="S47" s="58">
        <f ca="1">IFERROR(__xludf.DUMMYFUNCTION("ARRAYFORMULA( VALUE( QUERY((importrange(""1J44ybmWLAAIJ7yiYYopnsEAVEhuIcT-civDyRmnMZlY"",""TOTALES!E2:P4"")),""Select*"",1)))"),223)</f>
        <v>223</v>
      </c>
      <c r="T47" s="58">
        <f ca="1">IFERROR(__xludf.DUMMYFUNCTION("""COMPUTED_VALUE"""),911)</f>
        <v>911</v>
      </c>
      <c r="U47" s="58">
        <f ca="1">IFERROR(__xludf.DUMMYFUNCTION("""COMPUTED_VALUE"""),998)</f>
        <v>998</v>
      </c>
      <c r="V47" s="58">
        <f ca="1">IFERROR(__xludf.DUMMYFUNCTION("""COMPUTED_VALUE"""),750)</f>
        <v>750</v>
      </c>
      <c r="W47" s="58">
        <f ca="1">IFERROR(__xludf.DUMMYFUNCTION("""COMPUTED_VALUE"""),879)</f>
        <v>879</v>
      </c>
      <c r="X47" s="58">
        <f ca="1">IFERROR(__xludf.DUMMYFUNCTION("""COMPUTED_VALUE"""),1142)</f>
        <v>1142</v>
      </c>
      <c r="Y47" s="58">
        <f ca="1">IFERROR(__xludf.DUMMYFUNCTION("""COMPUTED_VALUE"""),0)</f>
        <v>0</v>
      </c>
      <c r="Z47" s="58">
        <f ca="1">IFERROR(__xludf.DUMMYFUNCTION("""COMPUTED_VALUE"""),0)</f>
        <v>0</v>
      </c>
      <c r="AA47" s="58">
        <f ca="1">IFERROR(__xludf.DUMMYFUNCTION("""COMPUTED_VALUE"""),0)</f>
        <v>0</v>
      </c>
      <c r="AB47" s="58">
        <f ca="1">IFERROR(__xludf.DUMMYFUNCTION("""COMPUTED_VALUE"""),0)</f>
        <v>0</v>
      </c>
      <c r="AC47" s="58">
        <f ca="1">IFERROR(__xludf.DUMMYFUNCTION("""COMPUTED_VALUE"""),0)</f>
        <v>0</v>
      </c>
      <c r="AD47" s="58">
        <f ca="1">IFERROR(__xludf.DUMMYFUNCTION("""COMPUTED_VALUE"""),0)</f>
        <v>0</v>
      </c>
      <c r="AE47" s="110">
        <f t="shared" ca="1" si="4"/>
        <v>4903</v>
      </c>
      <c r="AF47" s="11" t="e">
        <f t="shared" ca="1" si="1"/>
        <v>#NAME?</v>
      </c>
      <c r="AG47" s="59">
        <f t="shared" ca="1" si="2"/>
        <v>4903</v>
      </c>
    </row>
    <row r="48" spans="1:33" ht="124.2">
      <c r="A48" s="53" t="s">
        <v>88</v>
      </c>
      <c r="B48" s="79"/>
      <c r="C48" s="12" t="s">
        <v>212</v>
      </c>
      <c r="D48" s="74" t="s">
        <v>213</v>
      </c>
      <c r="E48" s="40" t="s">
        <v>214</v>
      </c>
      <c r="F48" s="40" t="s">
        <v>215</v>
      </c>
      <c r="G48" s="40" t="s">
        <v>78</v>
      </c>
      <c r="H48" s="40" t="s">
        <v>112</v>
      </c>
      <c r="I48" s="67" t="s">
        <v>216</v>
      </c>
      <c r="J48" s="67" t="s">
        <v>217</v>
      </c>
      <c r="K48" s="67" t="s">
        <v>218</v>
      </c>
      <c r="L48" s="56" t="s">
        <v>116</v>
      </c>
      <c r="M48" s="40" t="s">
        <v>84</v>
      </c>
      <c r="N48" s="75" t="s">
        <v>85</v>
      </c>
      <c r="O48" s="58">
        <v>7250</v>
      </c>
      <c r="P48" s="42"/>
      <c r="Q48" s="58" t="s">
        <v>210</v>
      </c>
      <c r="R48" s="40" t="s">
        <v>219</v>
      </c>
      <c r="S48" s="58">
        <f ca="1">IFERROR(__xludf.DUMMYFUNCTION("""COMPUTED_VALUE"""),178)</f>
        <v>178</v>
      </c>
      <c r="T48" s="58">
        <f ca="1">IFERROR(__xludf.DUMMYFUNCTION("""COMPUTED_VALUE"""),769)</f>
        <v>769</v>
      </c>
      <c r="U48" s="58">
        <f ca="1">IFERROR(__xludf.DUMMYFUNCTION("""COMPUTED_VALUE"""),931)</f>
        <v>931</v>
      </c>
      <c r="V48" s="58">
        <f ca="1">IFERROR(__xludf.DUMMYFUNCTION("""COMPUTED_VALUE"""),660)</f>
        <v>660</v>
      </c>
      <c r="W48" s="58">
        <f ca="1">IFERROR(__xludf.DUMMYFUNCTION("""COMPUTED_VALUE"""),774)</f>
        <v>774</v>
      </c>
      <c r="X48" s="58">
        <f ca="1">IFERROR(__xludf.DUMMYFUNCTION("""COMPUTED_VALUE"""),981)</f>
        <v>981</v>
      </c>
      <c r="Y48" s="58">
        <f ca="1">IFERROR(__xludf.DUMMYFUNCTION("""COMPUTED_VALUE"""),0)</f>
        <v>0</v>
      </c>
      <c r="Z48" s="58">
        <f ca="1">IFERROR(__xludf.DUMMYFUNCTION("""COMPUTED_VALUE"""),0)</f>
        <v>0</v>
      </c>
      <c r="AA48" s="58">
        <f ca="1">IFERROR(__xludf.DUMMYFUNCTION("""COMPUTED_VALUE"""),0)</f>
        <v>0</v>
      </c>
      <c r="AB48" s="58">
        <f ca="1">IFERROR(__xludf.DUMMYFUNCTION("""COMPUTED_VALUE"""),0)</f>
        <v>0</v>
      </c>
      <c r="AC48" s="58">
        <f ca="1">IFERROR(__xludf.DUMMYFUNCTION("""COMPUTED_VALUE"""),0)</f>
        <v>0</v>
      </c>
      <c r="AD48" s="58">
        <f ca="1">IFERROR(__xludf.DUMMYFUNCTION("""COMPUTED_VALUE"""),0)</f>
        <v>0</v>
      </c>
      <c r="AE48" s="110">
        <f t="shared" ca="1" si="4"/>
        <v>4293</v>
      </c>
      <c r="AF48" s="11" t="e">
        <f t="shared" ca="1" si="1"/>
        <v>#NAME?</v>
      </c>
      <c r="AG48" s="59">
        <f t="shared" ca="1" si="2"/>
        <v>4293</v>
      </c>
    </row>
    <row r="49" spans="1:33" ht="138">
      <c r="A49" s="53" t="s">
        <v>88</v>
      </c>
      <c r="C49" s="61" t="s">
        <v>220</v>
      </c>
      <c r="D49" s="74" t="s">
        <v>221</v>
      </c>
      <c r="E49" s="40" t="s">
        <v>222</v>
      </c>
      <c r="F49" s="40" t="s">
        <v>223</v>
      </c>
      <c r="G49" s="40" t="s">
        <v>78</v>
      </c>
      <c r="H49" s="40" t="s">
        <v>112</v>
      </c>
      <c r="I49" s="67" t="s">
        <v>224</v>
      </c>
      <c r="J49" s="67" t="s">
        <v>225</v>
      </c>
      <c r="K49" s="67" t="s">
        <v>218</v>
      </c>
      <c r="L49" s="56" t="s">
        <v>116</v>
      </c>
      <c r="M49" s="40" t="s">
        <v>84</v>
      </c>
      <c r="N49" s="75" t="s">
        <v>85</v>
      </c>
      <c r="O49" s="58">
        <v>670</v>
      </c>
      <c r="P49" s="42"/>
      <c r="Q49" s="58" t="s">
        <v>210</v>
      </c>
      <c r="R49" s="40" t="s">
        <v>226</v>
      </c>
      <c r="S49" s="58">
        <f ca="1">IFERROR(__xludf.DUMMYFUNCTION("""COMPUTED_VALUE"""),45)</f>
        <v>45</v>
      </c>
      <c r="T49" s="58">
        <f ca="1">IFERROR(__xludf.DUMMYFUNCTION("""COMPUTED_VALUE"""),142)</f>
        <v>142</v>
      </c>
      <c r="U49" s="58">
        <f ca="1">IFERROR(__xludf.DUMMYFUNCTION("""COMPUTED_VALUE"""),145)</f>
        <v>145</v>
      </c>
      <c r="V49" s="58">
        <f ca="1">IFERROR(__xludf.DUMMYFUNCTION("""COMPUTED_VALUE"""),90)</f>
        <v>90</v>
      </c>
      <c r="W49" s="58">
        <f ca="1">IFERROR(__xludf.DUMMYFUNCTION("""COMPUTED_VALUE"""),105)</f>
        <v>105</v>
      </c>
      <c r="X49" s="58">
        <f ca="1">IFERROR(__xludf.DUMMYFUNCTION("""COMPUTED_VALUE"""),161)</f>
        <v>161</v>
      </c>
      <c r="Y49" s="58">
        <f ca="1">IFERROR(__xludf.DUMMYFUNCTION("""COMPUTED_VALUE"""),0)</f>
        <v>0</v>
      </c>
      <c r="Z49" s="58">
        <f ca="1">IFERROR(__xludf.DUMMYFUNCTION("""COMPUTED_VALUE"""),0)</f>
        <v>0</v>
      </c>
      <c r="AA49" s="58">
        <f ca="1">IFERROR(__xludf.DUMMYFUNCTION("""COMPUTED_VALUE"""),0)</f>
        <v>0</v>
      </c>
      <c r="AB49" s="58">
        <f ca="1">IFERROR(__xludf.DUMMYFUNCTION("""COMPUTED_VALUE"""),0)</f>
        <v>0</v>
      </c>
      <c r="AC49" s="58">
        <f ca="1">IFERROR(__xludf.DUMMYFUNCTION("""COMPUTED_VALUE"""),0)</f>
        <v>0</v>
      </c>
      <c r="AD49" s="58">
        <f ca="1">IFERROR(__xludf.DUMMYFUNCTION("""COMPUTED_VALUE"""),0)</f>
        <v>0</v>
      </c>
      <c r="AE49" s="110">
        <f t="shared" ca="1" si="4"/>
        <v>688</v>
      </c>
      <c r="AF49" s="11" t="e">
        <f t="shared" ca="1" si="1"/>
        <v>#NAME?</v>
      </c>
      <c r="AG49" s="59">
        <f t="shared" ca="1" si="2"/>
        <v>688</v>
      </c>
    </row>
    <row r="50" spans="1:33" ht="15.6">
      <c r="A50" s="19"/>
      <c r="C50" s="80"/>
      <c r="D50" s="81"/>
      <c r="E50" s="82"/>
      <c r="F50" s="82"/>
      <c r="G50" s="83"/>
      <c r="H50" s="83"/>
      <c r="I50" s="82"/>
      <c r="J50" s="84"/>
      <c r="K50" s="84"/>
      <c r="L50" s="83"/>
      <c r="M50" s="83"/>
      <c r="N50" s="85"/>
      <c r="O50" s="82"/>
      <c r="P50" s="85"/>
      <c r="Q50" s="82"/>
      <c r="R50" s="83"/>
    </row>
    <row r="51" spans="1:33" ht="15.6">
      <c r="A51" s="19"/>
      <c r="D51" s="86"/>
      <c r="E51" s="86"/>
      <c r="F51" s="86"/>
      <c r="G51" s="86"/>
      <c r="H51" s="86"/>
    </row>
    <row r="52" spans="1:33" ht="15.6">
      <c r="A52" s="19"/>
      <c r="D52" s="86"/>
      <c r="E52" s="86"/>
      <c r="F52" s="86"/>
      <c r="G52" s="86"/>
      <c r="H52" s="86"/>
    </row>
    <row r="53" spans="1:33" ht="15.6">
      <c r="A53" s="19"/>
      <c r="D53" s="86"/>
      <c r="E53" s="86"/>
      <c r="F53" s="86"/>
      <c r="G53" s="86"/>
      <c r="H53" s="86"/>
    </row>
    <row r="54" spans="1:33" ht="15.6">
      <c r="A54" s="19"/>
      <c r="D54" s="86"/>
      <c r="E54" s="86"/>
      <c r="F54" s="86"/>
      <c r="G54" s="86"/>
      <c r="H54" s="86"/>
    </row>
    <row r="55" spans="1:33" ht="15.6">
      <c r="A55" s="19"/>
      <c r="D55" s="86"/>
      <c r="E55" s="86"/>
      <c r="F55" s="86"/>
      <c r="G55" s="86"/>
      <c r="H55" s="86"/>
    </row>
    <row r="56" spans="1:33" ht="15.6">
      <c r="A56" s="19"/>
      <c r="D56" s="86"/>
      <c r="E56" s="86"/>
      <c r="F56" s="86"/>
      <c r="G56" s="86"/>
      <c r="H56" s="86"/>
    </row>
    <row r="57" spans="1:33" ht="15.6">
      <c r="A57" s="19"/>
      <c r="D57" s="86"/>
      <c r="E57" s="86"/>
      <c r="F57" s="86"/>
      <c r="G57" s="86"/>
      <c r="H57" s="86"/>
    </row>
    <row r="58" spans="1:33" ht="15.6">
      <c r="A58" s="19"/>
      <c r="D58" s="86"/>
      <c r="E58" s="86"/>
      <c r="F58" s="86"/>
      <c r="G58" s="86"/>
      <c r="H58" s="86"/>
    </row>
    <row r="59" spans="1:33" ht="15.6">
      <c r="A59" s="8"/>
      <c r="B59" s="9"/>
      <c r="C59" s="9"/>
      <c r="D59" s="70"/>
      <c r="E59" s="70"/>
      <c r="F59" s="70"/>
      <c r="G59" s="70"/>
      <c r="H59" s="70"/>
      <c r="I59" s="70"/>
      <c r="J59" s="86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33" ht="15.6">
      <c r="A60" s="64"/>
      <c r="B60" s="11"/>
      <c r="C60" s="87" t="s">
        <v>227</v>
      </c>
      <c r="D60" s="175"/>
      <c r="E60" s="176"/>
      <c r="F60" s="176"/>
      <c r="G60" s="177"/>
      <c r="H60" s="14" t="s">
        <v>7</v>
      </c>
      <c r="I60" s="168" t="s">
        <v>228</v>
      </c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4"/>
    </row>
    <row r="61" spans="1:33" ht="15.6">
      <c r="A61" s="64"/>
      <c r="B61" s="11"/>
      <c r="C61" s="12" t="s">
        <v>229</v>
      </c>
      <c r="D61" s="166"/>
      <c r="E61" s="163"/>
      <c r="F61" s="163"/>
      <c r="G61" s="164"/>
      <c r="H61" s="14" t="s">
        <v>7</v>
      </c>
      <c r="I61" s="88" t="s">
        <v>230</v>
      </c>
      <c r="J61" s="89" t="s">
        <v>231</v>
      </c>
      <c r="K61" s="89" t="s">
        <v>232</v>
      </c>
      <c r="L61" s="89" t="s">
        <v>233</v>
      </c>
      <c r="M61" s="89" t="s">
        <v>234</v>
      </c>
      <c r="N61" s="89" t="s">
        <v>41</v>
      </c>
      <c r="O61" s="89" t="s">
        <v>235</v>
      </c>
      <c r="P61" s="89" t="s">
        <v>236</v>
      </c>
      <c r="Q61" s="89" t="s">
        <v>237</v>
      </c>
      <c r="R61" s="89" t="s">
        <v>238</v>
      </c>
      <c r="S61" s="89" t="s">
        <v>239</v>
      </c>
      <c r="T61" s="89" t="s">
        <v>240</v>
      </c>
    </row>
    <row r="62" spans="1:33" ht="15.6">
      <c r="A62" s="64"/>
      <c r="B62" s="11"/>
      <c r="C62" s="12" t="s">
        <v>241</v>
      </c>
      <c r="D62" s="166"/>
      <c r="E62" s="163"/>
      <c r="F62" s="163"/>
      <c r="G62" s="164"/>
      <c r="H62" s="14" t="s">
        <v>7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</row>
    <row r="63" spans="1:33" ht="15.6">
      <c r="A63" s="64"/>
      <c r="B63" s="11"/>
      <c r="C63" s="61" t="s">
        <v>242</v>
      </c>
      <c r="D63" s="178"/>
      <c r="E63" s="163"/>
      <c r="F63" s="163"/>
      <c r="G63" s="164"/>
      <c r="H63" s="86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33" ht="15.6">
      <c r="A64" s="64"/>
      <c r="B64" s="11"/>
      <c r="C64" s="12" t="s">
        <v>243</v>
      </c>
      <c r="D64" s="179"/>
      <c r="E64" s="163"/>
      <c r="F64" s="163"/>
      <c r="G64" s="164"/>
      <c r="H64" s="14" t="s">
        <v>7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9" ht="15.6">
      <c r="A65" s="64"/>
      <c r="B65" s="11"/>
      <c r="C65" s="12" t="s">
        <v>244</v>
      </c>
      <c r="D65" s="166"/>
      <c r="E65" s="163"/>
      <c r="F65" s="163"/>
      <c r="G65" s="164"/>
      <c r="H65" s="86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9" ht="31.2">
      <c r="A66" s="64"/>
      <c r="B66" s="11"/>
      <c r="C66" s="12" t="s">
        <v>245</v>
      </c>
      <c r="D66" s="167"/>
      <c r="E66" s="163"/>
      <c r="F66" s="163"/>
      <c r="G66" s="164"/>
      <c r="H66" s="86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9" ht="15.6">
      <c r="A67" s="64"/>
      <c r="B67" s="11"/>
      <c r="C67" s="11"/>
      <c r="D67" s="86"/>
      <c r="E67" s="86"/>
      <c r="F67" s="86"/>
      <c r="G67" s="86"/>
      <c r="H67" s="86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.6">
      <c r="A68" s="64"/>
      <c r="B68" s="11"/>
      <c r="C68" s="11"/>
      <c r="D68" s="86"/>
      <c r="E68" s="86"/>
      <c r="F68" s="86"/>
      <c r="G68" s="86"/>
      <c r="H68" s="86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6">
      <c r="A69" s="19"/>
      <c r="D69" s="86"/>
      <c r="E69" s="86"/>
      <c r="F69" s="86"/>
      <c r="G69" s="86"/>
      <c r="H69" s="86"/>
    </row>
    <row r="70" spans="1:19" ht="15.6">
      <c r="A70" s="19"/>
      <c r="D70" s="86"/>
      <c r="E70" s="86"/>
      <c r="F70" s="86"/>
      <c r="G70" s="86"/>
      <c r="H70" s="86"/>
    </row>
    <row r="71" spans="1:19" ht="15.6">
      <c r="A71" s="19"/>
      <c r="D71" s="86"/>
      <c r="E71" s="86"/>
      <c r="F71" s="86"/>
      <c r="G71" s="86"/>
      <c r="H71" s="86"/>
    </row>
    <row r="72" spans="1:19" ht="15.6">
      <c r="A72" s="19"/>
      <c r="D72" s="86"/>
      <c r="E72" s="86"/>
      <c r="F72" s="86"/>
      <c r="G72" s="86"/>
      <c r="H72" s="86"/>
    </row>
    <row r="73" spans="1:19" ht="15.6">
      <c r="A73" s="19"/>
      <c r="D73" s="86"/>
      <c r="E73" s="86"/>
      <c r="F73" s="86"/>
      <c r="G73" s="86"/>
      <c r="H73" s="86"/>
    </row>
    <row r="74" spans="1:19" ht="15.6">
      <c r="A74" s="19"/>
      <c r="D74" s="86"/>
      <c r="E74" s="86"/>
      <c r="F74" s="86"/>
      <c r="G74" s="86"/>
      <c r="H74" s="86"/>
    </row>
    <row r="75" spans="1:19" ht="15.6">
      <c r="A75" s="19"/>
      <c r="D75" s="86"/>
      <c r="E75" s="86"/>
      <c r="F75" s="86"/>
      <c r="G75" s="86"/>
      <c r="H75" s="86"/>
    </row>
    <row r="76" spans="1:19" ht="15.6">
      <c r="A76" s="19"/>
      <c r="D76" s="86"/>
      <c r="E76" s="86"/>
      <c r="F76" s="86"/>
      <c r="G76" s="86"/>
      <c r="H76" s="86"/>
    </row>
    <row r="77" spans="1:19" ht="15.6">
      <c r="A77" s="19"/>
      <c r="D77" s="86"/>
      <c r="E77" s="86"/>
      <c r="F77" s="86"/>
      <c r="G77" s="86"/>
      <c r="H77" s="86"/>
    </row>
    <row r="78" spans="1:19" ht="15.6">
      <c r="A78" s="19"/>
      <c r="D78" s="86"/>
      <c r="E78" s="86"/>
      <c r="F78" s="86"/>
      <c r="G78" s="86"/>
      <c r="H78" s="86"/>
    </row>
    <row r="79" spans="1:19" ht="15.6">
      <c r="A79" s="19"/>
      <c r="D79" s="86"/>
      <c r="E79" s="86"/>
      <c r="F79" s="86"/>
      <c r="G79" s="86"/>
      <c r="H79" s="86"/>
    </row>
    <row r="80" spans="1:19" ht="15.6">
      <c r="A80" s="19"/>
      <c r="D80" s="86"/>
      <c r="E80" s="86"/>
      <c r="F80" s="86"/>
      <c r="G80" s="86"/>
      <c r="H80" s="86"/>
    </row>
    <row r="81" spans="1:8" ht="15.6">
      <c r="A81" s="19"/>
      <c r="D81" s="86"/>
      <c r="E81" s="86"/>
      <c r="F81" s="86"/>
      <c r="G81" s="86"/>
      <c r="H81" s="86"/>
    </row>
    <row r="82" spans="1:8" ht="15.6">
      <c r="A82" s="19"/>
      <c r="D82" s="86"/>
      <c r="E82" s="86"/>
      <c r="F82" s="86"/>
      <c r="G82" s="86"/>
      <c r="H82" s="86"/>
    </row>
    <row r="83" spans="1:8" ht="15.6">
      <c r="A83" s="19"/>
      <c r="D83" s="86"/>
      <c r="E83" s="86"/>
      <c r="F83" s="86"/>
      <c r="G83" s="86"/>
      <c r="H83" s="86"/>
    </row>
    <row r="84" spans="1:8" ht="15.6">
      <c r="A84" s="19"/>
      <c r="D84" s="86"/>
      <c r="E84" s="86"/>
      <c r="F84" s="86"/>
      <c r="G84" s="86"/>
      <c r="H84" s="86"/>
    </row>
    <row r="85" spans="1:8" ht="15.6">
      <c r="A85" s="19"/>
      <c r="D85" s="86"/>
      <c r="E85" s="86"/>
      <c r="F85" s="86"/>
      <c r="G85" s="86"/>
      <c r="H85" s="86"/>
    </row>
    <row r="86" spans="1:8" ht="15.6">
      <c r="A86" s="19"/>
      <c r="D86" s="86"/>
      <c r="E86" s="86"/>
      <c r="F86" s="86"/>
      <c r="G86" s="86"/>
      <c r="H86" s="86"/>
    </row>
    <row r="87" spans="1:8" ht="15.6">
      <c r="A87" s="19"/>
      <c r="D87" s="86"/>
      <c r="E87" s="86"/>
      <c r="F87" s="86"/>
      <c r="G87" s="86"/>
      <c r="H87" s="86"/>
    </row>
    <row r="88" spans="1:8" ht="15.6">
      <c r="A88" s="19"/>
      <c r="D88" s="86"/>
      <c r="E88" s="86"/>
      <c r="F88" s="86"/>
      <c r="G88" s="86"/>
      <c r="H88" s="86"/>
    </row>
    <row r="89" spans="1:8" ht="15.6">
      <c r="A89" s="19"/>
      <c r="D89" s="86"/>
      <c r="E89" s="86"/>
      <c r="F89" s="86"/>
      <c r="G89" s="86"/>
      <c r="H89" s="86"/>
    </row>
    <row r="90" spans="1:8" ht="15.6">
      <c r="A90" s="19"/>
      <c r="D90" s="86"/>
      <c r="E90" s="86"/>
      <c r="F90" s="86"/>
      <c r="G90" s="86"/>
      <c r="H90" s="86"/>
    </row>
    <row r="91" spans="1:8" ht="15.6">
      <c r="A91" s="19"/>
      <c r="D91" s="86"/>
      <c r="E91" s="86"/>
      <c r="F91" s="86"/>
      <c r="G91" s="86"/>
      <c r="H91" s="86"/>
    </row>
    <row r="92" spans="1:8" ht="15.6">
      <c r="A92" s="19"/>
      <c r="D92" s="86"/>
      <c r="E92" s="86"/>
      <c r="F92" s="86"/>
      <c r="G92" s="86"/>
      <c r="H92" s="86"/>
    </row>
    <row r="93" spans="1:8" ht="15.6">
      <c r="A93" s="19"/>
      <c r="D93" s="86"/>
      <c r="E93" s="86"/>
      <c r="F93" s="86"/>
      <c r="G93" s="86"/>
      <c r="H93" s="86"/>
    </row>
    <row r="94" spans="1:8" ht="15.6">
      <c r="A94" s="19"/>
      <c r="D94" s="86"/>
      <c r="E94" s="86"/>
      <c r="F94" s="86"/>
      <c r="G94" s="86"/>
      <c r="H94" s="86"/>
    </row>
    <row r="95" spans="1:8" ht="15.6">
      <c r="A95" s="19"/>
      <c r="D95" s="86"/>
      <c r="E95" s="86"/>
      <c r="F95" s="86"/>
      <c r="G95" s="86"/>
      <c r="H95" s="86"/>
    </row>
    <row r="96" spans="1:8" ht="15.6">
      <c r="A96" s="19"/>
      <c r="D96" s="86"/>
      <c r="E96" s="86"/>
      <c r="F96" s="86"/>
      <c r="G96" s="86"/>
      <c r="H96" s="86"/>
    </row>
    <row r="97" spans="1:8" ht="15.6">
      <c r="A97" s="19"/>
      <c r="D97" s="86"/>
      <c r="E97" s="86"/>
      <c r="F97" s="86"/>
      <c r="G97" s="86"/>
      <c r="H97" s="86"/>
    </row>
    <row r="98" spans="1:8" ht="15.6">
      <c r="A98" s="19"/>
      <c r="D98" s="86"/>
      <c r="E98" s="86"/>
      <c r="F98" s="86"/>
      <c r="G98" s="86"/>
      <c r="H98" s="86"/>
    </row>
    <row r="99" spans="1:8" ht="15.6">
      <c r="A99" s="19"/>
      <c r="D99" s="86"/>
      <c r="E99" s="86"/>
      <c r="F99" s="86"/>
      <c r="G99" s="86"/>
      <c r="H99" s="86"/>
    </row>
    <row r="100" spans="1:8" ht="15.6">
      <c r="A100" s="19"/>
      <c r="D100" s="86"/>
      <c r="E100" s="86"/>
      <c r="F100" s="86"/>
      <c r="G100" s="86"/>
      <c r="H100" s="86"/>
    </row>
    <row r="101" spans="1:8" ht="15.6">
      <c r="A101" s="19"/>
      <c r="D101" s="86"/>
      <c r="E101" s="86"/>
      <c r="F101" s="86"/>
      <c r="G101" s="86"/>
      <c r="H101" s="86"/>
    </row>
    <row r="102" spans="1:8" ht="15.6">
      <c r="A102" s="19"/>
      <c r="D102" s="86"/>
      <c r="E102" s="86"/>
      <c r="F102" s="86"/>
      <c r="G102" s="86"/>
      <c r="H102" s="86"/>
    </row>
    <row r="103" spans="1:8" ht="15.6">
      <c r="A103" s="19"/>
      <c r="D103" s="86"/>
      <c r="E103" s="86"/>
      <c r="F103" s="86"/>
      <c r="G103" s="86"/>
      <c r="H103" s="86"/>
    </row>
    <row r="104" spans="1:8" ht="15.6">
      <c r="A104" s="19"/>
      <c r="D104" s="86"/>
      <c r="E104" s="86"/>
      <c r="F104" s="86"/>
      <c r="G104" s="86"/>
      <c r="H104" s="86"/>
    </row>
    <row r="105" spans="1:8" ht="15.6">
      <c r="A105" s="19"/>
      <c r="D105" s="86"/>
      <c r="E105" s="86"/>
      <c r="F105" s="86"/>
      <c r="G105" s="86"/>
      <c r="H105" s="86"/>
    </row>
    <row r="106" spans="1:8" ht="15.6">
      <c r="A106" s="19"/>
      <c r="D106" s="86"/>
      <c r="E106" s="86"/>
      <c r="F106" s="86"/>
      <c r="G106" s="86"/>
      <c r="H106" s="86"/>
    </row>
    <row r="107" spans="1:8" ht="15.6">
      <c r="A107" s="19"/>
      <c r="D107" s="86"/>
      <c r="E107" s="86"/>
      <c r="F107" s="86"/>
      <c r="G107" s="86"/>
      <c r="H107" s="86"/>
    </row>
    <row r="108" spans="1:8" ht="15.6">
      <c r="A108" s="19"/>
      <c r="D108" s="86"/>
      <c r="E108" s="86"/>
      <c r="F108" s="86"/>
      <c r="G108" s="86"/>
      <c r="H108" s="86"/>
    </row>
    <row r="109" spans="1:8" ht="15.6">
      <c r="A109" s="19"/>
      <c r="D109" s="86"/>
      <c r="E109" s="86"/>
      <c r="F109" s="86"/>
      <c r="G109" s="86"/>
      <c r="H109" s="86"/>
    </row>
    <row r="110" spans="1:8" ht="15.6">
      <c r="A110" s="19"/>
      <c r="D110" s="86"/>
      <c r="E110" s="86"/>
      <c r="F110" s="86"/>
      <c r="G110" s="86"/>
      <c r="H110" s="86"/>
    </row>
    <row r="111" spans="1:8" ht="15.6">
      <c r="A111" s="19"/>
      <c r="D111" s="86"/>
      <c r="E111" s="86"/>
      <c r="F111" s="86"/>
      <c r="G111" s="86"/>
      <c r="H111" s="86"/>
    </row>
    <row r="112" spans="1:8" ht="15.6">
      <c r="A112" s="19"/>
      <c r="D112" s="86"/>
      <c r="E112" s="86"/>
      <c r="F112" s="86"/>
      <c r="G112" s="86"/>
      <c r="H112" s="86"/>
    </row>
    <row r="113" spans="1:8" ht="15.6">
      <c r="A113" s="19"/>
      <c r="D113" s="86"/>
      <c r="E113" s="86"/>
      <c r="F113" s="86"/>
      <c r="G113" s="86"/>
      <c r="H113" s="86"/>
    </row>
    <row r="114" spans="1:8" ht="15.6">
      <c r="A114" s="19"/>
      <c r="D114" s="86"/>
      <c r="E114" s="86"/>
      <c r="F114" s="86"/>
      <c r="G114" s="86"/>
      <c r="H114" s="86"/>
    </row>
    <row r="115" spans="1:8" ht="15.6">
      <c r="A115" s="19"/>
      <c r="D115" s="86"/>
      <c r="E115" s="86"/>
      <c r="F115" s="86"/>
      <c r="G115" s="86"/>
      <c r="H115" s="86"/>
    </row>
    <row r="116" spans="1:8" ht="15.6">
      <c r="A116" s="19"/>
      <c r="D116" s="86"/>
      <c r="E116" s="86"/>
      <c r="F116" s="86"/>
      <c r="G116" s="86"/>
      <c r="H116" s="86"/>
    </row>
    <row r="117" spans="1:8" ht="15.6">
      <c r="A117" s="19"/>
      <c r="D117" s="86"/>
      <c r="E117" s="86"/>
      <c r="F117" s="86"/>
      <c r="G117" s="86"/>
      <c r="H117" s="86"/>
    </row>
    <row r="118" spans="1:8" ht="15.6">
      <c r="A118" s="19"/>
      <c r="D118" s="86"/>
      <c r="E118" s="86"/>
      <c r="F118" s="86"/>
      <c r="G118" s="86"/>
      <c r="H118" s="86"/>
    </row>
    <row r="119" spans="1:8" ht="15.6">
      <c r="A119" s="19"/>
      <c r="D119" s="86"/>
      <c r="E119" s="86"/>
      <c r="F119" s="86"/>
      <c r="G119" s="86"/>
      <c r="H119" s="86"/>
    </row>
    <row r="120" spans="1:8" ht="15.6">
      <c r="A120" s="19"/>
      <c r="D120" s="86"/>
      <c r="E120" s="86"/>
      <c r="F120" s="86"/>
      <c r="G120" s="86"/>
      <c r="H120" s="86"/>
    </row>
    <row r="121" spans="1:8" ht="15.6">
      <c r="A121" s="19"/>
      <c r="D121" s="86"/>
      <c r="E121" s="86"/>
      <c r="F121" s="86"/>
      <c r="G121" s="86"/>
      <c r="H121" s="86"/>
    </row>
    <row r="122" spans="1:8" ht="15.6">
      <c r="A122" s="19"/>
      <c r="D122" s="86"/>
      <c r="E122" s="86"/>
      <c r="F122" s="86"/>
      <c r="G122" s="86"/>
      <c r="H122" s="86"/>
    </row>
    <row r="123" spans="1:8" ht="15.6">
      <c r="A123" s="19"/>
      <c r="D123" s="86"/>
      <c r="E123" s="86"/>
      <c r="F123" s="86"/>
      <c r="G123" s="86"/>
      <c r="H123" s="86"/>
    </row>
    <row r="124" spans="1:8" ht="15.6">
      <c r="A124" s="19"/>
      <c r="D124" s="86"/>
      <c r="E124" s="86"/>
      <c r="F124" s="86"/>
      <c r="G124" s="86"/>
      <c r="H124" s="86"/>
    </row>
    <row r="125" spans="1:8" ht="15.6">
      <c r="A125" s="19"/>
      <c r="D125" s="86"/>
      <c r="E125" s="86"/>
      <c r="F125" s="86"/>
      <c r="G125" s="86"/>
      <c r="H125" s="86"/>
    </row>
    <row r="126" spans="1:8" ht="15.6">
      <c r="A126" s="19"/>
      <c r="D126" s="86"/>
      <c r="E126" s="86"/>
      <c r="F126" s="86"/>
      <c r="G126" s="86"/>
      <c r="H126" s="86"/>
    </row>
    <row r="127" spans="1:8" ht="15.6">
      <c r="A127" s="19"/>
      <c r="D127" s="86"/>
      <c r="E127" s="86"/>
      <c r="F127" s="86"/>
      <c r="G127" s="86"/>
      <c r="H127" s="86"/>
    </row>
    <row r="128" spans="1:8" ht="15.6">
      <c r="A128" s="19"/>
      <c r="D128" s="86"/>
      <c r="E128" s="86"/>
      <c r="F128" s="86"/>
      <c r="G128" s="86"/>
      <c r="H128" s="86"/>
    </row>
    <row r="129" spans="1:8" ht="15.6">
      <c r="A129" s="19"/>
      <c r="D129" s="86"/>
      <c r="E129" s="86"/>
      <c r="F129" s="86"/>
      <c r="G129" s="86"/>
      <c r="H129" s="86"/>
    </row>
    <row r="130" spans="1:8" ht="15.6">
      <c r="A130" s="19"/>
      <c r="D130" s="86"/>
      <c r="E130" s="86"/>
      <c r="F130" s="86"/>
      <c r="G130" s="86"/>
      <c r="H130" s="86"/>
    </row>
    <row r="131" spans="1:8" ht="15.6">
      <c r="A131" s="19"/>
      <c r="D131" s="86"/>
      <c r="E131" s="86"/>
      <c r="F131" s="86"/>
      <c r="G131" s="86"/>
      <c r="H131" s="86"/>
    </row>
    <row r="132" spans="1:8" ht="15.6">
      <c r="A132" s="19"/>
      <c r="D132" s="86"/>
      <c r="E132" s="86"/>
      <c r="F132" s="86"/>
      <c r="G132" s="86"/>
      <c r="H132" s="86"/>
    </row>
    <row r="133" spans="1:8" ht="15.6">
      <c r="A133" s="19"/>
      <c r="D133" s="86"/>
      <c r="E133" s="86"/>
      <c r="F133" s="86"/>
      <c r="G133" s="86"/>
      <c r="H133" s="86"/>
    </row>
    <row r="134" spans="1:8" ht="15.6">
      <c r="A134" s="19"/>
      <c r="D134" s="86"/>
      <c r="E134" s="86"/>
      <c r="F134" s="86"/>
      <c r="G134" s="86"/>
      <c r="H134" s="86"/>
    </row>
    <row r="135" spans="1:8" ht="15.6">
      <c r="A135" s="19"/>
      <c r="D135" s="86"/>
      <c r="E135" s="86"/>
      <c r="F135" s="86"/>
      <c r="G135" s="86"/>
      <c r="H135" s="86"/>
    </row>
    <row r="136" spans="1:8" ht="15.6">
      <c r="A136" s="19"/>
      <c r="D136" s="86"/>
      <c r="E136" s="86"/>
      <c r="F136" s="86"/>
      <c r="G136" s="86"/>
      <c r="H136" s="86"/>
    </row>
    <row r="137" spans="1:8" ht="15.6">
      <c r="A137" s="19"/>
      <c r="D137" s="86"/>
      <c r="E137" s="86"/>
      <c r="F137" s="86"/>
      <c r="G137" s="86"/>
      <c r="H137" s="86"/>
    </row>
    <row r="138" spans="1:8" ht="15.6">
      <c r="A138" s="19"/>
      <c r="D138" s="86"/>
      <c r="E138" s="86"/>
      <c r="F138" s="86"/>
      <c r="G138" s="86"/>
      <c r="H138" s="86"/>
    </row>
    <row r="139" spans="1:8" ht="15.6">
      <c r="A139" s="19"/>
      <c r="D139" s="86"/>
      <c r="E139" s="86"/>
      <c r="F139" s="86"/>
      <c r="G139" s="86"/>
      <c r="H139" s="86"/>
    </row>
    <row r="140" spans="1:8" ht="15.6">
      <c r="A140" s="19"/>
      <c r="D140" s="86"/>
      <c r="E140" s="86"/>
      <c r="F140" s="86"/>
      <c r="G140" s="86"/>
      <c r="H140" s="86"/>
    </row>
    <row r="141" spans="1:8" ht="15.6">
      <c r="A141" s="19"/>
      <c r="D141" s="86"/>
      <c r="E141" s="86"/>
      <c r="F141" s="86"/>
      <c r="G141" s="86"/>
      <c r="H141" s="86"/>
    </row>
    <row r="142" spans="1:8" ht="15.6">
      <c r="A142" s="19"/>
      <c r="D142" s="86"/>
      <c r="E142" s="86"/>
      <c r="F142" s="86"/>
      <c r="G142" s="86"/>
      <c r="H142" s="86"/>
    </row>
    <row r="143" spans="1:8" ht="15.6">
      <c r="A143" s="19"/>
      <c r="D143" s="86"/>
      <c r="E143" s="86"/>
      <c r="F143" s="86"/>
      <c r="G143" s="86"/>
      <c r="H143" s="86"/>
    </row>
    <row r="144" spans="1:8" ht="15.6">
      <c r="A144" s="19"/>
      <c r="D144" s="86"/>
      <c r="E144" s="86"/>
      <c r="F144" s="86"/>
      <c r="G144" s="86"/>
      <c r="H144" s="86"/>
    </row>
    <row r="145" spans="1:8" ht="15.6">
      <c r="A145" s="19"/>
      <c r="D145" s="86"/>
      <c r="E145" s="86"/>
      <c r="F145" s="86"/>
      <c r="G145" s="86"/>
      <c r="H145" s="86"/>
    </row>
    <row r="146" spans="1:8" ht="15.6">
      <c r="A146" s="19"/>
      <c r="D146" s="86"/>
      <c r="E146" s="86"/>
      <c r="F146" s="86"/>
      <c r="G146" s="86"/>
      <c r="H146" s="86"/>
    </row>
    <row r="147" spans="1:8" ht="15.6">
      <c r="A147" s="19"/>
      <c r="D147" s="86"/>
      <c r="E147" s="86"/>
      <c r="F147" s="86"/>
      <c r="G147" s="86"/>
      <c r="H147" s="86"/>
    </row>
    <row r="148" spans="1:8" ht="15.6">
      <c r="A148" s="19"/>
      <c r="D148" s="86"/>
      <c r="E148" s="86"/>
      <c r="F148" s="86"/>
      <c r="G148" s="86"/>
      <c r="H148" s="86"/>
    </row>
    <row r="149" spans="1:8" ht="15.6">
      <c r="A149" s="19"/>
      <c r="D149" s="86"/>
      <c r="E149" s="86"/>
      <c r="F149" s="86"/>
      <c r="G149" s="86"/>
      <c r="H149" s="86"/>
    </row>
    <row r="150" spans="1:8" ht="15.6">
      <c r="A150" s="19"/>
      <c r="D150" s="86"/>
      <c r="E150" s="86"/>
      <c r="F150" s="86"/>
      <c r="G150" s="86"/>
      <c r="H150" s="86"/>
    </row>
    <row r="151" spans="1:8" ht="15.6">
      <c r="A151" s="19"/>
      <c r="D151" s="86"/>
      <c r="E151" s="86"/>
      <c r="F151" s="86"/>
      <c r="G151" s="86"/>
      <c r="H151" s="86"/>
    </row>
    <row r="152" spans="1:8" ht="15.6">
      <c r="A152" s="19"/>
      <c r="D152" s="86"/>
      <c r="E152" s="86"/>
      <c r="F152" s="86"/>
      <c r="G152" s="86"/>
      <c r="H152" s="86"/>
    </row>
    <row r="153" spans="1:8" ht="15.6">
      <c r="A153" s="19"/>
      <c r="D153" s="86"/>
      <c r="E153" s="86"/>
      <c r="F153" s="86"/>
      <c r="G153" s="86"/>
      <c r="H153" s="86"/>
    </row>
    <row r="154" spans="1:8" ht="15.6">
      <c r="A154" s="19"/>
      <c r="D154" s="86"/>
      <c r="E154" s="86"/>
      <c r="F154" s="86"/>
      <c r="G154" s="86"/>
      <c r="H154" s="86"/>
    </row>
    <row r="155" spans="1:8" ht="15.6">
      <c r="A155" s="19"/>
      <c r="D155" s="86"/>
      <c r="E155" s="86"/>
      <c r="F155" s="86"/>
      <c r="G155" s="86"/>
      <c r="H155" s="86"/>
    </row>
    <row r="156" spans="1:8" ht="15.6">
      <c r="A156" s="19"/>
      <c r="D156" s="86"/>
      <c r="E156" s="86"/>
      <c r="F156" s="86"/>
      <c r="G156" s="86"/>
      <c r="H156" s="86"/>
    </row>
    <row r="157" spans="1:8" ht="15.6">
      <c r="A157" s="19"/>
      <c r="D157" s="86"/>
      <c r="E157" s="86"/>
      <c r="F157" s="86"/>
      <c r="G157" s="86"/>
      <c r="H157" s="86"/>
    </row>
    <row r="158" spans="1:8" ht="15.6">
      <c r="A158" s="19"/>
      <c r="D158" s="86"/>
      <c r="E158" s="86"/>
      <c r="F158" s="86"/>
      <c r="G158" s="86"/>
      <c r="H158" s="86"/>
    </row>
    <row r="159" spans="1:8" ht="15.6">
      <c r="A159" s="19"/>
      <c r="D159" s="86"/>
      <c r="E159" s="86"/>
      <c r="F159" s="86"/>
      <c r="G159" s="86"/>
      <c r="H159" s="86"/>
    </row>
    <row r="160" spans="1:8" ht="15.6">
      <c r="A160" s="19"/>
      <c r="D160" s="86"/>
      <c r="E160" s="86"/>
      <c r="F160" s="86"/>
      <c r="G160" s="86"/>
      <c r="H160" s="86"/>
    </row>
    <row r="161" spans="1:8" ht="15.6">
      <c r="A161" s="19"/>
      <c r="D161" s="86"/>
      <c r="E161" s="86"/>
      <c r="F161" s="86"/>
      <c r="G161" s="86"/>
      <c r="H161" s="86"/>
    </row>
    <row r="162" spans="1:8" ht="15.6">
      <c r="A162" s="19"/>
      <c r="D162" s="86"/>
      <c r="E162" s="86"/>
      <c r="F162" s="86"/>
      <c r="G162" s="86"/>
      <c r="H162" s="86"/>
    </row>
    <row r="163" spans="1:8" ht="15.6">
      <c r="A163" s="19"/>
      <c r="D163" s="86"/>
      <c r="E163" s="86"/>
      <c r="F163" s="86"/>
      <c r="G163" s="86"/>
      <c r="H163" s="86"/>
    </row>
    <row r="164" spans="1:8" ht="15.6">
      <c r="A164" s="19"/>
      <c r="D164" s="86"/>
      <c r="E164" s="86"/>
      <c r="F164" s="86"/>
      <c r="G164" s="86"/>
      <c r="H164" s="86"/>
    </row>
    <row r="165" spans="1:8" ht="15.6">
      <c r="A165" s="19"/>
      <c r="D165" s="86"/>
      <c r="E165" s="86"/>
      <c r="F165" s="86"/>
      <c r="G165" s="86"/>
      <c r="H165" s="86"/>
    </row>
    <row r="166" spans="1:8" ht="15.6">
      <c r="A166" s="19"/>
      <c r="D166" s="86"/>
      <c r="E166" s="86"/>
      <c r="F166" s="86"/>
      <c r="G166" s="86"/>
      <c r="H166" s="86"/>
    </row>
    <row r="167" spans="1:8" ht="15.6">
      <c r="A167" s="19"/>
      <c r="D167" s="86"/>
      <c r="E167" s="86"/>
      <c r="F167" s="86"/>
      <c r="G167" s="86"/>
      <c r="H167" s="86"/>
    </row>
    <row r="168" spans="1:8" ht="15.6">
      <c r="A168" s="19"/>
      <c r="D168" s="86"/>
      <c r="E168" s="86"/>
      <c r="F168" s="86"/>
      <c r="G168" s="86"/>
      <c r="H168" s="86"/>
    </row>
    <row r="169" spans="1:8" ht="15.6">
      <c r="A169" s="19"/>
      <c r="D169" s="86"/>
      <c r="E169" s="86"/>
      <c r="F169" s="86"/>
      <c r="G169" s="86"/>
      <c r="H169" s="86"/>
    </row>
    <row r="170" spans="1:8" ht="15.6">
      <c r="A170" s="19"/>
      <c r="D170" s="86"/>
      <c r="E170" s="86"/>
      <c r="F170" s="86"/>
      <c r="G170" s="86"/>
      <c r="H170" s="86"/>
    </row>
    <row r="171" spans="1:8" ht="15.6">
      <c r="A171" s="19"/>
      <c r="D171" s="86"/>
      <c r="E171" s="86"/>
      <c r="F171" s="86"/>
      <c r="G171" s="86"/>
      <c r="H171" s="86"/>
    </row>
    <row r="172" spans="1:8" ht="15.6">
      <c r="A172" s="19"/>
      <c r="D172" s="86"/>
      <c r="E172" s="86"/>
      <c r="F172" s="86"/>
      <c r="G172" s="86"/>
      <c r="H172" s="86"/>
    </row>
    <row r="173" spans="1:8" ht="15.6">
      <c r="A173" s="19"/>
      <c r="D173" s="86"/>
      <c r="E173" s="86"/>
      <c r="F173" s="86"/>
      <c r="G173" s="86"/>
      <c r="H173" s="86"/>
    </row>
    <row r="174" spans="1:8" ht="15.6">
      <c r="A174" s="19"/>
      <c r="D174" s="86"/>
      <c r="E174" s="86"/>
      <c r="F174" s="86"/>
      <c r="G174" s="86"/>
      <c r="H174" s="86"/>
    </row>
    <row r="175" spans="1:8" ht="15.6">
      <c r="A175" s="19"/>
      <c r="D175" s="86"/>
      <c r="E175" s="86"/>
      <c r="F175" s="86"/>
      <c r="G175" s="86"/>
      <c r="H175" s="86"/>
    </row>
    <row r="176" spans="1:8" ht="15.6">
      <c r="A176" s="19"/>
      <c r="D176" s="86"/>
      <c r="E176" s="86"/>
      <c r="F176" s="86"/>
      <c r="G176" s="86"/>
      <c r="H176" s="86"/>
    </row>
    <row r="177" spans="1:8" ht="15.6">
      <c r="A177" s="19"/>
      <c r="D177" s="86"/>
      <c r="E177" s="86"/>
      <c r="F177" s="86"/>
      <c r="G177" s="86"/>
      <c r="H177" s="86"/>
    </row>
    <row r="178" spans="1:8" ht="15.6">
      <c r="A178" s="19"/>
      <c r="D178" s="86"/>
      <c r="E178" s="86"/>
      <c r="F178" s="86"/>
      <c r="G178" s="86"/>
      <c r="H178" s="86"/>
    </row>
    <row r="179" spans="1:8" ht="15.6">
      <c r="A179" s="19"/>
      <c r="D179" s="86"/>
      <c r="E179" s="86"/>
      <c r="F179" s="86"/>
      <c r="G179" s="86"/>
      <c r="H179" s="86"/>
    </row>
    <row r="180" spans="1:8" ht="15.6">
      <c r="A180" s="19"/>
      <c r="D180" s="86"/>
      <c r="E180" s="86"/>
      <c r="F180" s="86"/>
      <c r="G180" s="86"/>
      <c r="H180" s="86"/>
    </row>
    <row r="181" spans="1:8" ht="15.6">
      <c r="A181" s="19"/>
      <c r="D181" s="86"/>
      <c r="E181" s="86"/>
      <c r="F181" s="86"/>
      <c r="G181" s="86"/>
      <c r="H181" s="86"/>
    </row>
    <row r="182" spans="1:8" ht="15.6">
      <c r="A182" s="19"/>
      <c r="D182" s="86"/>
      <c r="E182" s="86"/>
      <c r="F182" s="86"/>
      <c r="G182" s="86"/>
      <c r="H182" s="86"/>
    </row>
    <row r="183" spans="1:8" ht="15.6">
      <c r="A183" s="19"/>
      <c r="D183" s="86"/>
      <c r="E183" s="86"/>
      <c r="F183" s="86"/>
      <c r="G183" s="86"/>
      <c r="H183" s="86"/>
    </row>
    <row r="184" spans="1:8" ht="15.6">
      <c r="A184" s="19"/>
      <c r="D184" s="86"/>
      <c r="E184" s="86"/>
      <c r="F184" s="86"/>
      <c r="G184" s="86"/>
      <c r="H184" s="86"/>
    </row>
    <row r="185" spans="1:8" ht="15.6">
      <c r="A185" s="19"/>
      <c r="D185" s="86"/>
      <c r="E185" s="86"/>
      <c r="F185" s="86"/>
      <c r="G185" s="86"/>
      <c r="H185" s="86"/>
    </row>
    <row r="186" spans="1:8" ht="15.6">
      <c r="A186" s="19"/>
      <c r="D186" s="86"/>
      <c r="E186" s="86"/>
      <c r="F186" s="86"/>
      <c r="G186" s="86"/>
      <c r="H186" s="86"/>
    </row>
    <row r="187" spans="1:8" ht="15.6">
      <c r="A187" s="19"/>
      <c r="D187" s="86"/>
      <c r="E187" s="86"/>
      <c r="F187" s="86"/>
      <c r="G187" s="86"/>
      <c r="H187" s="86"/>
    </row>
    <row r="188" spans="1:8" ht="15.6">
      <c r="A188" s="19"/>
      <c r="D188" s="86"/>
      <c r="E188" s="86"/>
      <c r="F188" s="86"/>
      <c r="G188" s="86"/>
      <c r="H188" s="86"/>
    </row>
    <row r="189" spans="1:8" ht="15.6">
      <c r="A189" s="19"/>
      <c r="D189" s="86"/>
      <c r="E189" s="86"/>
      <c r="F189" s="86"/>
      <c r="G189" s="86"/>
      <c r="H189" s="86"/>
    </row>
    <row r="190" spans="1:8" ht="15.6">
      <c r="A190" s="19"/>
      <c r="D190" s="86"/>
      <c r="E190" s="86"/>
      <c r="F190" s="86"/>
      <c r="G190" s="86"/>
      <c r="H190" s="86"/>
    </row>
    <row r="191" spans="1:8" ht="15.6">
      <c r="A191" s="19"/>
      <c r="D191" s="86"/>
      <c r="E191" s="86"/>
      <c r="F191" s="86"/>
      <c r="G191" s="86"/>
      <c r="H191" s="86"/>
    </row>
    <row r="192" spans="1:8" ht="15.6">
      <c r="A192" s="19"/>
      <c r="D192" s="86"/>
      <c r="E192" s="86"/>
      <c r="F192" s="86"/>
      <c r="G192" s="86"/>
      <c r="H192" s="86"/>
    </row>
    <row r="193" spans="1:8" ht="15.6">
      <c r="A193" s="19"/>
      <c r="D193" s="86"/>
      <c r="E193" s="86"/>
      <c r="F193" s="86"/>
      <c r="G193" s="86"/>
      <c r="H193" s="86"/>
    </row>
    <row r="194" spans="1:8" ht="15.6">
      <c r="A194" s="19"/>
      <c r="D194" s="86"/>
      <c r="E194" s="86"/>
      <c r="F194" s="86"/>
      <c r="G194" s="86"/>
      <c r="H194" s="86"/>
    </row>
    <row r="195" spans="1:8" ht="15.6">
      <c r="A195" s="19"/>
      <c r="D195" s="86"/>
      <c r="E195" s="86"/>
      <c r="F195" s="86"/>
      <c r="G195" s="86"/>
      <c r="H195" s="86"/>
    </row>
    <row r="196" spans="1:8" ht="15.6">
      <c r="A196" s="19"/>
      <c r="D196" s="86"/>
      <c r="E196" s="86"/>
      <c r="F196" s="86"/>
      <c r="G196" s="86"/>
      <c r="H196" s="86"/>
    </row>
    <row r="197" spans="1:8" ht="15.6">
      <c r="A197" s="19"/>
      <c r="D197" s="86"/>
      <c r="E197" s="86"/>
      <c r="F197" s="86"/>
      <c r="G197" s="86"/>
      <c r="H197" s="86"/>
    </row>
    <row r="198" spans="1:8" ht="15.6">
      <c r="A198" s="19"/>
      <c r="D198" s="86"/>
      <c r="E198" s="86"/>
      <c r="F198" s="86"/>
      <c r="G198" s="86"/>
      <c r="H198" s="86"/>
    </row>
    <row r="199" spans="1:8" ht="15.6">
      <c r="A199" s="19"/>
      <c r="D199" s="86"/>
      <c r="E199" s="86"/>
      <c r="F199" s="86"/>
      <c r="G199" s="86"/>
      <c r="H199" s="86"/>
    </row>
    <row r="200" spans="1:8" ht="15.6">
      <c r="A200" s="19"/>
      <c r="D200" s="86"/>
      <c r="E200" s="86"/>
      <c r="F200" s="86"/>
      <c r="G200" s="86"/>
      <c r="H200" s="86"/>
    </row>
    <row r="201" spans="1:8" ht="15.6">
      <c r="A201" s="19"/>
      <c r="D201" s="86"/>
      <c r="E201" s="86"/>
      <c r="F201" s="86"/>
      <c r="G201" s="86"/>
      <c r="H201" s="86"/>
    </row>
    <row r="202" spans="1:8" ht="15.6">
      <c r="A202" s="19"/>
      <c r="D202" s="86"/>
      <c r="E202" s="86"/>
      <c r="F202" s="86"/>
      <c r="G202" s="86"/>
      <c r="H202" s="86"/>
    </row>
    <row r="203" spans="1:8" ht="15.6">
      <c r="A203" s="19"/>
      <c r="D203" s="86"/>
      <c r="E203" s="86"/>
      <c r="F203" s="86"/>
      <c r="G203" s="86"/>
      <c r="H203" s="86"/>
    </row>
    <row r="204" spans="1:8" ht="15.6">
      <c r="A204" s="19"/>
      <c r="D204" s="86"/>
      <c r="E204" s="86"/>
      <c r="F204" s="86"/>
      <c r="G204" s="86"/>
      <c r="H204" s="86"/>
    </row>
    <row r="205" spans="1:8" ht="15.6">
      <c r="A205" s="19"/>
      <c r="D205" s="86"/>
      <c r="E205" s="86"/>
      <c r="F205" s="86"/>
      <c r="G205" s="86"/>
      <c r="H205" s="86"/>
    </row>
    <row r="206" spans="1:8" ht="15.6">
      <c r="A206" s="19"/>
      <c r="D206" s="86"/>
      <c r="E206" s="86"/>
      <c r="F206" s="86"/>
      <c r="G206" s="86"/>
      <c r="H206" s="86"/>
    </row>
    <row r="207" spans="1:8" ht="15.6">
      <c r="A207" s="19"/>
      <c r="D207" s="86"/>
      <c r="E207" s="86"/>
      <c r="F207" s="86"/>
      <c r="G207" s="86"/>
      <c r="H207" s="86"/>
    </row>
    <row r="208" spans="1:8" ht="15.6">
      <c r="A208" s="19"/>
      <c r="D208" s="86"/>
      <c r="E208" s="86"/>
      <c r="F208" s="86"/>
      <c r="G208" s="86"/>
      <c r="H208" s="86"/>
    </row>
    <row r="209" spans="1:8" ht="15.6">
      <c r="A209" s="19"/>
      <c r="D209" s="86"/>
      <c r="E209" s="86"/>
      <c r="F209" s="86"/>
      <c r="G209" s="86"/>
      <c r="H209" s="86"/>
    </row>
    <row r="210" spans="1:8" ht="15.6">
      <c r="A210" s="19"/>
      <c r="D210" s="86"/>
      <c r="E210" s="86"/>
      <c r="F210" s="86"/>
      <c r="G210" s="86"/>
      <c r="H210" s="86"/>
    </row>
    <row r="211" spans="1:8" ht="15.6">
      <c r="A211" s="19"/>
      <c r="D211" s="86"/>
      <c r="E211" s="86"/>
      <c r="F211" s="86"/>
      <c r="G211" s="86"/>
      <c r="H211" s="86"/>
    </row>
    <row r="212" spans="1:8" ht="15.6">
      <c r="A212" s="19"/>
      <c r="D212" s="86"/>
      <c r="E212" s="86"/>
      <c r="F212" s="86"/>
      <c r="G212" s="86"/>
      <c r="H212" s="86"/>
    </row>
    <row r="213" spans="1:8" ht="15.6">
      <c r="A213" s="19"/>
      <c r="D213" s="86"/>
      <c r="E213" s="86"/>
      <c r="F213" s="86"/>
      <c r="G213" s="86"/>
      <c r="H213" s="86"/>
    </row>
    <row r="214" spans="1:8" ht="15.6">
      <c r="A214" s="19"/>
      <c r="D214" s="86"/>
      <c r="E214" s="86"/>
      <c r="F214" s="86"/>
      <c r="G214" s="86"/>
      <c r="H214" s="86"/>
    </row>
    <row r="215" spans="1:8" ht="15.6">
      <c r="A215" s="19"/>
      <c r="D215" s="86"/>
      <c r="E215" s="86"/>
      <c r="F215" s="86"/>
      <c r="G215" s="86"/>
      <c r="H215" s="86"/>
    </row>
    <row r="216" spans="1:8" ht="15.6">
      <c r="A216" s="19"/>
      <c r="D216" s="86"/>
      <c r="E216" s="86"/>
      <c r="F216" s="86"/>
      <c r="G216" s="86"/>
      <c r="H216" s="86"/>
    </row>
    <row r="217" spans="1:8" ht="15.6">
      <c r="A217" s="19"/>
      <c r="D217" s="86"/>
      <c r="E217" s="86"/>
      <c r="F217" s="86"/>
      <c r="G217" s="86"/>
      <c r="H217" s="86"/>
    </row>
    <row r="218" spans="1:8" ht="15.6">
      <c r="A218" s="19"/>
      <c r="D218" s="86"/>
      <c r="E218" s="86"/>
      <c r="F218" s="86"/>
      <c r="G218" s="86"/>
      <c r="H218" s="86"/>
    </row>
    <row r="219" spans="1:8" ht="15.6">
      <c r="A219" s="19"/>
      <c r="D219" s="86"/>
      <c r="E219" s="86"/>
      <c r="F219" s="86"/>
      <c r="G219" s="86"/>
      <c r="H219" s="86"/>
    </row>
    <row r="220" spans="1:8" ht="15.6">
      <c r="A220" s="19"/>
      <c r="D220" s="86"/>
      <c r="E220" s="86"/>
      <c r="F220" s="86"/>
      <c r="G220" s="86"/>
      <c r="H220" s="86"/>
    </row>
    <row r="221" spans="1:8" ht="15.6">
      <c r="A221" s="19"/>
      <c r="D221" s="86"/>
      <c r="E221" s="86"/>
      <c r="F221" s="86"/>
      <c r="G221" s="86"/>
      <c r="H221" s="86"/>
    </row>
    <row r="222" spans="1:8" ht="15.6">
      <c r="A222" s="19"/>
      <c r="D222" s="86"/>
      <c r="E222" s="86"/>
      <c r="F222" s="86"/>
      <c r="G222" s="86"/>
      <c r="H222" s="86"/>
    </row>
    <row r="223" spans="1:8" ht="15.6">
      <c r="A223" s="19"/>
      <c r="D223" s="86"/>
      <c r="E223" s="86"/>
      <c r="F223" s="86"/>
      <c r="G223" s="86"/>
      <c r="H223" s="86"/>
    </row>
    <row r="224" spans="1:8" ht="15.6">
      <c r="A224" s="19"/>
      <c r="D224" s="86"/>
      <c r="E224" s="86"/>
      <c r="F224" s="86"/>
      <c r="G224" s="86"/>
      <c r="H224" s="86"/>
    </row>
    <row r="225" spans="1:8" ht="15.6">
      <c r="A225" s="19"/>
      <c r="D225" s="86"/>
      <c r="E225" s="86"/>
      <c r="F225" s="86"/>
      <c r="G225" s="86"/>
      <c r="H225" s="86"/>
    </row>
    <row r="226" spans="1:8" ht="15.6">
      <c r="A226" s="19"/>
      <c r="D226" s="86"/>
      <c r="E226" s="86"/>
      <c r="F226" s="86"/>
      <c r="G226" s="86"/>
      <c r="H226" s="86"/>
    </row>
    <row r="227" spans="1:8" ht="15.6">
      <c r="A227" s="19"/>
      <c r="D227" s="86"/>
      <c r="E227" s="86"/>
      <c r="F227" s="86"/>
      <c r="G227" s="86"/>
      <c r="H227" s="86"/>
    </row>
    <row r="228" spans="1:8" ht="15.6">
      <c r="A228" s="19"/>
      <c r="D228" s="86"/>
      <c r="E228" s="86"/>
      <c r="F228" s="86"/>
      <c r="G228" s="86"/>
      <c r="H228" s="86"/>
    </row>
    <row r="229" spans="1:8" ht="15.6">
      <c r="A229" s="19"/>
      <c r="D229" s="86"/>
      <c r="E229" s="86"/>
      <c r="F229" s="86"/>
      <c r="G229" s="86"/>
      <c r="H229" s="86"/>
    </row>
    <row r="230" spans="1:8" ht="15.6">
      <c r="A230" s="19"/>
      <c r="D230" s="86"/>
      <c r="E230" s="86"/>
      <c r="F230" s="86"/>
      <c r="G230" s="86"/>
      <c r="H230" s="86"/>
    </row>
    <row r="231" spans="1:8" ht="15.6">
      <c r="A231" s="19"/>
      <c r="D231" s="86"/>
      <c r="E231" s="86"/>
      <c r="F231" s="86"/>
      <c r="G231" s="86"/>
      <c r="H231" s="86"/>
    </row>
    <row r="232" spans="1:8" ht="15.6">
      <c r="A232" s="19"/>
      <c r="D232" s="86"/>
      <c r="E232" s="86"/>
      <c r="F232" s="86"/>
      <c r="G232" s="86"/>
      <c r="H232" s="86"/>
    </row>
    <row r="233" spans="1:8" ht="15.6">
      <c r="A233" s="19"/>
      <c r="D233" s="86"/>
      <c r="E233" s="86"/>
      <c r="F233" s="86"/>
      <c r="G233" s="86"/>
      <c r="H233" s="86"/>
    </row>
    <row r="234" spans="1:8" ht="15.6">
      <c r="A234" s="19"/>
      <c r="D234" s="86"/>
      <c r="E234" s="86"/>
      <c r="F234" s="86"/>
      <c r="G234" s="86"/>
      <c r="H234" s="86"/>
    </row>
    <row r="235" spans="1:8" ht="15.6">
      <c r="A235" s="19"/>
      <c r="D235" s="86"/>
      <c r="E235" s="86"/>
      <c r="F235" s="86"/>
      <c r="G235" s="86"/>
      <c r="H235" s="86"/>
    </row>
    <row r="236" spans="1:8" ht="15.6">
      <c r="A236" s="19"/>
      <c r="D236" s="86"/>
      <c r="E236" s="86"/>
      <c r="F236" s="86"/>
      <c r="G236" s="86"/>
      <c r="H236" s="86"/>
    </row>
    <row r="237" spans="1:8" ht="15.6">
      <c r="A237" s="19"/>
      <c r="D237" s="86"/>
      <c r="E237" s="86"/>
      <c r="F237" s="86"/>
      <c r="G237" s="86"/>
      <c r="H237" s="86"/>
    </row>
    <row r="238" spans="1:8" ht="15.6">
      <c r="A238" s="19"/>
      <c r="D238" s="86"/>
      <c r="E238" s="86"/>
      <c r="F238" s="86"/>
      <c r="G238" s="86"/>
      <c r="H238" s="86"/>
    </row>
    <row r="239" spans="1:8" ht="15.6">
      <c r="A239" s="19"/>
      <c r="D239" s="86"/>
      <c r="E239" s="86"/>
      <c r="F239" s="86"/>
      <c r="G239" s="86"/>
      <c r="H239" s="86"/>
    </row>
    <row r="240" spans="1:8" ht="15.6">
      <c r="A240" s="19"/>
      <c r="D240" s="86"/>
      <c r="E240" s="86"/>
      <c r="F240" s="86"/>
      <c r="G240" s="86"/>
      <c r="H240" s="86"/>
    </row>
    <row r="241" spans="1:8" ht="15.6">
      <c r="A241" s="19"/>
      <c r="D241" s="86"/>
      <c r="E241" s="86"/>
      <c r="F241" s="86"/>
      <c r="G241" s="86"/>
      <c r="H241" s="86"/>
    </row>
    <row r="242" spans="1:8" ht="15.6">
      <c r="A242" s="19"/>
      <c r="D242" s="86"/>
      <c r="E242" s="86"/>
      <c r="F242" s="86"/>
      <c r="G242" s="86"/>
      <c r="H242" s="86"/>
    </row>
    <row r="243" spans="1:8" ht="15.6">
      <c r="A243" s="19"/>
      <c r="D243" s="86"/>
      <c r="E243" s="86"/>
      <c r="F243" s="86"/>
      <c r="G243" s="86"/>
      <c r="H243" s="86"/>
    </row>
    <row r="244" spans="1:8" ht="15.6">
      <c r="A244" s="19"/>
      <c r="D244" s="86"/>
      <c r="E244" s="86"/>
      <c r="F244" s="86"/>
      <c r="G244" s="86"/>
      <c r="H244" s="86"/>
    </row>
    <row r="245" spans="1:8" ht="15.6">
      <c r="A245" s="19"/>
      <c r="D245" s="86"/>
      <c r="E245" s="86"/>
      <c r="F245" s="86"/>
      <c r="G245" s="86"/>
      <c r="H245" s="86"/>
    </row>
    <row r="246" spans="1:8" ht="15.6">
      <c r="A246" s="19"/>
      <c r="D246" s="86"/>
      <c r="E246" s="86"/>
      <c r="F246" s="86"/>
      <c r="G246" s="86"/>
      <c r="H246" s="86"/>
    </row>
    <row r="247" spans="1:8" ht="15.6">
      <c r="A247" s="19"/>
      <c r="D247" s="86"/>
      <c r="E247" s="86"/>
      <c r="F247" s="86"/>
      <c r="G247" s="86"/>
      <c r="H247" s="86"/>
    </row>
    <row r="248" spans="1:8" ht="15.6">
      <c r="A248" s="19"/>
      <c r="D248" s="86"/>
      <c r="E248" s="86"/>
      <c r="F248" s="86"/>
      <c r="G248" s="86"/>
      <c r="H248" s="86"/>
    </row>
    <row r="249" spans="1:8" ht="15.6">
      <c r="A249" s="19"/>
      <c r="D249" s="86"/>
      <c r="E249" s="86"/>
      <c r="F249" s="86"/>
      <c r="G249" s="86"/>
      <c r="H249" s="86"/>
    </row>
    <row r="250" spans="1:8" ht="15.6">
      <c r="A250" s="19"/>
      <c r="D250" s="86"/>
      <c r="E250" s="86"/>
      <c r="F250" s="86"/>
      <c r="G250" s="86"/>
      <c r="H250" s="86"/>
    </row>
    <row r="251" spans="1:8" ht="15.6">
      <c r="A251" s="19"/>
      <c r="D251" s="86"/>
      <c r="E251" s="86"/>
      <c r="F251" s="86"/>
      <c r="G251" s="86"/>
      <c r="H251" s="86"/>
    </row>
    <row r="252" spans="1:8" ht="15.6">
      <c r="A252" s="19"/>
      <c r="D252" s="86"/>
      <c r="E252" s="86"/>
      <c r="F252" s="86"/>
      <c r="G252" s="86"/>
      <c r="H252" s="86"/>
    </row>
    <row r="253" spans="1:8" ht="15.6">
      <c r="A253" s="19"/>
      <c r="D253" s="86"/>
      <c r="E253" s="86"/>
      <c r="F253" s="86"/>
      <c r="G253" s="86"/>
      <c r="H253" s="86"/>
    </row>
    <row r="254" spans="1:8" ht="15.6">
      <c r="A254" s="19"/>
      <c r="D254" s="86"/>
      <c r="E254" s="86"/>
      <c r="F254" s="86"/>
      <c r="G254" s="86"/>
      <c r="H254" s="86"/>
    </row>
    <row r="255" spans="1:8" ht="15.6">
      <c r="A255" s="19"/>
      <c r="D255" s="86"/>
      <c r="E255" s="86"/>
      <c r="F255" s="86"/>
      <c r="G255" s="86"/>
      <c r="H255" s="86"/>
    </row>
    <row r="256" spans="1:8" ht="15.6">
      <c r="A256" s="19"/>
      <c r="D256" s="86"/>
      <c r="E256" s="86"/>
      <c r="F256" s="86"/>
      <c r="G256" s="86"/>
      <c r="H256" s="86"/>
    </row>
    <row r="257" spans="1:8" ht="15.6">
      <c r="A257" s="19"/>
      <c r="D257" s="86"/>
      <c r="E257" s="86"/>
      <c r="F257" s="86"/>
      <c r="G257" s="86"/>
      <c r="H257" s="86"/>
    </row>
    <row r="258" spans="1:8" ht="15.6">
      <c r="A258" s="19"/>
      <c r="D258" s="86"/>
      <c r="E258" s="86"/>
      <c r="F258" s="86"/>
      <c r="G258" s="86"/>
      <c r="H258" s="86"/>
    </row>
    <row r="259" spans="1:8" ht="15.6">
      <c r="A259" s="19"/>
      <c r="D259" s="86"/>
      <c r="E259" s="86"/>
      <c r="F259" s="86"/>
      <c r="G259" s="86"/>
      <c r="H259" s="86"/>
    </row>
    <row r="260" spans="1:8" ht="15.6">
      <c r="A260" s="19"/>
      <c r="D260" s="86"/>
      <c r="E260" s="86"/>
      <c r="F260" s="86"/>
      <c r="G260" s="86"/>
      <c r="H260" s="86"/>
    </row>
    <row r="261" spans="1:8" ht="15.6">
      <c r="A261" s="19"/>
      <c r="D261" s="86"/>
      <c r="E261" s="86"/>
      <c r="F261" s="86"/>
      <c r="G261" s="86"/>
      <c r="H261" s="86"/>
    </row>
    <row r="262" spans="1:8" ht="15.6">
      <c r="A262" s="19"/>
      <c r="D262" s="86"/>
      <c r="E262" s="86"/>
      <c r="F262" s="86"/>
      <c r="G262" s="86"/>
      <c r="H262" s="86"/>
    </row>
    <row r="263" spans="1:8" ht="15.6">
      <c r="A263" s="19"/>
      <c r="D263" s="86"/>
      <c r="E263" s="86"/>
      <c r="F263" s="86"/>
      <c r="G263" s="86"/>
      <c r="H263" s="86"/>
    </row>
    <row r="264" spans="1:8" ht="15.6">
      <c r="A264" s="19"/>
      <c r="D264" s="86"/>
      <c r="E264" s="86"/>
      <c r="F264" s="86"/>
      <c r="G264" s="86"/>
      <c r="H264" s="86"/>
    </row>
    <row r="265" spans="1:8" ht="15.6">
      <c r="A265" s="19"/>
      <c r="D265" s="86"/>
      <c r="E265" s="86"/>
      <c r="F265" s="86"/>
      <c r="G265" s="86"/>
      <c r="H265" s="86"/>
    </row>
    <row r="266" spans="1:8" ht="15.6">
      <c r="A266" s="19"/>
      <c r="D266" s="86"/>
      <c r="E266" s="86"/>
      <c r="F266" s="86"/>
      <c r="G266" s="86"/>
      <c r="H266" s="86"/>
    </row>
    <row r="267" spans="1:8" ht="15.6">
      <c r="A267" s="19"/>
      <c r="D267" s="86"/>
      <c r="E267" s="86"/>
      <c r="F267" s="86"/>
      <c r="G267" s="86"/>
      <c r="H267" s="86"/>
    </row>
    <row r="268" spans="1:8" ht="15.6">
      <c r="A268" s="19"/>
      <c r="D268" s="86"/>
      <c r="E268" s="86"/>
      <c r="F268" s="86"/>
      <c r="G268" s="86"/>
      <c r="H268" s="86"/>
    </row>
    <row r="269" spans="1:8" ht="15.6">
      <c r="A269" s="19"/>
      <c r="D269" s="86"/>
      <c r="E269" s="86"/>
      <c r="F269" s="86"/>
      <c r="G269" s="86"/>
      <c r="H269" s="86"/>
    </row>
    <row r="270" spans="1:8" ht="15.6">
      <c r="A270" s="19"/>
      <c r="D270" s="86"/>
      <c r="E270" s="86"/>
      <c r="F270" s="86"/>
      <c r="G270" s="86"/>
      <c r="H270" s="86"/>
    </row>
    <row r="271" spans="1:8" ht="15.6">
      <c r="A271" s="19"/>
      <c r="D271" s="86"/>
      <c r="E271" s="86"/>
      <c r="F271" s="86"/>
      <c r="G271" s="86"/>
      <c r="H271" s="86"/>
    </row>
    <row r="272" spans="1:8" ht="15.6">
      <c r="A272" s="19"/>
      <c r="D272" s="86"/>
      <c r="E272" s="86"/>
      <c r="F272" s="86"/>
      <c r="G272" s="86"/>
      <c r="H272" s="86"/>
    </row>
    <row r="273" spans="1:8" ht="15.6">
      <c r="A273" s="19"/>
      <c r="D273" s="86"/>
      <c r="E273" s="86"/>
      <c r="F273" s="86"/>
      <c r="G273" s="86"/>
      <c r="H273" s="86"/>
    </row>
    <row r="274" spans="1:8" ht="15.6">
      <c r="A274" s="19"/>
      <c r="D274" s="86"/>
      <c r="E274" s="86"/>
      <c r="F274" s="86"/>
      <c r="G274" s="86"/>
      <c r="H274" s="86"/>
    </row>
    <row r="275" spans="1:8" ht="15.6">
      <c r="A275" s="19"/>
      <c r="D275" s="86"/>
      <c r="E275" s="86"/>
      <c r="F275" s="86"/>
      <c r="G275" s="86"/>
      <c r="H275" s="86"/>
    </row>
    <row r="276" spans="1:8" ht="15.6">
      <c r="A276" s="19"/>
      <c r="D276" s="86"/>
      <c r="E276" s="86"/>
      <c r="F276" s="86"/>
      <c r="G276" s="86"/>
      <c r="H276" s="86"/>
    </row>
    <row r="277" spans="1:8" ht="15.6">
      <c r="A277" s="19"/>
      <c r="D277" s="86"/>
      <c r="E277" s="86"/>
      <c r="F277" s="86"/>
      <c r="G277" s="86"/>
      <c r="H277" s="86"/>
    </row>
    <row r="278" spans="1:8" ht="15.6">
      <c r="A278" s="19"/>
      <c r="D278" s="86"/>
      <c r="E278" s="86"/>
      <c r="F278" s="86"/>
      <c r="G278" s="86"/>
      <c r="H278" s="86"/>
    </row>
    <row r="279" spans="1:8" ht="15.6">
      <c r="A279" s="19"/>
      <c r="D279" s="86"/>
      <c r="E279" s="86"/>
      <c r="F279" s="86"/>
      <c r="G279" s="86"/>
      <c r="H279" s="86"/>
    </row>
    <row r="280" spans="1:8" ht="15.6">
      <c r="A280" s="19"/>
      <c r="D280" s="86"/>
      <c r="E280" s="86"/>
      <c r="F280" s="86"/>
      <c r="G280" s="86"/>
      <c r="H280" s="86"/>
    </row>
    <row r="281" spans="1:8" ht="15.6">
      <c r="A281" s="19"/>
      <c r="D281" s="86"/>
      <c r="E281" s="86"/>
      <c r="F281" s="86"/>
      <c r="G281" s="86"/>
      <c r="H281" s="86"/>
    </row>
    <row r="282" spans="1:8" ht="15.6">
      <c r="A282" s="19"/>
      <c r="D282" s="86"/>
      <c r="E282" s="86"/>
      <c r="F282" s="86"/>
      <c r="G282" s="86"/>
      <c r="H282" s="86"/>
    </row>
    <row r="283" spans="1:8" ht="15.6">
      <c r="A283" s="19"/>
      <c r="D283" s="86"/>
      <c r="E283" s="86"/>
      <c r="F283" s="86"/>
      <c r="G283" s="86"/>
      <c r="H283" s="86"/>
    </row>
    <row r="284" spans="1:8" ht="15.6">
      <c r="A284" s="19"/>
      <c r="D284" s="86"/>
      <c r="E284" s="86"/>
      <c r="F284" s="86"/>
      <c r="G284" s="86"/>
      <c r="H284" s="86"/>
    </row>
    <row r="285" spans="1:8" ht="15.6">
      <c r="A285" s="19"/>
      <c r="D285" s="86"/>
      <c r="E285" s="86"/>
      <c r="F285" s="86"/>
      <c r="G285" s="86"/>
      <c r="H285" s="86"/>
    </row>
    <row r="286" spans="1:8" ht="15.6">
      <c r="A286" s="19"/>
      <c r="D286" s="86"/>
      <c r="E286" s="86"/>
      <c r="F286" s="86"/>
      <c r="G286" s="86"/>
      <c r="H286" s="86"/>
    </row>
    <row r="287" spans="1:8" ht="15.6">
      <c r="A287" s="19"/>
      <c r="D287" s="86"/>
      <c r="E287" s="86"/>
      <c r="F287" s="86"/>
      <c r="G287" s="86"/>
      <c r="H287" s="86"/>
    </row>
    <row r="288" spans="1:8" ht="15.6">
      <c r="A288" s="19"/>
      <c r="D288" s="86"/>
      <c r="E288" s="86"/>
      <c r="F288" s="86"/>
      <c r="G288" s="86"/>
      <c r="H288" s="86"/>
    </row>
    <row r="289" spans="1:8" ht="15.6">
      <c r="A289" s="19"/>
      <c r="D289" s="86"/>
      <c r="E289" s="86"/>
      <c r="F289" s="86"/>
      <c r="G289" s="86"/>
      <c r="H289" s="86"/>
    </row>
    <row r="290" spans="1:8" ht="15.6">
      <c r="A290" s="19"/>
      <c r="D290" s="86"/>
      <c r="E290" s="86"/>
      <c r="F290" s="86"/>
      <c r="G290" s="86"/>
      <c r="H290" s="86"/>
    </row>
    <row r="291" spans="1:8" ht="15.6">
      <c r="A291" s="19"/>
      <c r="D291" s="86"/>
      <c r="E291" s="86"/>
      <c r="F291" s="86"/>
      <c r="G291" s="86"/>
      <c r="H291" s="86"/>
    </row>
    <row r="292" spans="1:8" ht="15.6">
      <c r="A292" s="19"/>
      <c r="D292" s="86"/>
      <c r="E292" s="86"/>
      <c r="F292" s="86"/>
      <c r="G292" s="86"/>
      <c r="H292" s="86"/>
    </row>
    <row r="293" spans="1:8" ht="15.6">
      <c r="A293" s="19"/>
      <c r="D293" s="86"/>
      <c r="E293" s="86"/>
      <c r="F293" s="86"/>
      <c r="G293" s="86"/>
      <c r="H293" s="86"/>
    </row>
    <row r="294" spans="1:8" ht="15.6">
      <c r="A294" s="19"/>
      <c r="D294" s="86"/>
      <c r="E294" s="86"/>
      <c r="F294" s="86"/>
      <c r="G294" s="86"/>
      <c r="H294" s="86"/>
    </row>
    <row r="295" spans="1:8" ht="15.6">
      <c r="A295" s="19"/>
      <c r="D295" s="86"/>
      <c r="E295" s="86"/>
      <c r="F295" s="86"/>
      <c r="G295" s="86"/>
      <c r="H295" s="86"/>
    </row>
    <row r="296" spans="1:8" ht="15.6">
      <c r="A296" s="19"/>
      <c r="D296" s="86"/>
      <c r="E296" s="86"/>
      <c r="F296" s="86"/>
      <c r="G296" s="86"/>
      <c r="H296" s="86"/>
    </row>
    <row r="297" spans="1:8" ht="15.6">
      <c r="A297" s="19"/>
      <c r="D297" s="86"/>
      <c r="E297" s="86"/>
      <c r="F297" s="86"/>
      <c r="G297" s="86"/>
      <c r="H297" s="86"/>
    </row>
    <row r="298" spans="1:8" ht="15.6">
      <c r="A298" s="19"/>
      <c r="D298" s="86"/>
      <c r="E298" s="86"/>
      <c r="F298" s="86"/>
      <c r="G298" s="86"/>
      <c r="H298" s="86"/>
    </row>
    <row r="299" spans="1:8" ht="15.6">
      <c r="A299" s="19"/>
      <c r="D299" s="86"/>
      <c r="E299" s="86"/>
      <c r="F299" s="86"/>
      <c r="G299" s="86"/>
      <c r="H299" s="86"/>
    </row>
    <row r="300" spans="1:8" ht="15.6">
      <c r="A300" s="19"/>
      <c r="D300" s="86"/>
      <c r="E300" s="86"/>
      <c r="F300" s="86"/>
      <c r="G300" s="86"/>
      <c r="H300" s="86"/>
    </row>
    <row r="301" spans="1:8" ht="15.6">
      <c r="A301" s="19"/>
      <c r="D301" s="86"/>
      <c r="E301" s="86"/>
      <c r="F301" s="86"/>
      <c r="G301" s="86"/>
      <c r="H301" s="86"/>
    </row>
    <row r="302" spans="1:8" ht="15.6">
      <c r="A302" s="19"/>
      <c r="D302" s="86"/>
      <c r="E302" s="86"/>
      <c r="F302" s="86"/>
      <c r="G302" s="86"/>
      <c r="H302" s="86"/>
    </row>
    <row r="303" spans="1:8" ht="15.6">
      <c r="A303" s="19"/>
      <c r="D303" s="86"/>
      <c r="E303" s="86"/>
      <c r="F303" s="86"/>
      <c r="G303" s="86"/>
      <c r="H303" s="86"/>
    </row>
    <row r="304" spans="1:8" ht="15.6">
      <c r="A304" s="19"/>
      <c r="D304" s="86"/>
      <c r="E304" s="86"/>
      <c r="F304" s="86"/>
      <c r="G304" s="86"/>
      <c r="H304" s="86"/>
    </row>
    <row r="305" spans="1:8" ht="15.6">
      <c r="A305" s="19"/>
      <c r="D305" s="86"/>
      <c r="E305" s="86"/>
      <c r="F305" s="86"/>
      <c r="G305" s="86"/>
      <c r="H305" s="86"/>
    </row>
    <row r="306" spans="1:8" ht="15.6">
      <c r="A306" s="19"/>
      <c r="D306" s="86"/>
      <c r="E306" s="86"/>
      <c r="F306" s="86"/>
      <c r="G306" s="86"/>
      <c r="H306" s="86"/>
    </row>
    <row r="307" spans="1:8" ht="15.6">
      <c r="A307" s="19"/>
      <c r="D307" s="86"/>
      <c r="E307" s="86"/>
      <c r="F307" s="86"/>
      <c r="G307" s="86"/>
      <c r="H307" s="86"/>
    </row>
    <row r="308" spans="1:8" ht="15.6">
      <c r="A308" s="19"/>
      <c r="D308" s="86"/>
      <c r="E308" s="86"/>
      <c r="F308" s="86"/>
      <c r="G308" s="86"/>
      <c r="H308" s="86"/>
    </row>
    <row r="309" spans="1:8" ht="15.6">
      <c r="A309" s="19"/>
      <c r="D309" s="86"/>
      <c r="E309" s="86"/>
      <c r="F309" s="86"/>
      <c r="G309" s="86"/>
      <c r="H309" s="86"/>
    </row>
    <row r="310" spans="1:8" ht="15.6">
      <c r="A310" s="19"/>
      <c r="D310" s="86"/>
      <c r="E310" s="86"/>
      <c r="F310" s="86"/>
      <c r="G310" s="86"/>
      <c r="H310" s="86"/>
    </row>
    <row r="311" spans="1:8" ht="15.6">
      <c r="A311" s="19"/>
      <c r="D311" s="86"/>
      <c r="E311" s="86"/>
      <c r="F311" s="86"/>
      <c r="G311" s="86"/>
      <c r="H311" s="86"/>
    </row>
    <row r="312" spans="1:8" ht="15.6">
      <c r="A312" s="19"/>
      <c r="D312" s="86"/>
      <c r="E312" s="86"/>
      <c r="F312" s="86"/>
      <c r="G312" s="86"/>
      <c r="H312" s="86"/>
    </row>
    <row r="313" spans="1:8" ht="15.6">
      <c r="A313" s="19"/>
      <c r="D313" s="86"/>
      <c r="E313" s="86"/>
      <c r="F313" s="86"/>
      <c r="G313" s="86"/>
      <c r="H313" s="86"/>
    </row>
    <row r="314" spans="1:8" ht="15.6">
      <c r="A314" s="19"/>
      <c r="D314" s="86"/>
      <c r="E314" s="86"/>
      <c r="F314" s="86"/>
      <c r="G314" s="86"/>
      <c r="H314" s="86"/>
    </row>
    <row r="315" spans="1:8" ht="15.6">
      <c r="A315" s="19"/>
      <c r="D315" s="86"/>
      <c r="E315" s="86"/>
      <c r="F315" s="86"/>
      <c r="G315" s="86"/>
      <c r="H315" s="86"/>
    </row>
    <row r="316" spans="1:8" ht="15.6">
      <c r="A316" s="19"/>
      <c r="D316" s="86"/>
      <c r="E316" s="86"/>
      <c r="F316" s="86"/>
      <c r="G316" s="86"/>
      <c r="H316" s="86"/>
    </row>
    <row r="317" spans="1:8" ht="15.6">
      <c r="A317" s="19"/>
      <c r="D317" s="86"/>
      <c r="E317" s="86"/>
      <c r="F317" s="86"/>
      <c r="G317" s="86"/>
      <c r="H317" s="86"/>
    </row>
    <row r="318" spans="1:8" ht="15.6">
      <c r="A318" s="19"/>
      <c r="D318" s="86"/>
      <c r="E318" s="86"/>
      <c r="F318" s="86"/>
      <c r="G318" s="86"/>
      <c r="H318" s="86"/>
    </row>
    <row r="319" spans="1:8" ht="15.6">
      <c r="A319" s="19"/>
      <c r="D319" s="86"/>
      <c r="E319" s="86"/>
      <c r="F319" s="86"/>
      <c r="G319" s="86"/>
      <c r="H319" s="86"/>
    </row>
    <row r="320" spans="1:8" ht="15.6">
      <c r="A320" s="19"/>
      <c r="D320" s="86"/>
      <c r="E320" s="86"/>
      <c r="F320" s="86"/>
      <c r="G320" s="86"/>
      <c r="H320" s="86"/>
    </row>
    <row r="321" spans="1:8" ht="15.6">
      <c r="A321" s="19"/>
      <c r="D321" s="86"/>
      <c r="E321" s="86"/>
      <c r="F321" s="86"/>
      <c r="G321" s="86"/>
      <c r="H321" s="86"/>
    </row>
    <row r="322" spans="1:8" ht="15.6">
      <c r="A322" s="19"/>
      <c r="D322" s="86"/>
      <c r="E322" s="86"/>
      <c r="F322" s="86"/>
      <c r="G322" s="86"/>
      <c r="H322" s="86"/>
    </row>
    <row r="323" spans="1:8" ht="15.6">
      <c r="A323" s="19"/>
      <c r="D323" s="86"/>
      <c r="E323" s="86"/>
      <c r="F323" s="86"/>
      <c r="G323" s="86"/>
      <c r="H323" s="86"/>
    </row>
    <row r="324" spans="1:8" ht="15.6">
      <c r="A324" s="19"/>
      <c r="D324" s="86"/>
      <c r="E324" s="86"/>
      <c r="F324" s="86"/>
      <c r="G324" s="86"/>
      <c r="H324" s="86"/>
    </row>
    <row r="325" spans="1:8" ht="15.6">
      <c r="A325" s="19"/>
      <c r="D325" s="86"/>
      <c r="E325" s="86"/>
      <c r="F325" s="86"/>
      <c r="G325" s="86"/>
      <c r="H325" s="86"/>
    </row>
    <row r="326" spans="1:8" ht="15.6">
      <c r="A326" s="19"/>
      <c r="D326" s="86"/>
      <c r="E326" s="86"/>
      <c r="F326" s="86"/>
      <c r="G326" s="86"/>
      <c r="H326" s="86"/>
    </row>
    <row r="327" spans="1:8" ht="15.6">
      <c r="A327" s="19"/>
      <c r="D327" s="86"/>
      <c r="E327" s="86"/>
      <c r="F327" s="86"/>
      <c r="G327" s="86"/>
      <c r="H327" s="86"/>
    </row>
    <row r="328" spans="1:8" ht="15.6">
      <c r="A328" s="19"/>
      <c r="D328" s="86"/>
      <c r="E328" s="86"/>
      <c r="F328" s="86"/>
      <c r="G328" s="86"/>
      <c r="H328" s="86"/>
    </row>
    <row r="329" spans="1:8" ht="15.6">
      <c r="A329" s="19"/>
      <c r="D329" s="86"/>
      <c r="E329" s="86"/>
      <c r="F329" s="86"/>
      <c r="G329" s="86"/>
      <c r="H329" s="86"/>
    </row>
    <row r="330" spans="1:8" ht="15.6">
      <c r="A330" s="19"/>
      <c r="D330" s="86"/>
      <c r="E330" s="86"/>
      <c r="F330" s="86"/>
      <c r="G330" s="86"/>
      <c r="H330" s="86"/>
    </row>
    <row r="331" spans="1:8" ht="15.6">
      <c r="A331" s="19"/>
      <c r="D331" s="86"/>
      <c r="E331" s="86"/>
      <c r="F331" s="86"/>
      <c r="G331" s="86"/>
      <c r="H331" s="86"/>
    </row>
    <row r="332" spans="1:8" ht="15.6">
      <c r="A332" s="19"/>
      <c r="D332" s="86"/>
      <c r="E332" s="86"/>
      <c r="F332" s="86"/>
      <c r="G332" s="86"/>
      <c r="H332" s="86"/>
    </row>
    <row r="333" spans="1:8" ht="15.6">
      <c r="A333" s="19"/>
      <c r="D333" s="86"/>
      <c r="E333" s="86"/>
      <c r="F333" s="86"/>
      <c r="G333" s="86"/>
      <c r="H333" s="86"/>
    </row>
    <row r="334" spans="1:8" ht="15.6">
      <c r="A334" s="19"/>
      <c r="D334" s="86"/>
      <c r="E334" s="86"/>
      <c r="F334" s="86"/>
      <c r="G334" s="86"/>
      <c r="H334" s="86"/>
    </row>
    <row r="335" spans="1:8" ht="15.6">
      <c r="A335" s="19"/>
      <c r="D335" s="86"/>
      <c r="E335" s="86"/>
      <c r="F335" s="86"/>
      <c r="G335" s="86"/>
      <c r="H335" s="86"/>
    </row>
    <row r="336" spans="1:8" ht="15.6">
      <c r="A336" s="19"/>
      <c r="D336" s="86"/>
      <c r="E336" s="86"/>
      <c r="F336" s="86"/>
      <c r="G336" s="86"/>
      <c r="H336" s="86"/>
    </row>
    <row r="337" spans="1:8" ht="15.6">
      <c r="A337" s="19"/>
      <c r="D337" s="86"/>
      <c r="E337" s="86"/>
      <c r="F337" s="86"/>
      <c r="G337" s="86"/>
      <c r="H337" s="86"/>
    </row>
    <row r="338" spans="1:8" ht="15.6">
      <c r="A338" s="19"/>
      <c r="D338" s="86"/>
      <c r="E338" s="86"/>
      <c r="F338" s="86"/>
      <c r="G338" s="86"/>
      <c r="H338" s="86"/>
    </row>
    <row r="339" spans="1:8" ht="15.6">
      <c r="A339" s="19"/>
      <c r="D339" s="86"/>
      <c r="E339" s="86"/>
      <c r="F339" s="86"/>
      <c r="G339" s="86"/>
      <c r="H339" s="86"/>
    </row>
    <row r="340" spans="1:8" ht="15.6">
      <c r="A340" s="19"/>
      <c r="D340" s="86"/>
      <c r="E340" s="86"/>
      <c r="F340" s="86"/>
      <c r="G340" s="86"/>
      <c r="H340" s="86"/>
    </row>
    <row r="341" spans="1:8" ht="15.6">
      <c r="A341" s="19"/>
      <c r="D341" s="86"/>
      <c r="E341" s="86"/>
      <c r="F341" s="86"/>
      <c r="G341" s="86"/>
      <c r="H341" s="86"/>
    </row>
    <row r="342" spans="1:8" ht="15.6">
      <c r="A342" s="19"/>
      <c r="D342" s="86"/>
      <c r="E342" s="86"/>
      <c r="F342" s="86"/>
      <c r="G342" s="86"/>
      <c r="H342" s="86"/>
    </row>
    <row r="343" spans="1:8" ht="15.6">
      <c r="A343" s="19"/>
      <c r="D343" s="86"/>
      <c r="E343" s="86"/>
      <c r="F343" s="86"/>
      <c r="G343" s="86"/>
      <c r="H343" s="86"/>
    </row>
    <row r="344" spans="1:8" ht="15.6">
      <c r="A344" s="19"/>
      <c r="D344" s="86"/>
      <c r="E344" s="86"/>
      <c r="F344" s="86"/>
      <c r="G344" s="86"/>
      <c r="H344" s="86"/>
    </row>
    <row r="345" spans="1:8" ht="15.6">
      <c r="A345" s="19"/>
      <c r="D345" s="86"/>
      <c r="E345" s="86"/>
      <c r="F345" s="86"/>
      <c r="G345" s="86"/>
      <c r="H345" s="86"/>
    </row>
    <row r="346" spans="1:8" ht="15.6">
      <c r="A346" s="19"/>
      <c r="D346" s="86"/>
      <c r="E346" s="86"/>
      <c r="F346" s="86"/>
      <c r="G346" s="86"/>
      <c r="H346" s="86"/>
    </row>
    <row r="347" spans="1:8" ht="15.6">
      <c r="A347" s="19"/>
      <c r="D347" s="86"/>
      <c r="E347" s="86"/>
      <c r="F347" s="86"/>
      <c r="G347" s="86"/>
      <c r="H347" s="86"/>
    </row>
    <row r="348" spans="1:8" ht="15.6">
      <c r="A348" s="19"/>
      <c r="D348" s="86"/>
      <c r="E348" s="86"/>
      <c r="F348" s="86"/>
      <c r="G348" s="86"/>
      <c r="H348" s="86"/>
    </row>
    <row r="349" spans="1:8" ht="15.6">
      <c r="A349" s="19"/>
      <c r="D349" s="86"/>
      <c r="E349" s="86"/>
      <c r="F349" s="86"/>
      <c r="G349" s="86"/>
      <c r="H349" s="86"/>
    </row>
    <row r="350" spans="1:8" ht="15.6">
      <c r="A350" s="19"/>
      <c r="D350" s="86"/>
      <c r="E350" s="86"/>
      <c r="F350" s="86"/>
      <c r="G350" s="86"/>
      <c r="H350" s="86"/>
    </row>
    <row r="351" spans="1:8" ht="15.6">
      <c r="A351" s="19"/>
      <c r="D351" s="86"/>
      <c r="E351" s="86"/>
      <c r="F351" s="86"/>
      <c r="G351" s="86"/>
      <c r="H351" s="86"/>
    </row>
    <row r="352" spans="1:8" ht="15.6">
      <c r="A352" s="19"/>
      <c r="D352" s="86"/>
      <c r="E352" s="86"/>
      <c r="F352" s="86"/>
      <c r="G352" s="86"/>
      <c r="H352" s="86"/>
    </row>
    <row r="353" spans="1:8" ht="15.6">
      <c r="A353" s="19"/>
      <c r="D353" s="86"/>
      <c r="E353" s="86"/>
      <c r="F353" s="86"/>
      <c r="G353" s="86"/>
      <c r="H353" s="86"/>
    </row>
    <row r="354" spans="1:8" ht="15.6">
      <c r="A354" s="19"/>
      <c r="D354" s="86"/>
      <c r="E354" s="86"/>
      <c r="F354" s="86"/>
      <c r="G354" s="86"/>
      <c r="H354" s="86"/>
    </row>
    <row r="355" spans="1:8" ht="15.6">
      <c r="A355" s="19"/>
      <c r="D355" s="86"/>
      <c r="E355" s="86"/>
      <c r="F355" s="86"/>
      <c r="G355" s="86"/>
      <c r="H355" s="86"/>
    </row>
    <row r="356" spans="1:8" ht="15.6">
      <c r="A356" s="19"/>
      <c r="D356" s="86"/>
      <c r="E356" s="86"/>
      <c r="F356" s="86"/>
      <c r="G356" s="86"/>
      <c r="H356" s="86"/>
    </row>
    <row r="357" spans="1:8" ht="15.6">
      <c r="A357" s="19"/>
      <c r="D357" s="86"/>
      <c r="E357" s="86"/>
      <c r="F357" s="86"/>
      <c r="G357" s="86"/>
      <c r="H357" s="86"/>
    </row>
    <row r="358" spans="1:8" ht="15.6">
      <c r="A358" s="19"/>
      <c r="D358" s="86"/>
      <c r="E358" s="86"/>
      <c r="F358" s="86"/>
      <c r="G358" s="86"/>
      <c r="H358" s="86"/>
    </row>
    <row r="359" spans="1:8" ht="15.6">
      <c r="A359" s="19"/>
      <c r="D359" s="86"/>
      <c r="E359" s="86"/>
      <c r="F359" s="86"/>
      <c r="G359" s="86"/>
      <c r="H359" s="86"/>
    </row>
    <row r="360" spans="1:8" ht="15.6">
      <c r="A360" s="19"/>
      <c r="D360" s="86"/>
      <c r="E360" s="86"/>
      <c r="F360" s="86"/>
      <c r="G360" s="86"/>
      <c r="H360" s="86"/>
    </row>
    <row r="361" spans="1:8" ht="15.6">
      <c r="A361" s="19"/>
      <c r="D361" s="86"/>
      <c r="E361" s="86"/>
      <c r="F361" s="86"/>
      <c r="G361" s="86"/>
      <c r="H361" s="86"/>
    </row>
    <row r="362" spans="1:8" ht="15.6">
      <c r="A362" s="19"/>
      <c r="D362" s="86"/>
      <c r="E362" s="86"/>
      <c r="F362" s="86"/>
      <c r="G362" s="86"/>
      <c r="H362" s="86"/>
    </row>
    <row r="363" spans="1:8" ht="15.6">
      <c r="A363" s="19"/>
      <c r="D363" s="86"/>
      <c r="E363" s="86"/>
      <c r="F363" s="86"/>
      <c r="G363" s="86"/>
      <c r="H363" s="86"/>
    </row>
    <row r="364" spans="1:8" ht="15.6">
      <c r="A364" s="19"/>
      <c r="D364" s="86"/>
      <c r="E364" s="86"/>
      <c r="F364" s="86"/>
      <c r="G364" s="86"/>
      <c r="H364" s="86"/>
    </row>
    <row r="365" spans="1:8" ht="15.6">
      <c r="A365" s="19"/>
      <c r="D365" s="86"/>
      <c r="E365" s="86"/>
      <c r="F365" s="86"/>
      <c r="G365" s="86"/>
      <c r="H365" s="86"/>
    </row>
    <row r="366" spans="1:8" ht="15.6">
      <c r="A366" s="19"/>
      <c r="D366" s="86"/>
      <c r="E366" s="86"/>
      <c r="F366" s="86"/>
      <c r="G366" s="86"/>
      <c r="H366" s="86"/>
    </row>
    <row r="367" spans="1:8" ht="15.6">
      <c r="A367" s="19"/>
      <c r="D367" s="86"/>
      <c r="E367" s="86"/>
      <c r="F367" s="86"/>
      <c r="G367" s="86"/>
      <c r="H367" s="86"/>
    </row>
    <row r="368" spans="1:8" ht="15.6">
      <c r="A368" s="19"/>
      <c r="D368" s="86"/>
      <c r="E368" s="86"/>
      <c r="F368" s="86"/>
      <c r="G368" s="86"/>
      <c r="H368" s="86"/>
    </row>
    <row r="369" spans="1:8" ht="15.6">
      <c r="A369" s="19"/>
      <c r="D369" s="86"/>
      <c r="E369" s="86"/>
      <c r="F369" s="86"/>
      <c r="G369" s="86"/>
      <c r="H369" s="86"/>
    </row>
    <row r="370" spans="1:8" ht="15.6">
      <c r="A370" s="19"/>
      <c r="D370" s="86"/>
      <c r="E370" s="86"/>
      <c r="F370" s="86"/>
      <c r="G370" s="86"/>
      <c r="H370" s="86"/>
    </row>
    <row r="371" spans="1:8" ht="15.6">
      <c r="A371" s="19"/>
      <c r="D371" s="86"/>
      <c r="E371" s="86"/>
      <c r="F371" s="86"/>
      <c r="G371" s="86"/>
      <c r="H371" s="86"/>
    </row>
    <row r="372" spans="1:8" ht="15.6">
      <c r="A372" s="19"/>
      <c r="D372" s="86"/>
      <c r="E372" s="86"/>
      <c r="F372" s="86"/>
      <c r="G372" s="86"/>
      <c r="H372" s="86"/>
    </row>
    <row r="373" spans="1:8" ht="15.6">
      <c r="A373" s="19"/>
      <c r="D373" s="86"/>
      <c r="E373" s="86"/>
      <c r="F373" s="86"/>
      <c r="G373" s="86"/>
      <c r="H373" s="86"/>
    </row>
    <row r="374" spans="1:8" ht="15.6">
      <c r="A374" s="19"/>
      <c r="D374" s="86"/>
      <c r="E374" s="86"/>
      <c r="F374" s="86"/>
      <c r="G374" s="86"/>
      <c r="H374" s="86"/>
    </row>
    <row r="375" spans="1:8" ht="15.6">
      <c r="A375" s="19"/>
      <c r="D375" s="86"/>
      <c r="E375" s="86"/>
      <c r="F375" s="86"/>
      <c r="G375" s="86"/>
      <c r="H375" s="86"/>
    </row>
    <row r="376" spans="1:8" ht="15.6">
      <c r="A376" s="19"/>
      <c r="D376" s="86"/>
      <c r="E376" s="86"/>
      <c r="F376" s="86"/>
      <c r="G376" s="86"/>
      <c r="H376" s="86"/>
    </row>
    <row r="377" spans="1:8" ht="15.6">
      <c r="A377" s="19"/>
      <c r="D377" s="86"/>
      <c r="E377" s="86"/>
      <c r="F377" s="86"/>
      <c r="G377" s="86"/>
      <c r="H377" s="86"/>
    </row>
    <row r="378" spans="1:8" ht="15.6">
      <c r="A378" s="19"/>
      <c r="D378" s="86"/>
      <c r="E378" s="86"/>
      <c r="F378" s="86"/>
      <c r="G378" s="86"/>
      <c r="H378" s="86"/>
    </row>
    <row r="379" spans="1:8" ht="15.6">
      <c r="A379" s="19"/>
      <c r="D379" s="86"/>
      <c r="E379" s="86"/>
      <c r="F379" s="86"/>
      <c r="G379" s="86"/>
      <c r="H379" s="86"/>
    </row>
    <row r="380" spans="1:8" ht="15.6">
      <c r="A380" s="19"/>
      <c r="D380" s="86"/>
      <c r="E380" s="86"/>
      <c r="F380" s="86"/>
      <c r="G380" s="86"/>
      <c r="H380" s="86"/>
    </row>
    <row r="381" spans="1:8" ht="15.6">
      <c r="A381" s="19"/>
      <c r="D381" s="86"/>
      <c r="E381" s="86"/>
      <c r="F381" s="86"/>
      <c r="G381" s="86"/>
      <c r="H381" s="86"/>
    </row>
    <row r="382" spans="1:8" ht="15.6">
      <c r="A382" s="19"/>
      <c r="D382" s="86"/>
      <c r="E382" s="86"/>
      <c r="F382" s="86"/>
      <c r="G382" s="86"/>
      <c r="H382" s="86"/>
    </row>
    <row r="383" spans="1:8" ht="15.6">
      <c r="A383" s="19"/>
      <c r="D383" s="86"/>
      <c r="E383" s="86"/>
      <c r="F383" s="86"/>
      <c r="G383" s="86"/>
      <c r="H383" s="86"/>
    </row>
    <row r="384" spans="1:8" ht="15.6">
      <c r="A384" s="19"/>
      <c r="D384" s="86"/>
      <c r="E384" s="86"/>
      <c r="F384" s="86"/>
      <c r="G384" s="86"/>
      <c r="H384" s="86"/>
    </row>
    <row r="385" spans="1:8" ht="15.6">
      <c r="A385" s="19"/>
      <c r="D385" s="86"/>
      <c r="E385" s="86"/>
      <c r="F385" s="86"/>
      <c r="G385" s="86"/>
      <c r="H385" s="86"/>
    </row>
    <row r="386" spans="1:8" ht="15.6">
      <c r="A386" s="19"/>
      <c r="D386" s="86"/>
      <c r="E386" s="86"/>
      <c r="F386" s="86"/>
      <c r="G386" s="86"/>
      <c r="H386" s="86"/>
    </row>
    <row r="387" spans="1:8" ht="15.6">
      <c r="A387" s="19"/>
      <c r="D387" s="86"/>
      <c r="E387" s="86"/>
      <c r="F387" s="86"/>
      <c r="G387" s="86"/>
      <c r="H387" s="86"/>
    </row>
    <row r="388" spans="1:8" ht="15.6">
      <c r="A388" s="19"/>
      <c r="D388" s="86"/>
      <c r="E388" s="86"/>
      <c r="F388" s="86"/>
      <c r="G388" s="86"/>
      <c r="H388" s="86"/>
    </row>
    <row r="389" spans="1:8" ht="15.6">
      <c r="A389" s="19"/>
      <c r="D389" s="86"/>
      <c r="E389" s="86"/>
      <c r="F389" s="86"/>
      <c r="G389" s="86"/>
      <c r="H389" s="86"/>
    </row>
    <row r="390" spans="1:8" ht="15.6">
      <c r="A390" s="19"/>
      <c r="D390" s="86"/>
      <c r="E390" s="86"/>
      <c r="F390" s="86"/>
      <c r="G390" s="86"/>
      <c r="H390" s="86"/>
    </row>
    <row r="391" spans="1:8" ht="15.6">
      <c r="A391" s="19"/>
      <c r="D391" s="86"/>
      <c r="E391" s="86"/>
      <c r="F391" s="86"/>
      <c r="G391" s="86"/>
      <c r="H391" s="86"/>
    </row>
    <row r="392" spans="1:8" ht="15.6">
      <c r="A392" s="19"/>
      <c r="D392" s="86"/>
      <c r="E392" s="86"/>
      <c r="F392" s="86"/>
      <c r="G392" s="86"/>
      <c r="H392" s="86"/>
    </row>
    <row r="393" spans="1:8" ht="15.6">
      <c r="A393" s="19"/>
      <c r="D393" s="86"/>
      <c r="E393" s="86"/>
      <c r="F393" s="86"/>
      <c r="G393" s="86"/>
      <c r="H393" s="86"/>
    </row>
    <row r="394" spans="1:8" ht="15.6">
      <c r="A394" s="19"/>
      <c r="D394" s="86"/>
      <c r="E394" s="86"/>
      <c r="F394" s="86"/>
      <c r="G394" s="86"/>
      <c r="H394" s="86"/>
    </row>
    <row r="395" spans="1:8" ht="15.6">
      <c r="A395" s="19"/>
      <c r="D395" s="86"/>
      <c r="E395" s="86"/>
      <c r="F395" s="86"/>
      <c r="G395" s="86"/>
      <c r="H395" s="86"/>
    </row>
    <row r="396" spans="1:8" ht="15.6">
      <c r="A396" s="19"/>
      <c r="D396" s="86"/>
      <c r="E396" s="86"/>
      <c r="F396" s="86"/>
      <c r="G396" s="86"/>
      <c r="H396" s="86"/>
    </row>
    <row r="397" spans="1:8" ht="15.6">
      <c r="A397" s="19"/>
      <c r="D397" s="86"/>
      <c r="E397" s="86"/>
      <c r="F397" s="86"/>
      <c r="G397" s="86"/>
      <c r="H397" s="86"/>
    </row>
    <row r="398" spans="1:8" ht="15.6">
      <c r="A398" s="19"/>
      <c r="D398" s="86"/>
      <c r="E398" s="86"/>
      <c r="F398" s="86"/>
      <c r="G398" s="86"/>
      <c r="H398" s="86"/>
    </row>
    <row r="399" spans="1:8" ht="15.6">
      <c r="A399" s="19"/>
      <c r="D399" s="86"/>
      <c r="E399" s="86"/>
      <c r="F399" s="86"/>
      <c r="G399" s="86"/>
      <c r="H399" s="86"/>
    </row>
    <row r="400" spans="1:8" ht="15.6">
      <c r="A400" s="19"/>
      <c r="D400" s="86"/>
      <c r="E400" s="86"/>
      <c r="F400" s="86"/>
      <c r="G400" s="86"/>
      <c r="H400" s="86"/>
    </row>
    <row r="401" spans="1:8" ht="15.6">
      <c r="A401" s="19"/>
      <c r="D401" s="86"/>
      <c r="E401" s="86"/>
      <c r="F401" s="86"/>
      <c r="G401" s="86"/>
      <c r="H401" s="86"/>
    </row>
    <row r="402" spans="1:8" ht="15.6">
      <c r="A402" s="19"/>
      <c r="D402" s="86"/>
      <c r="E402" s="86"/>
      <c r="F402" s="86"/>
      <c r="G402" s="86"/>
      <c r="H402" s="86"/>
    </row>
    <row r="403" spans="1:8" ht="15.6">
      <c r="A403" s="19"/>
      <c r="D403" s="86"/>
      <c r="E403" s="86"/>
      <c r="F403" s="86"/>
      <c r="G403" s="86"/>
      <c r="H403" s="86"/>
    </row>
    <row r="404" spans="1:8" ht="15.6">
      <c r="A404" s="19"/>
      <c r="D404" s="86"/>
      <c r="E404" s="86"/>
      <c r="F404" s="86"/>
      <c r="G404" s="86"/>
      <c r="H404" s="86"/>
    </row>
    <row r="405" spans="1:8" ht="15.6">
      <c r="A405" s="19"/>
      <c r="D405" s="86"/>
      <c r="E405" s="86"/>
      <c r="F405" s="86"/>
      <c r="G405" s="86"/>
      <c r="H405" s="86"/>
    </row>
    <row r="406" spans="1:8" ht="15.6">
      <c r="A406" s="19"/>
      <c r="D406" s="86"/>
      <c r="E406" s="86"/>
      <c r="F406" s="86"/>
      <c r="G406" s="86"/>
      <c r="H406" s="86"/>
    </row>
    <row r="407" spans="1:8" ht="15.6">
      <c r="A407" s="19"/>
      <c r="D407" s="86"/>
      <c r="E407" s="86"/>
      <c r="F407" s="86"/>
      <c r="G407" s="86"/>
      <c r="H407" s="86"/>
    </row>
    <row r="408" spans="1:8" ht="15.6">
      <c r="A408" s="19"/>
      <c r="D408" s="86"/>
      <c r="E408" s="86"/>
      <c r="F408" s="86"/>
      <c r="G408" s="86"/>
      <c r="H408" s="86"/>
    </row>
    <row r="409" spans="1:8" ht="15.6">
      <c r="A409" s="19"/>
      <c r="D409" s="86"/>
      <c r="E409" s="86"/>
      <c r="F409" s="86"/>
      <c r="G409" s="86"/>
      <c r="H409" s="86"/>
    </row>
    <row r="410" spans="1:8" ht="15.6">
      <c r="A410" s="19"/>
      <c r="D410" s="86"/>
      <c r="E410" s="86"/>
      <c r="F410" s="86"/>
      <c r="G410" s="86"/>
      <c r="H410" s="86"/>
    </row>
    <row r="411" spans="1:8" ht="15.6">
      <c r="A411" s="19"/>
      <c r="D411" s="86"/>
      <c r="E411" s="86"/>
      <c r="F411" s="86"/>
      <c r="G411" s="86"/>
      <c r="H411" s="86"/>
    </row>
    <row r="412" spans="1:8" ht="15.6">
      <c r="A412" s="19"/>
      <c r="D412" s="86"/>
      <c r="E412" s="86"/>
      <c r="F412" s="86"/>
      <c r="G412" s="86"/>
      <c r="H412" s="86"/>
    </row>
    <row r="413" spans="1:8" ht="15.6">
      <c r="A413" s="19"/>
      <c r="D413" s="86"/>
      <c r="E413" s="86"/>
      <c r="F413" s="86"/>
      <c r="G413" s="86"/>
      <c r="H413" s="86"/>
    </row>
    <row r="414" spans="1:8" ht="15.6">
      <c r="A414" s="19"/>
      <c r="D414" s="86"/>
      <c r="E414" s="86"/>
      <c r="F414" s="86"/>
      <c r="G414" s="86"/>
      <c r="H414" s="86"/>
    </row>
    <row r="415" spans="1:8" ht="15.6">
      <c r="A415" s="19"/>
      <c r="D415" s="86"/>
      <c r="E415" s="86"/>
      <c r="F415" s="86"/>
      <c r="G415" s="86"/>
      <c r="H415" s="86"/>
    </row>
    <row r="416" spans="1:8" ht="15.6">
      <c r="A416" s="19"/>
      <c r="D416" s="86"/>
      <c r="E416" s="86"/>
      <c r="F416" s="86"/>
      <c r="G416" s="86"/>
      <c r="H416" s="86"/>
    </row>
    <row r="417" spans="1:8" ht="15.6">
      <c r="A417" s="19"/>
      <c r="D417" s="86"/>
      <c r="E417" s="86"/>
      <c r="F417" s="86"/>
      <c r="G417" s="86"/>
      <c r="H417" s="86"/>
    </row>
    <row r="418" spans="1:8" ht="15.6">
      <c r="A418" s="19"/>
      <c r="D418" s="86"/>
      <c r="E418" s="86"/>
      <c r="F418" s="86"/>
      <c r="G418" s="86"/>
      <c r="H418" s="86"/>
    </row>
    <row r="419" spans="1:8" ht="15.6">
      <c r="A419" s="19"/>
      <c r="D419" s="86"/>
      <c r="E419" s="86"/>
      <c r="F419" s="86"/>
      <c r="G419" s="86"/>
      <c r="H419" s="86"/>
    </row>
    <row r="420" spans="1:8" ht="15.6">
      <c r="A420" s="19"/>
      <c r="D420" s="86"/>
      <c r="E420" s="86"/>
      <c r="F420" s="86"/>
      <c r="G420" s="86"/>
      <c r="H420" s="86"/>
    </row>
    <row r="421" spans="1:8" ht="15.6">
      <c r="A421" s="19"/>
      <c r="D421" s="86"/>
      <c r="E421" s="86"/>
      <c r="F421" s="86"/>
      <c r="G421" s="86"/>
      <c r="H421" s="86"/>
    </row>
    <row r="422" spans="1:8" ht="15.6">
      <c r="A422" s="19"/>
      <c r="D422" s="86"/>
      <c r="E422" s="86"/>
      <c r="F422" s="86"/>
      <c r="G422" s="86"/>
      <c r="H422" s="86"/>
    </row>
    <row r="423" spans="1:8" ht="15.6">
      <c r="A423" s="19"/>
      <c r="D423" s="86"/>
      <c r="E423" s="86"/>
      <c r="F423" s="86"/>
      <c r="G423" s="86"/>
      <c r="H423" s="86"/>
    </row>
    <row r="424" spans="1:8" ht="15.6">
      <c r="A424" s="19"/>
      <c r="D424" s="86"/>
      <c r="E424" s="86"/>
      <c r="F424" s="86"/>
      <c r="G424" s="86"/>
      <c r="H424" s="86"/>
    </row>
    <row r="425" spans="1:8" ht="15.6">
      <c r="A425" s="19"/>
      <c r="D425" s="86"/>
      <c r="E425" s="86"/>
      <c r="F425" s="86"/>
      <c r="G425" s="86"/>
      <c r="H425" s="86"/>
    </row>
    <row r="426" spans="1:8" ht="15.6">
      <c r="A426" s="19"/>
      <c r="D426" s="86"/>
      <c r="E426" s="86"/>
      <c r="F426" s="86"/>
      <c r="G426" s="86"/>
      <c r="H426" s="86"/>
    </row>
    <row r="427" spans="1:8" ht="15.6">
      <c r="A427" s="19"/>
      <c r="D427" s="86"/>
      <c r="E427" s="86"/>
      <c r="F427" s="86"/>
      <c r="G427" s="86"/>
      <c r="H427" s="86"/>
    </row>
    <row r="428" spans="1:8" ht="15.6">
      <c r="A428" s="19"/>
      <c r="D428" s="86"/>
      <c r="E428" s="86"/>
      <c r="F428" s="86"/>
      <c r="G428" s="86"/>
      <c r="H428" s="86"/>
    </row>
    <row r="429" spans="1:8" ht="15.6">
      <c r="A429" s="19"/>
      <c r="D429" s="86"/>
      <c r="E429" s="86"/>
      <c r="F429" s="86"/>
      <c r="G429" s="86"/>
      <c r="H429" s="86"/>
    </row>
    <row r="430" spans="1:8" ht="15.6">
      <c r="A430" s="19"/>
      <c r="D430" s="86"/>
      <c r="E430" s="86"/>
      <c r="F430" s="86"/>
      <c r="G430" s="86"/>
      <c r="H430" s="86"/>
    </row>
    <row r="431" spans="1:8" ht="15.6">
      <c r="A431" s="19"/>
      <c r="D431" s="86"/>
      <c r="E431" s="86"/>
      <c r="F431" s="86"/>
      <c r="G431" s="86"/>
      <c r="H431" s="86"/>
    </row>
    <row r="432" spans="1:8" ht="15.6">
      <c r="A432" s="19"/>
      <c r="D432" s="86"/>
      <c r="E432" s="86"/>
      <c r="F432" s="86"/>
      <c r="G432" s="86"/>
      <c r="H432" s="86"/>
    </row>
    <row r="433" spans="1:8" ht="15.6">
      <c r="A433" s="19"/>
      <c r="D433" s="86"/>
      <c r="E433" s="86"/>
      <c r="F433" s="86"/>
      <c r="G433" s="86"/>
      <c r="H433" s="86"/>
    </row>
    <row r="434" spans="1:8" ht="15.6">
      <c r="A434" s="19"/>
      <c r="D434" s="86"/>
      <c r="E434" s="86"/>
      <c r="F434" s="86"/>
      <c r="G434" s="86"/>
      <c r="H434" s="86"/>
    </row>
    <row r="435" spans="1:8" ht="15.6">
      <c r="A435" s="19"/>
      <c r="D435" s="86"/>
      <c r="E435" s="86"/>
      <c r="F435" s="86"/>
      <c r="G435" s="86"/>
      <c r="H435" s="86"/>
    </row>
    <row r="436" spans="1:8" ht="15.6">
      <c r="A436" s="19"/>
      <c r="D436" s="86"/>
      <c r="E436" s="86"/>
      <c r="F436" s="86"/>
      <c r="G436" s="86"/>
      <c r="H436" s="86"/>
    </row>
    <row r="437" spans="1:8" ht="15.6">
      <c r="A437" s="19"/>
      <c r="D437" s="86"/>
      <c r="E437" s="86"/>
      <c r="F437" s="86"/>
      <c r="G437" s="86"/>
      <c r="H437" s="86"/>
    </row>
    <row r="438" spans="1:8" ht="15.6">
      <c r="A438" s="19"/>
      <c r="D438" s="86"/>
      <c r="E438" s="86"/>
      <c r="F438" s="86"/>
      <c r="G438" s="86"/>
      <c r="H438" s="86"/>
    </row>
    <row r="439" spans="1:8" ht="15.6">
      <c r="A439" s="19"/>
      <c r="D439" s="86"/>
      <c r="E439" s="86"/>
      <c r="F439" s="86"/>
      <c r="G439" s="86"/>
      <c r="H439" s="86"/>
    </row>
    <row r="440" spans="1:8" ht="15.6">
      <c r="A440" s="19"/>
      <c r="D440" s="86"/>
      <c r="E440" s="86"/>
      <c r="F440" s="86"/>
      <c r="G440" s="86"/>
      <c r="H440" s="86"/>
    </row>
    <row r="441" spans="1:8" ht="15.6">
      <c r="A441" s="19"/>
      <c r="D441" s="86"/>
      <c r="E441" s="86"/>
      <c r="F441" s="86"/>
      <c r="G441" s="86"/>
      <c r="H441" s="86"/>
    </row>
    <row r="442" spans="1:8" ht="15.6">
      <c r="A442" s="19"/>
      <c r="D442" s="86"/>
      <c r="E442" s="86"/>
      <c r="F442" s="86"/>
      <c r="G442" s="86"/>
      <c r="H442" s="86"/>
    </row>
    <row r="443" spans="1:8" ht="15.6">
      <c r="A443" s="19"/>
      <c r="D443" s="86"/>
      <c r="E443" s="86"/>
      <c r="F443" s="86"/>
      <c r="G443" s="86"/>
      <c r="H443" s="86"/>
    </row>
    <row r="444" spans="1:8" ht="15.6">
      <c r="A444" s="19"/>
      <c r="D444" s="86"/>
      <c r="E444" s="86"/>
      <c r="F444" s="86"/>
      <c r="G444" s="86"/>
      <c r="H444" s="86"/>
    </row>
    <row r="445" spans="1:8" ht="15.6">
      <c r="A445" s="19"/>
      <c r="D445" s="86"/>
      <c r="E445" s="86"/>
      <c r="F445" s="86"/>
      <c r="G445" s="86"/>
      <c r="H445" s="86"/>
    </row>
    <row r="446" spans="1:8" ht="15.6">
      <c r="A446" s="19"/>
      <c r="D446" s="86"/>
      <c r="E446" s="86"/>
      <c r="F446" s="86"/>
      <c r="G446" s="86"/>
      <c r="H446" s="86"/>
    </row>
    <row r="447" spans="1:8" ht="15.6">
      <c r="A447" s="19"/>
      <c r="D447" s="86"/>
      <c r="E447" s="86"/>
      <c r="F447" s="86"/>
      <c r="G447" s="86"/>
      <c r="H447" s="86"/>
    </row>
    <row r="448" spans="1:8" ht="15.6">
      <c r="A448" s="19"/>
      <c r="D448" s="86"/>
      <c r="E448" s="86"/>
      <c r="F448" s="86"/>
      <c r="G448" s="86"/>
      <c r="H448" s="86"/>
    </row>
    <row r="449" spans="1:8" ht="15.6">
      <c r="A449" s="19"/>
      <c r="D449" s="86"/>
      <c r="E449" s="86"/>
      <c r="F449" s="86"/>
      <c r="G449" s="86"/>
      <c r="H449" s="86"/>
    </row>
    <row r="450" spans="1:8" ht="15.6">
      <c r="A450" s="19"/>
      <c r="D450" s="86"/>
      <c r="E450" s="86"/>
      <c r="F450" s="86"/>
      <c r="G450" s="86"/>
      <c r="H450" s="86"/>
    </row>
    <row r="451" spans="1:8" ht="15.6">
      <c r="A451" s="19"/>
      <c r="D451" s="86"/>
      <c r="E451" s="86"/>
      <c r="F451" s="86"/>
      <c r="G451" s="86"/>
      <c r="H451" s="86"/>
    </row>
    <row r="452" spans="1:8" ht="15.6">
      <c r="A452" s="19"/>
      <c r="D452" s="86"/>
      <c r="E452" s="86"/>
      <c r="F452" s="86"/>
      <c r="G452" s="86"/>
      <c r="H452" s="86"/>
    </row>
    <row r="453" spans="1:8" ht="15.6">
      <c r="A453" s="19"/>
      <c r="D453" s="86"/>
      <c r="E453" s="86"/>
      <c r="F453" s="86"/>
      <c r="G453" s="86"/>
      <c r="H453" s="86"/>
    </row>
    <row r="454" spans="1:8" ht="15.6">
      <c r="A454" s="19"/>
      <c r="D454" s="86"/>
      <c r="E454" s="86"/>
      <c r="F454" s="86"/>
      <c r="G454" s="86"/>
      <c r="H454" s="86"/>
    </row>
    <row r="455" spans="1:8" ht="15.6">
      <c r="A455" s="19"/>
      <c r="D455" s="86"/>
      <c r="E455" s="86"/>
      <c r="F455" s="86"/>
      <c r="G455" s="86"/>
      <c r="H455" s="86"/>
    </row>
    <row r="456" spans="1:8" ht="15.6">
      <c r="A456" s="19"/>
      <c r="D456" s="86"/>
      <c r="E456" s="86"/>
      <c r="F456" s="86"/>
      <c r="G456" s="86"/>
      <c r="H456" s="86"/>
    </row>
    <row r="457" spans="1:8" ht="15.6">
      <c r="A457" s="19"/>
      <c r="D457" s="86"/>
      <c r="E457" s="86"/>
      <c r="F457" s="86"/>
      <c r="G457" s="86"/>
      <c r="H457" s="86"/>
    </row>
    <row r="458" spans="1:8" ht="15.6">
      <c r="A458" s="19"/>
      <c r="D458" s="86"/>
      <c r="E458" s="86"/>
      <c r="F458" s="86"/>
      <c r="G458" s="86"/>
      <c r="H458" s="86"/>
    </row>
    <row r="459" spans="1:8" ht="15.6">
      <c r="A459" s="19"/>
      <c r="D459" s="86"/>
      <c r="E459" s="86"/>
      <c r="F459" s="86"/>
      <c r="G459" s="86"/>
      <c r="H459" s="86"/>
    </row>
    <row r="460" spans="1:8" ht="15.6">
      <c r="A460" s="19"/>
      <c r="D460" s="86"/>
      <c r="E460" s="86"/>
      <c r="F460" s="86"/>
      <c r="G460" s="86"/>
      <c r="H460" s="86"/>
    </row>
    <row r="461" spans="1:8" ht="15.6">
      <c r="A461" s="19"/>
      <c r="D461" s="86"/>
      <c r="E461" s="86"/>
      <c r="F461" s="86"/>
      <c r="G461" s="86"/>
      <c r="H461" s="86"/>
    </row>
    <row r="462" spans="1:8" ht="15.6">
      <c r="A462" s="19"/>
      <c r="D462" s="86"/>
      <c r="E462" s="86"/>
      <c r="F462" s="86"/>
      <c r="G462" s="86"/>
      <c r="H462" s="86"/>
    </row>
    <row r="463" spans="1:8" ht="15.6">
      <c r="A463" s="19"/>
      <c r="D463" s="86"/>
      <c r="E463" s="86"/>
      <c r="F463" s="86"/>
      <c r="G463" s="86"/>
      <c r="H463" s="86"/>
    </row>
    <row r="464" spans="1:8" ht="15.6">
      <c r="A464" s="19"/>
      <c r="D464" s="86"/>
      <c r="E464" s="86"/>
      <c r="F464" s="86"/>
      <c r="G464" s="86"/>
      <c r="H464" s="86"/>
    </row>
    <row r="465" spans="1:8" ht="15.6">
      <c r="A465" s="19"/>
      <c r="D465" s="86"/>
      <c r="E465" s="86"/>
      <c r="F465" s="86"/>
      <c r="G465" s="86"/>
      <c r="H465" s="86"/>
    </row>
    <row r="466" spans="1:8" ht="15.6">
      <c r="A466" s="19"/>
      <c r="D466" s="86"/>
      <c r="E466" s="86"/>
      <c r="F466" s="86"/>
      <c r="G466" s="86"/>
      <c r="H466" s="86"/>
    </row>
    <row r="467" spans="1:8" ht="15.6">
      <c r="A467" s="19"/>
      <c r="D467" s="86"/>
      <c r="E467" s="86"/>
      <c r="F467" s="86"/>
      <c r="G467" s="86"/>
      <c r="H467" s="86"/>
    </row>
    <row r="468" spans="1:8" ht="15.6">
      <c r="A468" s="19"/>
      <c r="D468" s="86"/>
      <c r="E468" s="86"/>
      <c r="F468" s="86"/>
      <c r="G468" s="86"/>
      <c r="H468" s="86"/>
    </row>
    <row r="469" spans="1:8" ht="15.6">
      <c r="A469" s="19"/>
      <c r="D469" s="86"/>
      <c r="E469" s="86"/>
      <c r="F469" s="86"/>
      <c r="G469" s="86"/>
      <c r="H469" s="86"/>
    </row>
    <row r="470" spans="1:8" ht="15.6">
      <c r="A470" s="19"/>
      <c r="D470" s="86"/>
      <c r="E470" s="86"/>
      <c r="F470" s="86"/>
      <c r="G470" s="86"/>
      <c r="H470" s="86"/>
    </row>
    <row r="471" spans="1:8" ht="15.6">
      <c r="A471" s="19"/>
      <c r="D471" s="86"/>
      <c r="E471" s="86"/>
      <c r="F471" s="86"/>
      <c r="G471" s="86"/>
      <c r="H471" s="86"/>
    </row>
    <row r="472" spans="1:8" ht="15.6">
      <c r="A472" s="19"/>
      <c r="D472" s="86"/>
      <c r="E472" s="86"/>
      <c r="F472" s="86"/>
      <c r="G472" s="86"/>
      <c r="H472" s="86"/>
    </row>
    <row r="473" spans="1:8" ht="15.6">
      <c r="A473" s="19"/>
      <c r="D473" s="86"/>
      <c r="E473" s="86"/>
      <c r="F473" s="86"/>
      <c r="G473" s="86"/>
      <c r="H473" s="86"/>
    </row>
    <row r="474" spans="1:8" ht="15.6">
      <c r="A474" s="19"/>
      <c r="D474" s="86"/>
      <c r="E474" s="86"/>
      <c r="F474" s="86"/>
      <c r="G474" s="86"/>
      <c r="H474" s="86"/>
    </row>
    <row r="475" spans="1:8" ht="15.6">
      <c r="A475" s="19"/>
      <c r="D475" s="86"/>
      <c r="E475" s="86"/>
      <c r="F475" s="86"/>
      <c r="G475" s="86"/>
      <c r="H475" s="86"/>
    </row>
    <row r="476" spans="1:8" ht="15.6">
      <c r="A476" s="19"/>
      <c r="D476" s="86"/>
      <c r="E476" s="86"/>
      <c r="F476" s="86"/>
      <c r="G476" s="86"/>
      <c r="H476" s="86"/>
    </row>
    <row r="477" spans="1:8" ht="15.6">
      <c r="A477" s="19"/>
      <c r="D477" s="86"/>
      <c r="E477" s="86"/>
      <c r="F477" s="86"/>
      <c r="G477" s="86"/>
      <c r="H477" s="86"/>
    </row>
    <row r="478" spans="1:8" ht="15.6">
      <c r="A478" s="19"/>
      <c r="D478" s="86"/>
      <c r="E478" s="86"/>
      <c r="F478" s="86"/>
      <c r="G478" s="86"/>
      <c r="H478" s="86"/>
    </row>
    <row r="479" spans="1:8" ht="15.6">
      <c r="A479" s="19"/>
      <c r="D479" s="86"/>
      <c r="E479" s="86"/>
      <c r="F479" s="86"/>
      <c r="G479" s="86"/>
      <c r="H479" s="86"/>
    </row>
    <row r="480" spans="1:8" ht="15.6">
      <c r="A480" s="19"/>
      <c r="D480" s="86"/>
      <c r="E480" s="86"/>
      <c r="F480" s="86"/>
      <c r="G480" s="86"/>
      <c r="H480" s="86"/>
    </row>
    <row r="481" spans="1:8" ht="15.6">
      <c r="A481" s="19"/>
      <c r="D481" s="86"/>
      <c r="E481" s="86"/>
      <c r="F481" s="86"/>
      <c r="G481" s="86"/>
      <c r="H481" s="86"/>
    </row>
    <row r="482" spans="1:8" ht="15.6">
      <c r="A482" s="19"/>
      <c r="D482" s="86"/>
      <c r="E482" s="86"/>
      <c r="F482" s="86"/>
      <c r="G482" s="86"/>
      <c r="H482" s="86"/>
    </row>
    <row r="483" spans="1:8" ht="15.6">
      <c r="A483" s="19"/>
      <c r="D483" s="86"/>
      <c r="E483" s="86"/>
      <c r="F483" s="86"/>
      <c r="G483" s="86"/>
      <c r="H483" s="86"/>
    </row>
    <row r="484" spans="1:8" ht="15.6">
      <c r="A484" s="19"/>
      <c r="D484" s="86"/>
      <c r="E484" s="86"/>
      <c r="F484" s="86"/>
      <c r="G484" s="86"/>
      <c r="H484" s="86"/>
    </row>
    <row r="485" spans="1:8" ht="15.6">
      <c r="A485" s="19"/>
      <c r="D485" s="86"/>
      <c r="E485" s="86"/>
      <c r="F485" s="86"/>
      <c r="G485" s="86"/>
      <c r="H485" s="86"/>
    </row>
    <row r="486" spans="1:8" ht="15.6">
      <c r="A486" s="19"/>
      <c r="D486" s="86"/>
      <c r="E486" s="86"/>
      <c r="F486" s="86"/>
      <c r="G486" s="86"/>
      <c r="H486" s="86"/>
    </row>
    <row r="487" spans="1:8" ht="15.6">
      <c r="A487" s="19"/>
      <c r="D487" s="86"/>
      <c r="E487" s="86"/>
      <c r="F487" s="86"/>
      <c r="G487" s="86"/>
      <c r="H487" s="86"/>
    </row>
    <row r="488" spans="1:8" ht="15.6">
      <c r="A488" s="19"/>
      <c r="D488" s="86"/>
      <c r="E488" s="86"/>
      <c r="F488" s="86"/>
      <c r="G488" s="86"/>
      <c r="H488" s="86"/>
    </row>
    <row r="489" spans="1:8" ht="15.6">
      <c r="A489" s="19"/>
      <c r="D489" s="86"/>
      <c r="E489" s="86"/>
      <c r="F489" s="86"/>
      <c r="G489" s="86"/>
      <c r="H489" s="86"/>
    </row>
    <row r="490" spans="1:8" ht="15.6">
      <c r="A490" s="19"/>
      <c r="D490" s="86"/>
      <c r="E490" s="86"/>
      <c r="F490" s="86"/>
      <c r="G490" s="86"/>
      <c r="H490" s="86"/>
    </row>
    <row r="491" spans="1:8" ht="15.6">
      <c r="A491" s="19"/>
      <c r="D491" s="86"/>
      <c r="E491" s="86"/>
      <c r="F491" s="86"/>
      <c r="G491" s="86"/>
      <c r="H491" s="86"/>
    </row>
    <row r="492" spans="1:8" ht="15.6">
      <c r="A492" s="19"/>
      <c r="D492" s="86"/>
      <c r="E492" s="86"/>
      <c r="F492" s="86"/>
      <c r="G492" s="86"/>
      <c r="H492" s="86"/>
    </row>
    <row r="493" spans="1:8" ht="15.6">
      <c r="A493" s="19"/>
      <c r="D493" s="86"/>
      <c r="E493" s="86"/>
      <c r="F493" s="86"/>
      <c r="G493" s="86"/>
      <c r="H493" s="86"/>
    </row>
    <row r="494" spans="1:8" ht="15.6">
      <c r="A494" s="19"/>
      <c r="D494" s="86"/>
      <c r="E494" s="86"/>
      <c r="F494" s="86"/>
      <c r="G494" s="86"/>
      <c r="H494" s="86"/>
    </row>
    <row r="495" spans="1:8" ht="15.6">
      <c r="A495" s="19"/>
      <c r="D495" s="86"/>
      <c r="E495" s="86"/>
      <c r="F495" s="86"/>
      <c r="G495" s="86"/>
      <c r="H495" s="86"/>
    </row>
    <row r="496" spans="1:8" ht="15.6">
      <c r="A496" s="19"/>
      <c r="D496" s="86"/>
      <c r="E496" s="86"/>
      <c r="F496" s="86"/>
      <c r="G496" s="86"/>
      <c r="H496" s="86"/>
    </row>
    <row r="497" spans="1:8" ht="15.6">
      <c r="A497" s="19"/>
      <c r="D497" s="86"/>
      <c r="E497" s="86"/>
      <c r="F497" s="86"/>
      <c r="G497" s="86"/>
      <c r="H497" s="86"/>
    </row>
    <row r="498" spans="1:8" ht="15.6">
      <c r="A498" s="19"/>
      <c r="D498" s="86"/>
      <c r="E498" s="86"/>
      <c r="F498" s="86"/>
      <c r="G498" s="86"/>
      <c r="H498" s="86"/>
    </row>
    <row r="499" spans="1:8" ht="15.6">
      <c r="A499" s="19"/>
      <c r="D499" s="86"/>
      <c r="E499" s="86"/>
      <c r="F499" s="86"/>
      <c r="G499" s="86"/>
      <c r="H499" s="86"/>
    </row>
    <row r="500" spans="1:8" ht="15.6">
      <c r="A500" s="19"/>
      <c r="D500" s="86"/>
      <c r="E500" s="86"/>
      <c r="F500" s="86"/>
      <c r="G500" s="86"/>
      <c r="H500" s="86"/>
    </row>
    <row r="501" spans="1:8" ht="15.6">
      <c r="A501" s="19"/>
      <c r="D501" s="86"/>
      <c r="E501" s="86"/>
      <c r="F501" s="86"/>
      <c r="G501" s="86"/>
      <c r="H501" s="86"/>
    </row>
    <row r="502" spans="1:8" ht="15.6">
      <c r="A502" s="19"/>
      <c r="D502" s="86"/>
      <c r="E502" s="86"/>
      <c r="F502" s="86"/>
      <c r="G502" s="86"/>
      <c r="H502" s="86"/>
    </row>
    <row r="503" spans="1:8" ht="15.6">
      <c r="A503" s="19"/>
      <c r="D503" s="86"/>
      <c r="E503" s="86"/>
      <c r="F503" s="86"/>
      <c r="G503" s="86"/>
      <c r="H503" s="86"/>
    </row>
    <row r="504" spans="1:8" ht="15.6">
      <c r="A504" s="19"/>
      <c r="D504" s="86"/>
      <c r="E504" s="86"/>
      <c r="F504" s="86"/>
      <c r="G504" s="86"/>
      <c r="H504" s="86"/>
    </row>
    <row r="505" spans="1:8" ht="15.6">
      <c r="A505" s="19"/>
      <c r="D505" s="86"/>
      <c r="E505" s="86"/>
      <c r="F505" s="86"/>
      <c r="G505" s="86"/>
      <c r="H505" s="86"/>
    </row>
    <row r="506" spans="1:8" ht="15.6">
      <c r="A506" s="19"/>
      <c r="D506" s="86"/>
      <c r="E506" s="86"/>
      <c r="F506" s="86"/>
      <c r="G506" s="86"/>
      <c r="H506" s="86"/>
    </row>
    <row r="507" spans="1:8" ht="15.6">
      <c r="A507" s="19"/>
      <c r="D507" s="86"/>
      <c r="E507" s="86"/>
      <c r="F507" s="86"/>
      <c r="G507" s="86"/>
      <c r="H507" s="86"/>
    </row>
    <row r="508" spans="1:8" ht="15.6">
      <c r="A508" s="19"/>
      <c r="D508" s="86"/>
      <c r="E508" s="86"/>
      <c r="F508" s="86"/>
      <c r="G508" s="86"/>
      <c r="H508" s="86"/>
    </row>
    <row r="509" spans="1:8" ht="15.6">
      <c r="A509" s="19"/>
      <c r="D509" s="86"/>
      <c r="E509" s="86"/>
      <c r="F509" s="86"/>
      <c r="G509" s="86"/>
      <c r="H509" s="86"/>
    </row>
    <row r="510" spans="1:8" ht="15.6">
      <c r="A510" s="19"/>
      <c r="D510" s="86"/>
      <c r="E510" s="86"/>
      <c r="F510" s="86"/>
      <c r="G510" s="86"/>
      <c r="H510" s="86"/>
    </row>
    <row r="511" spans="1:8" ht="15.6">
      <c r="A511" s="19"/>
      <c r="D511" s="86"/>
      <c r="E511" s="86"/>
      <c r="F511" s="86"/>
      <c r="G511" s="86"/>
      <c r="H511" s="86"/>
    </row>
    <row r="512" spans="1:8" ht="15.6">
      <c r="A512" s="19"/>
      <c r="D512" s="86"/>
      <c r="E512" s="86"/>
      <c r="F512" s="86"/>
      <c r="G512" s="86"/>
      <c r="H512" s="86"/>
    </row>
    <row r="513" spans="1:8" ht="15.6">
      <c r="A513" s="19"/>
      <c r="D513" s="86"/>
      <c r="E513" s="86"/>
      <c r="F513" s="86"/>
      <c r="G513" s="86"/>
      <c r="H513" s="86"/>
    </row>
    <row r="514" spans="1:8" ht="15.6">
      <c r="A514" s="19"/>
      <c r="D514" s="86"/>
      <c r="E514" s="86"/>
      <c r="F514" s="86"/>
      <c r="G514" s="86"/>
      <c r="H514" s="86"/>
    </row>
    <row r="515" spans="1:8" ht="15.6">
      <c r="A515" s="19"/>
      <c r="D515" s="86"/>
      <c r="E515" s="86"/>
      <c r="F515" s="86"/>
      <c r="G515" s="86"/>
      <c r="H515" s="86"/>
    </row>
    <row r="516" spans="1:8" ht="15.6">
      <c r="A516" s="19"/>
      <c r="D516" s="86"/>
      <c r="E516" s="86"/>
      <c r="F516" s="86"/>
      <c r="G516" s="86"/>
      <c r="H516" s="86"/>
    </row>
    <row r="517" spans="1:8" ht="15.6">
      <c r="A517" s="19"/>
      <c r="D517" s="86"/>
      <c r="E517" s="86"/>
      <c r="F517" s="86"/>
      <c r="G517" s="86"/>
      <c r="H517" s="86"/>
    </row>
    <row r="518" spans="1:8" ht="15.6">
      <c r="A518" s="19"/>
      <c r="D518" s="86"/>
      <c r="E518" s="86"/>
      <c r="F518" s="86"/>
      <c r="G518" s="86"/>
      <c r="H518" s="86"/>
    </row>
    <row r="519" spans="1:8" ht="15.6">
      <c r="A519" s="19"/>
      <c r="D519" s="86"/>
      <c r="E519" s="86"/>
      <c r="F519" s="86"/>
      <c r="G519" s="86"/>
      <c r="H519" s="86"/>
    </row>
    <row r="520" spans="1:8" ht="15.6">
      <c r="A520" s="19"/>
      <c r="D520" s="86"/>
      <c r="E520" s="86"/>
      <c r="F520" s="86"/>
      <c r="G520" s="86"/>
      <c r="H520" s="86"/>
    </row>
    <row r="521" spans="1:8" ht="15.6">
      <c r="A521" s="19"/>
      <c r="D521" s="86"/>
      <c r="E521" s="86"/>
      <c r="F521" s="86"/>
      <c r="G521" s="86"/>
      <c r="H521" s="86"/>
    </row>
    <row r="522" spans="1:8" ht="15.6">
      <c r="A522" s="19"/>
      <c r="D522" s="86"/>
      <c r="E522" s="86"/>
      <c r="F522" s="86"/>
      <c r="G522" s="86"/>
      <c r="H522" s="86"/>
    </row>
    <row r="523" spans="1:8" ht="15.6">
      <c r="A523" s="19"/>
      <c r="D523" s="86"/>
      <c r="E523" s="86"/>
      <c r="F523" s="86"/>
      <c r="G523" s="86"/>
      <c r="H523" s="86"/>
    </row>
    <row r="524" spans="1:8" ht="15.6">
      <c r="A524" s="19"/>
      <c r="D524" s="86"/>
      <c r="E524" s="86"/>
      <c r="F524" s="86"/>
      <c r="G524" s="86"/>
      <c r="H524" s="86"/>
    </row>
    <row r="525" spans="1:8" ht="15.6">
      <c r="A525" s="19"/>
      <c r="D525" s="86"/>
      <c r="E525" s="86"/>
      <c r="F525" s="86"/>
      <c r="G525" s="86"/>
      <c r="H525" s="86"/>
    </row>
    <row r="526" spans="1:8" ht="15.6">
      <c r="A526" s="19"/>
      <c r="D526" s="86"/>
      <c r="E526" s="86"/>
      <c r="F526" s="86"/>
      <c r="G526" s="86"/>
      <c r="H526" s="86"/>
    </row>
    <row r="527" spans="1:8" ht="15.6">
      <c r="A527" s="19"/>
      <c r="D527" s="86"/>
      <c r="E527" s="86"/>
      <c r="F527" s="86"/>
      <c r="G527" s="86"/>
      <c r="H527" s="86"/>
    </row>
    <row r="528" spans="1:8" ht="15.6">
      <c r="A528" s="19"/>
      <c r="D528" s="86"/>
      <c r="E528" s="86"/>
      <c r="F528" s="86"/>
      <c r="G528" s="86"/>
      <c r="H528" s="86"/>
    </row>
    <row r="529" spans="1:8" ht="15.6">
      <c r="A529" s="19"/>
      <c r="D529" s="86"/>
      <c r="E529" s="86"/>
      <c r="F529" s="86"/>
      <c r="G529" s="86"/>
      <c r="H529" s="86"/>
    </row>
    <row r="530" spans="1:8" ht="15.6">
      <c r="A530" s="19"/>
      <c r="D530" s="86"/>
      <c r="E530" s="86"/>
      <c r="F530" s="86"/>
      <c r="G530" s="86"/>
      <c r="H530" s="86"/>
    </row>
    <row r="531" spans="1:8" ht="15.6">
      <c r="A531" s="19"/>
      <c r="D531" s="86"/>
      <c r="E531" s="86"/>
      <c r="F531" s="86"/>
      <c r="G531" s="86"/>
      <c r="H531" s="86"/>
    </row>
    <row r="532" spans="1:8" ht="15.6">
      <c r="A532" s="19"/>
      <c r="D532" s="86"/>
      <c r="E532" s="86"/>
      <c r="F532" s="86"/>
      <c r="G532" s="86"/>
      <c r="H532" s="86"/>
    </row>
    <row r="533" spans="1:8" ht="15.6">
      <c r="A533" s="19"/>
      <c r="D533" s="86"/>
      <c r="E533" s="86"/>
      <c r="F533" s="86"/>
      <c r="G533" s="86"/>
      <c r="H533" s="86"/>
    </row>
    <row r="534" spans="1:8" ht="15.6">
      <c r="A534" s="19"/>
      <c r="D534" s="86"/>
      <c r="E534" s="86"/>
      <c r="F534" s="86"/>
      <c r="G534" s="86"/>
      <c r="H534" s="86"/>
    </row>
    <row r="535" spans="1:8" ht="15.6">
      <c r="A535" s="19"/>
      <c r="D535" s="86"/>
      <c r="E535" s="86"/>
      <c r="F535" s="86"/>
      <c r="G535" s="86"/>
      <c r="H535" s="86"/>
    </row>
    <row r="536" spans="1:8" ht="15.6">
      <c r="A536" s="19"/>
      <c r="D536" s="86"/>
      <c r="E536" s="86"/>
      <c r="F536" s="86"/>
      <c r="G536" s="86"/>
      <c r="H536" s="86"/>
    </row>
    <row r="537" spans="1:8" ht="15.6">
      <c r="A537" s="19"/>
      <c r="D537" s="86"/>
      <c r="E537" s="86"/>
      <c r="F537" s="86"/>
      <c r="G537" s="86"/>
      <c r="H537" s="86"/>
    </row>
    <row r="538" spans="1:8" ht="15.6">
      <c r="A538" s="19"/>
      <c r="D538" s="86"/>
      <c r="E538" s="86"/>
      <c r="F538" s="86"/>
      <c r="G538" s="86"/>
      <c r="H538" s="86"/>
    </row>
    <row r="539" spans="1:8" ht="15.6">
      <c r="A539" s="19"/>
      <c r="D539" s="86"/>
      <c r="E539" s="86"/>
      <c r="F539" s="86"/>
      <c r="G539" s="86"/>
      <c r="H539" s="86"/>
    </row>
    <row r="540" spans="1:8" ht="15.6">
      <c r="A540" s="19"/>
      <c r="D540" s="86"/>
      <c r="E540" s="86"/>
      <c r="F540" s="86"/>
      <c r="G540" s="86"/>
      <c r="H540" s="86"/>
    </row>
    <row r="541" spans="1:8" ht="15.6">
      <c r="A541" s="19"/>
      <c r="D541" s="86"/>
      <c r="E541" s="86"/>
      <c r="F541" s="86"/>
      <c r="G541" s="86"/>
      <c r="H541" s="86"/>
    </row>
    <row r="542" spans="1:8" ht="15.6">
      <c r="A542" s="19"/>
      <c r="D542" s="86"/>
      <c r="E542" s="86"/>
      <c r="F542" s="86"/>
      <c r="G542" s="86"/>
      <c r="H542" s="86"/>
    </row>
    <row r="543" spans="1:8" ht="15.6">
      <c r="A543" s="19"/>
      <c r="D543" s="86"/>
      <c r="E543" s="86"/>
      <c r="F543" s="86"/>
      <c r="G543" s="86"/>
      <c r="H543" s="86"/>
    </row>
    <row r="544" spans="1:8" ht="15.6">
      <c r="A544" s="19"/>
      <c r="D544" s="86"/>
      <c r="E544" s="86"/>
      <c r="F544" s="86"/>
      <c r="G544" s="86"/>
      <c r="H544" s="86"/>
    </row>
    <row r="545" spans="1:8" ht="15.6">
      <c r="A545" s="19"/>
      <c r="D545" s="86"/>
      <c r="E545" s="86"/>
      <c r="F545" s="86"/>
      <c r="G545" s="86"/>
      <c r="H545" s="86"/>
    </row>
    <row r="546" spans="1:8" ht="15.6">
      <c r="A546" s="19"/>
      <c r="D546" s="86"/>
      <c r="E546" s="86"/>
      <c r="F546" s="86"/>
      <c r="G546" s="86"/>
      <c r="H546" s="86"/>
    </row>
    <row r="547" spans="1:8" ht="15.6">
      <c r="A547" s="19"/>
      <c r="D547" s="86"/>
      <c r="E547" s="86"/>
      <c r="F547" s="86"/>
      <c r="G547" s="86"/>
      <c r="H547" s="86"/>
    </row>
    <row r="548" spans="1:8" ht="15.6">
      <c r="A548" s="19"/>
      <c r="D548" s="86"/>
      <c r="E548" s="86"/>
      <c r="F548" s="86"/>
      <c r="G548" s="86"/>
      <c r="H548" s="86"/>
    </row>
    <row r="549" spans="1:8" ht="15.6">
      <c r="A549" s="19"/>
      <c r="D549" s="86"/>
      <c r="E549" s="86"/>
      <c r="F549" s="86"/>
      <c r="G549" s="86"/>
      <c r="H549" s="86"/>
    </row>
    <row r="550" spans="1:8" ht="15.6">
      <c r="A550" s="19"/>
      <c r="D550" s="86"/>
      <c r="E550" s="86"/>
      <c r="F550" s="86"/>
      <c r="G550" s="86"/>
      <c r="H550" s="86"/>
    </row>
    <row r="551" spans="1:8" ht="15.6">
      <c r="A551" s="19"/>
      <c r="D551" s="86"/>
      <c r="E551" s="86"/>
      <c r="F551" s="86"/>
      <c r="G551" s="86"/>
      <c r="H551" s="86"/>
    </row>
    <row r="552" spans="1:8" ht="15.6">
      <c r="A552" s="19"/>
      <c r="D552" s="86"/>
      <c r="E552" s="86"/>
      <c r="F552" s="86"/>
      <c r="G552" s="86"/>
      <c r="H552" s="86"/>
    </row>
    <row r="553" spans="1:8" ht="15.6">
      <c r="A553" s="19"/>
      <c r="D553" s="86"/>
      <c r="E553" s="86"/>
      <c r="F553" s="86"/>
      <c r="G553" s="86"/>
      <c r="H553" s="86"/>
    </row>
    <row r="554" spans="1:8" ht="15.6">
      <c r="A554" s="19"/>
      <c r="D554" s="86"/>
      <c r="E554" s="86"/>
      <c r="F554" s="86"/>
      <c r="G554" s="86"/>
      <c r="H554" s="86"/>
    </row>
    <row r="555" spans="1:8" ht="15.6">
      <c r="A555" s="19"/>
      <c r="D555" s="86"/>
      <c r="E555" s="86"/>
      <c r="F555" s="86"/>
      <c r="G555" s="86"/>
      <c r="H555" s="86"/>
    </row>
    <row r="556" spans="1:8" ht="15.6">
      <c r="A556" s="19"/>
      <c r="D556" s="86"/>
      <c r="E556" s="86"/>
      <c r="F556" s="86"/>
      <c r="G556" s="86"/>
      <c r="H556" s="86"/>
    </row>
    <row r="557" spans="1:8" ht="15.6">
      <c r="A557" s="19"/>
      <c r="D557" s="86"/>
      <c r="E557" s="86"/>
      <c r="F557" s="86"/>
      <c r="G557" s="86"/>
      <c r="H557" s="86"/>
    </row>
    <row r="558" spans="1:8" ht="15.6">
      <c r="A558" s="19"/>
      <c r="D558" s="86"/>
      <c r="E558" s="86"/>
      <c r="F558" s="86"/>
      <c r="G558" s="86"/>
      <c r="H558" s="86"/>
    </row>
    <row r="559" spans="1:8" ht="15.6">
      <c r="A559" s="19"/>
      <c r="D559" s="86"/>
      <c r="E559" s="86"/>
      <c r="F559" s="86"/>
      <c r="G559" s="86"/>
      <c r="H559" s="86"/>
    </row>
    <row r="560" spans="1:8" ht="15.6">
      <c r="A560" s="19"/>
      <c r="D560" s="86"/>
      <c r="E560" s="86"/>
      <c r="F560" s="86"/>
      <c r="G560" s="86"/>
      <c r="H560" s="86"/>
    </row>
    <row r="561" spans="1:8" ht="15.6">
      <c r="A561" s="19"/>
      <c r="D561" s="86"/>
      <c r="E561" s="86"/>
      <c r="F561" s="86"/>
      <c r="G561" s="86"/>
      <c r="H561" s="86"/>
    </row>
    <row r="562" spans="1:8" ht="15.6">
      <c r="A562" s="19"/>
      <c r="D562" s="86"/>
      <c r="E562" s="86"/>
      <c r="F562" s="86"/>
      <c r="G562" s="86"/>
      <c r="H562" s="86"/>
    </row>
    <row r="563" spans="1:8" ht="15.6">
      <c r="A563" s="19"/>
      <c r="D563" s="86"/>
      <c r="E563" s="86"/>
      <c r="F563" s="86"/>
      <c r="G563" s="86"/>
      <c r="H563" s="86"/>
    </row>
    <row r="564" spans="1:8" ht="15.6">
      <c r="A564" s="19"/>
      <c r="D564" s="86"/>
      <c r="E564" s="86"/>
      <c r="F564" s="86"/>
      <c r="G564" s="86"/>
      <c r="H564" s="86"/>
    </row>
    <row r="565" spans="1:8" ht="15.6">
      <c r="A565" s="19"/>
      <c r="D565" s="86"/>
      <c r="E565" s="86"/>
      <c r="F565" s="86"/>
      <c r="G565" s="86"/>
      <c r="H565" s="86"/>
    </row>
    <row r="566" spans="1:8" ht="15.6">
      <c r="A566" s="19"/>
      <c r="D566" s="86"/>
      <c r="E566" s="86"/>
      <c r="F566" s="86"/>
      <c r="G566" s="86"/>
      <c r="H566" s="86"/>
    </row>
    <row r="567" spans="1:8" ht="15.6">
      <c r="A567" s="19"/>
      <c r="D567" s="86"/>
      <c r="E567" s="86"/>
      <c r="F567" s="86"/>
      <c r="G567" s="86"/>
      <c r="H567" s="86"/>
    </row>
    <row r="568" spans="1:8" ht="15.6">
      <c r="A568" s="19"/>
      <c r="D568" s="86"/>
      <c r="E568" s="86"/>
      <c r="F568" s="86"/>
      <c r="G568" s="86"/>
      <c r="H568" s="86"/>
    </row>
    <row r="569" spans="1:8" ht="15.6">
      <c r="A569" s="19"/>
      <c r="D569" s="86"/>
      <c r="E569" s="86"/>
      <c r="F569" s="86"/>
      <c r="G569" s="86"/>
      <c r="H569" s="86"/>
    </row>
    <row r="570" spans="1:8" ht="15.6">
      <c r="A570" s="19"/>
      <c r="D570" s="86"/>
      <c r="E570" s="86"/>
      <c r="F570" s="86"/>
      <c r="G570" s="86"/>
      <c r="H570" s="86"/>
    </row>
    <row r="571" spans="1:8" ht="15.6">
      <c r="A571" s="19"/>
      <c r="D571" s="86"/>
      <c r="E571" s="86"/>
      <c r="F571" s="86"/>
      <c r="G571" s="86"/>
      <c r="H571" s="86"/>
    </row>
    <row r="572" spans="1:8" ht="15.6">
      <c r="A572" s="19"/>
      <c r="D572" s="86"/>
      <c r="E572" s="86"/>
      <c r="F572" s="86"/>
      <c r="G572" s="86"/>
      <c r="H572" s="86"/>
    </row>
    <row r="573" spans="1:8" ht="15.6">
      <c r="A573" s="19"/>
      <c r="D573" s="86"/>
      <c r="E573" s="86"/>
      <c r="F573" s="86"/>
      <c r="G573" s="86"/>
      <c r="H573" s="86"/>
    </row>
    <row r="574" spans="1:8" ht="15.6">
      <c r="A574" s="19"/>
      <c r="D574" s="86"/>
      <c r="E574" s="86"/>
      <c r="F574" s="86"/>
      <c r="G574" s="86"/>
      <c r="H574" s="86"/>
    </row>
    <row r="575" spans="1:8" ht="15.6">
      <c r="A575" s="19"/>
      <c r="D575" s="86"/>
      <c r="E575" s="86"/>
      <c r="F575" s="86"/>
      <c r="G575" s="86"/>
      <c r="H575" s="86"/>
    </row>
    <row r="576" spans="1:8" ht="15.6">
      <c r="A576" s="19"/>
      <c r="D576" s="86"/>
      <c r="E576" s="86"/>
      <c r="F576" s="86"/>
      <c r="G576" s="86"/>
      <c r="H576" s="86"/>
    </row>
    <row r="577" spans="1:8" ht="15.6">
      <c r="A577" s="19"/>
      <c r="D577" s="86"/>
      <c r="E577" s="86"/>
      <c r="F577" s="86"/>
      <c r="G577" s="86"/>
      <c r="H577" s="86"/>
    </row>
    <row r="578" spans="1:8" ht="15.6">
      <c r="A578" s="19"/>
      <c r="D578" s="86"/>
      <c r="E578" s="86"/>
      <c r="F578" s="86"/>
      <c r="G578" s="86"/>
      <c r="H578" s="86"/>
    </row>
    <row r="579" spans="1:8" ht="15.6">
      <c r="A579" s="19"/>
      <c r="D579" s="86"/>
      <c r="E579" s="86"/>
      <c r="F579" s="86"/>
      <c r="G579" s="86"/>
      <c r="H579" s="86"/>
    </row>
    <row r="580" spans="1:8" ht="15.6">
      <c r="A580" s="19"/>
      <c r="D580" s="86"/>
      <c r="E580" s="86"/>
      <c r="F580" s="86"/>
      <c r="G580" s="86"/>
      <c r="H580" s="86"/>
    </row>
    <row r="581" spans="1:8" ht="15.6">
      <c r="A581" s="19"/>
      <c r="D581" s="86"/>
      <c r="E581" s="86"/>
      <c r="F581" s="86"/>
      <c r="G581" s="86"/>
      <c r="H581" s="86"/>
    </row>
    <row r="582" spans="1:8" ht="15.6">
      <c r="A582" s="19"/>
      <c r="D582" s="86"/>
      <c r="E582" s="86"/>
      <c r="F582" s="86"/>
      <c r="G582" s="86"/>
      <c r="H582" s="86"/>
    </row>
    <row r="583" spans="1:8" ht="15.6">
      <c r="A583" s="19"/>
      <c r="D583" s="86"/>
      <c r="E583" s="86"/>
      <c r="F583" s="86"/>
      <c r="G583" s="86"/>
      <c r="H583" s="86"/>
    </row>
    <row r="584" spans="1:8" ht="15.6">
      <c r="A584" s="19"/>
      <c r="D584" s="86"/>
      <c r="E584" s="86"/>
      <c r="F584" s="86"/>
      <c r="G584" s="86"/>
      <c r="H584" s="86"/>
    </row>
    <row r="585" spans="1:8" ht="15.6">
      <c r="A585" s="19"/>
      <c r="D585" s="86"/>
      <c r="E585" s="86"/>
      <c r="F585" s="86"/>
      <c r="G585" s="86"/>
      <c r="H585" s="86"/>
    </row>
    <row r="586" spans="1:8" ht="15.6">
      <c r="A586" s="19"/>
      <c r="D586" s="86"/>
      <c r="E586" s="86"/>
      <c r="F586" s="86"/>
      <c r="G586" s="86"/>
      <c r="H586" s="86"/>
    </row>
    <row r="587" spans="1:8" ht="15.6">
      <c r="A587" s="19"/>
      <c r="D587" s="86"/>
      <c r="E587" s="86"/>
      <c r="F587" s="86"/>
      <c r="G587" s="86"/>
      <c r="H587" s="86"/>
    </row>
    <row r="588" spans="1:8" ht="15.6">
      <c r="A588" s="19"/>
      <c r="D588" s="86"/>
      <c r="E588" s="86"/>
      <c r="F588" s="86"/>
      <c r="G588" s="86"/>
      <c r="H588" s="86"/>
    </row>
    <row r="589" spans="1:8" ht="15.6">
      <c r="A589" s="19"/>
      <c r="D589" s="86"/>
      <c r="E589" s="86"/>
      <c r="F589" s="86"/>
      <c r="G589" s="86"/>
      <c r="H589" s="86"/>
    </row>
    <row r="590" spans="1:8" ht="15.6">
      <c r="A590" s="19"/>
      <c r="D590" s="86"/>
      <c r="E590" s="86"/>
      <c r="F590" s="86"/>
      <c r="G590" s="86"/>
      <c r="H590" s="86"/>
    </row>
    <row r="591" spans="1:8" ht="15.6">
      <c r="A591" s="19"/>
      <c r="D591" s="86"/>
      <c r="E591" s="86"/>
      <c r="F591" s="86"/>
      <c r="G591" s="86"/>
      <c r="H591" s="86"/>
    </row>
    <row r="592" spans="1:8" ht="15.6">
      <c r="A592" s="19"/>
      <c r="D592" s="86"/>
      <c r="E592" s="86"/>
      <c r="F592" s="86"/>
      <c r="G592" s="86"/>
      <c r="H592" s="86"/>
    </row>
    <row r="593" spans="1:8" ht="15.6">
      <c r="A593" s="19"/>
      <c r="D593" s="86"/>
      <c r="E593" s="86"/>
      <c r="F593" s="86"/>
      <c r="G593" s="86"/>
      <c r="H593" s="86"/>
    </row>
    <row r="594" spans="1:8" ht="15.6">
      <c r="A594" s="19"/>
      <c r="D594" s="86"/>
      <c r="E594" s="86"/>
      <c r="F594" s="86"/>
      <c r="G594" s="86"/>
      <c r="H594" s="86"/>
    </row>
    <row r="595" spans="1:8" ht="15.6">
      <c r="A595" s="19"/>
      <c r="D595" s="86"/>
      <c r="E595" s="86"/>
      <c r="F595" s="86"/>
      <c r="G595" s="86"/>
      <c r="H595" s="86"/>
    </row>
    <row r="596" spans="1:8" ht="15.6">
      <c r="A596" s="19"/>
      <c r="D596" s="86"/>
      <c r="E596" s="86"/>
      <c r="F596" s="86"/>
      <c r="G596" s="86"/>
      <c r="H596" s="86"/>
    </row>
    <row r="597" spans="1:8" ht="15.6">
      <c r="A597" s="19"/>
      <c r="D597" s="86"/>
      <c r="E597" s="86"/>
      <c r="F597" s="86"/>
      <c r="G597" s="86"/>
      <c r="H597" s="86"/>
    </row>
    <row r="598" spans="1:8" ht="15.6">
      <c r="A598" s="19"/>
      <c r="D598" s="86"/>
      <c r="E598" s="86"/>
      <c r="F598" s="86"/>
      <c r="G598" s="86"/>
      <c r="H598" s="86"/>
    </row>
    <row r="599" spans="1:8" ht="15.6">
      <c r="A599" s="19"/>
      <c r="D599" s="86"/>
      <c r="E599" s="86"/>
      <c r="F599" s="86"/>
      <c r="G599" s="86"/>
      <c r="H599" s="86"/>
    </row>
    <row r="600" spans="1:8" ht="15.6">
      <c r="A600" s="19"/>
      <c r="D600" s="86"/>
      <c r="E600" s="86"/>
      <c r="F600" s="86"/>
      <c r="G600" s="86"/>
      <c r="H600" s="86"/>
    </row>
    <row r="601" spans="1:8" ht="15.6">
      <c r="A601" s="19"/>
      <c r="D601" s="86"/>
      <c r="E601" s="86"/>
      <c r="F601" s="86"/>
      <c r="G601" s="86"/>
      <c r="H601" s="86"/>
    </row>
    <row r="602" spans="1:8" ht="15.6">
      <c r="A602" s="19"/>
      <c r="D602" s="86"/>
      <c r="E602" s="86"/>
      <c r="F602" s="86"/>
      <c r="G602" s="86"/>
      <c r="H602" s="86"/>
    </row>
    <row r="603" spans="1:8" ht="15.6">
      <c r="A603" s="19"/>
      <c r="D603" s="86"/>
      <c r="E603" s="86"/>
      <c r="F603" s="86"/>
      <c r="G603" s="86"/>
      <c r="H603" s="86"/>
    </row>
    <row r="604" spans="1:8" ht="15.6">
      <c r="A604" s="19"/>
      <c r="D604" s="86"/>
      <c r="E604" s="86"/>
      <c r="F604" s="86"/>
      <c r="G604" s="86"/>
      <c r="H604" s="86"/>
    </row>
    <row r="605" spans="1:8" ht="15.6">
      <c r="A605" s="19"/>
      <c r="D605" s="86"/>
      <c r="E605" s="86"/>
      <c r="F605" s="86"/>
      <c r="G605" s="86"/>
      <c r="H605" s="86"/>
    </row>
    <row r="606" spans="1:8" ht="15.6">
      <c r="A606" s="19"/>
      <c r="D606" s="86"/>
      <c r="E606" s="86"/>
      <c r="F606" s="86"/>
      <c r="G606" s="86"/>
      <c r="H606" s="86"/>
    </row>
    <row r="607" spans="1:8" ht="15.6">
      <c r="A607" s="19"/>
      <c r="D607" s="86"/>
      <c r="E607" s="86"/>
      <c r="F607" s="86"/>
      <c r="G607" s="86"/>
      <c r="H607" s="86"/>
    </row>
    <row r="608" spans="1:8" ht="15.6">
      <c r="A608" s="19"/>
      <c r="D608" s="86"/>
      <c r="E608" s="86"/>
      <c r="F608" s="86"/>
      <c r="G608" s="86"/>
      <c r="H608" s="86"/>
    </row>
    <row r="609" spans="1:8" ht="15.6">
      <c r="A609" s="19"/>
      <c r="D609" s="86"/>
      <c r="E609" s="86"/>
      <c r="F609" s="86"/>
      <c r="G609" s="86"/>
      <c r="H609" s="86"/>
    </row>
    <row r="610" spans="1:8" ht="15.6">
      <c r="A610" s="19"/>
      <c r="D610" s="86"/>
      <c r="E610" s="86"/>
      <c r="F610" s="86"/>
      <c r="G610" s="86"/>
      <c r="H610" s="86"/>
    </row>
    <row r="611" spans="1:8" ht="15.6">
      <c r="A611" s="19"/>
      <c r="D611" s="86"/>
      <c r="E611" s="86"/>
      <c r="F611" s="86"/>
      <c r="G611" s="86"/>
      <c r="H611" s="86"/>
    </row>
    <row r="612" spans="1:8" ht="15.6">
      <c r="A612" s="19"/>
      <c r="D612" s="86"/>
      <c r="E612" s="86"/>
      <c r="F612" s="86"/>
      <c r="G612" s="86"/>
      <c r="H612" s="86"/>
    </row>
    <row r="613" spans="1:8" ht="15.6">
      <c r="A613" s="19"/>
      <c r="D613" s="86"/>
      <c r="E613" s="86"/>
      <c r="F613" s="86"/>
      <c r="G613" s="86"/>
      <c r="H613" s="86"/>
    </row>
    <row r="614" spans="1:8" ht="15.6">
      <c r="A614" s="19"/>
      <c r="D614" s="86"/>
      <c r="E614" s="86"/>
      <c r="F614" s="86"/>
      <c r="G614" s="86"/>
      <c r="H614" s="86"/>
    </row>
    <row r="615" spans="1:8" ht="15.6">
      <c r="A615" s="19"/>
      <c r="D615" s="86"/>
      <c r="E615" s="86"/>
      <c r="F615" s="86"/>
      <c r="G615" s="86"/>
      <c r="H615" s="86"/>
    </row>
    <row r="616" spans="1:8" ht="15.6">
      <c r="A616" s="19"/>
      <c r="D616" s="86"/>
      <c r="E616" s="86"/>
      <c r="F616" s="86"/>
      <c r="G616" s="86"/>
      <c r="H616" s="86"/>
    </row>
    <row r="617" spans="1:8" ht="15.6">
      <c r="A617" s="19"/>
      <c r="D617" s="86"/>
      <c r="E617" s="86"/>
      <c r="F617" s="86"/>
      <c r="G617" s="86"/>
      <c r="H617" s="86"/>
    </row>
    <row r="618" spans="1:8" ht="15.6">
      <c r="A618" s="19"/>
      <c r="D618" s="86"/>
      <c r="E618" s="86"/>
      <c r="F618" s="86"/>
      <c r="G618" s="86"/>
      <c r="H618" s="86"/>
    </row>
    <row r="619" spans="1:8" ht="15.6">
      <c r="A619" s="19"/>
      <c r="D619" s="86"/>
      <c r="E619" s="86"/>
      <c r="F619" s="86"/>
      <c r="G619" s="86"/>
      <c r="H619" s="86"/>
    </row>
    <row r="620" spans="1:8" ht="15.6">
      <c r="A620" s="19"/>
      <c r="D620" s="86"/>
      <c r="E620" s="86"/>
      <c r="F620" s="86"/>
      <c r="G620" s="86"/>
      <c r="H620" s="86"/>
    </row>
    <row r="621" spans="1:8" ht="15.6">
      <c r="A621" s="19"/>
      <c r="D621" s="86"/>
      <c r="E621" s="86"/>
      <c r="F621" s="86"/>
      <c r="G621" s="86"/>
      <c r="H621" s="86"/>
    </row>
    <row r="622" spans="1:8" ht="15.6">
      <c r="A622" s="19"/>
      <c r="D622" s="86"/>
      <c r="E622" s="86"/>
      <c r="F622" s="86"/>
      <c r="G622" s="86"/>
      <c r="H622" s="86"/>
    </row>
    <row r="623" spans="1:8" ht="15.6">
      <c r="A623" s="19"/>
      <c r="D623" s="86"/>
      <c r="E623" s="86"/>
      <c r="F623" s="86"/>
      <c r="G623" s="86"/>
      <c r="H623" s="86"/>
    </row>
    <row r="624" spans="1:8" ht="15.6">
      <c r="A624" s="19"/>
      <c r="D624" s="86"/>
      <c r="E624" s="86"/>
      <c r="F624" s="86"/>
      <c r="G624" s="86"/>
      <c r="H624" s="86"/>
    </row>
    <row r="625" spans="1:8" ht="15.6">
      <c r="A625" s="19"/>
      <c r="D625" s="86"/>
      <c r="E625" s="86"/>
      <c r="F625" s="86"/>
      <c r="G625" s="86"/>
      <c r="H625" s="86"/>
    </row>
    <row r="626" spans="1:8" ht="15.6">
      <c r="A626" s="19"/>
      <c r="D626" s="86"/>
      <c r="E626" s="86"/>
      <c r="F626" s="86"/>
      <c r="G626" s="86"/>
      <c r="H626" s="86"/>
    </row>
    <row r="627" spans="1:8" ht="15.6">
      <c r="A627" s="19"/>
      <c r="D627" s="86"/>
      <c r="E627" s="86"/>
      <c r="F627" s="86"/>
      <c r="G627" s="86"/>
      <c r="H627" s="86"/>
    </row>
    <row r="628" spans="1:8" ht="15.6">
      <c r="A628" s="19"/>
      <c r="D628" s="86"/>
      <c r="E628" s="86"/>
      <c r="F628" s="86"/>
      <c r="G628" s="86"/>
      <c r="H628" s="86"/>
    </row>
    <row r="629" spans="1:8" ht="15.6">
      <c r="A629" s="19"/>
      <c r="D629" s="86"/>
      <c r="E629" s="86"/>
      <c r="F629" s="86"/>
      <c r="G629" s="86"/>
      <c r="H629" s="86"/>
    </row>
    <row r="630" spans="1:8" ht="15.6">
      <c r="A630" s="19"/>
      <c r="D630" s="86"/>
      <c r="E630" s="86"/>
      <c r="F630" s="86"/>
      <c r="G630" s="86"/>
      <c r="H630" s="86"/>
    </row>
    <row r="631" spans="1:8" ht="15.6">
      <c r="A631" s="19"/>
      <c r="D631" s="86"/>
      <c r="E631" s="86"/>
      <c r="F631" s="86"/>
      <c r="G631" s="86"/>
      <c r="H631" s="86"/>
    </row>
    <row r="632" spans="1:8" ht="15.6">
      <c r="A632" s="19"/>
      <c r="D632" s="86"/>
      <c r="E632" s="86"/>
      <c r="F632" s="86"/>
      <c r="G632" s="86"/>
      <c r="H632" s="86"/>
    </row>
    <row r="633" spans="1:8" ht="15.6">
      <c r="A633" s="19"/>
      <c r="D633" s="86"/>
      <c r="E633" s="86"/>
      <c r="F633" s="86"/>
      <c r="G633" s="86"/>
      <c r="H633" s="86"/>
    </row>
    <row r="634" spans="1:8" ht="15.6">
      <c r="A634" s="19"/>
      <c r="D634" s="86"/>
      <c r="E634" s="86"/>
      <c r="F634" s="86"/>
      <c r="G634" s="86"/>
      <c r="H634" s="86"/>
    </row>
    <row r="635" spans="1:8" ht="15.6">
      <c r="A635" s="19"/>
      <c r="D635" s="86"/>
      <c r="E635" s="86"/>
      <c r="F635" s="86"/>
      <c r="G635" s="86"/>
      <c r="H635" s="86"/>
    </row>
    <row r="636" spans="1:8" ht="15.6">
      <c r="A636" s="19"/>
      <c r="D636" s="86"/>
      <c r="E636" s="86"/>
      <c r="F636" s="86"/>
      <c r="G636" s="86"/>
      <c r="H636" s="86"/>
    </row>
    <row r="637" spans="1:8" ht="15.6">
      <c r="A637" s="19"/>
      <c r="D637" s="86"/>
      <c r="E637" s="86"/>
      <c r="F637" s="86"/>
      <c r="G637" s="86"/>
      <c r="H637" s="86"/>
    </row>
    <row r="638" spans="1:8" ht="15.6">
      <c r="A638" s="19"/>
      <c r="D638" s="86"/>
      <c r="E638" s="86"/>
      <c r="F638" s="86"/>
      <c r="G638" s="86"/>
      <c r="H638" s="86"/>
    </row>
    <row r="639" spans="1:8" ht="15.6">
      <c r="A639" s="19"/>
      <c r="D639" s="86"/>
      <c r="E639" s="86"/>
      <c r="F639" s="86"/>
      <c r="G639" s="86"/>
      <c r="H639" s="86"/>
    </row>
    <row r="640" spans="1:8" ht="15.6">
      <c r="A640" s="19"/>
      <c r="D640" s="86"/>
      <c r="E640" s="86"/>
      <c r="F640" s="86"/>
      <c r="G640" s="86"/>
      <c r="H640" s="86"/>
    </row>
    <row r="641" spans="1:8" ht="15.6">
      <c r="A641" s="19"/>
      <c r="D641" s="86"/>
      <c r="E641" s="86"/>
      <c r="F641" s="86"/>
      <c r="G641" s="86"/>
      <c r="H641" s="86"/>
    </row>
    <row r="642" spans="1:8" ht="15.6">
      <c r="A642" s="19"/>
      <c r="D642" s="86"/>
      <c r="E642" s="86"/>
      <c r="F642" s="86"/>
      <c r="G642" s="86"/>
      <c r="H642" s="86"/>
    </row>
    <row r="643" spans="1:8" ht="15.6">
      <c r="A643" s="19"/>
      <c r="D643" s="86"/>
      <c r="E643" s="86"/>
      <c r="F643" s="86"/>
      <c r="G643" s="86"/>
      <c r="H643" s="86"/>
    </row>
    <row r="644" spans="1:8" ht="15.6">
      <c r="A644" s="19"/>
      <c r="D644" s="86"/>
      <c r="E644" s="86"/>
      <c r="F644" s="86"/>
      <c r="G644" s="86"/>
      <c r="H644" s="86"/>
    </row>
    <row r="645" spans="1:8" ht="15.6">
      <c r="A645" s="19"/>
      <c r="D645" s="86"/>
      <c r="E645" s="86"/>
      <c r="F645" s="86"/>
      <c r="G645" s="86"/>
      <c r="H645" s="86"/>
    </row>
    <row r="646" spans="1:8" ht="15.6">
      <c r="A646" s="19"/>
      <c r="D646" s="86"/>
      <c r="E646" s="86"/>
      <c r="F646" s="86"/>
      <c r="G646" s="86"/>
      <c r="H646" s="86"/>
    </row>
    <row r="647" spans="1:8" ht="15.6">
      <c r="A647" s="19"/>
      <c r="D647" s="86"/>
      <c r="E647" s="86"/>
      <c r="F647" s="86"/>
      <c r="G647" s="86"/>
      <c r="H647" s="86"/>
    </row>
    <row r="648" spans="1:8" ht="15.6">
      <c r="A648" s="19"/>
      <c r="D648" s="86"/>
      <c r="E648" s="86"/>
      <c r="F648" s="86"/>
      <c r="G648" s="86"/>
      <c r="H648" s="86"/>
    </row>
    <row r="649" spans="1:8" ht="15.6">
      <c r="A649" s="19"/>
      <c r="D649" s="86"/>
      <c r="E649" s="86"/>
      <c r="F649" s="86"/>
      <c r="G649" s="86"/>
      <c r="H649" s="86"/>
    </row>
    <row r="650" spans="1:8" ht="15.6">
      <c r="A650" s="19"/>
      <c r="D650" s="86"/>
      <c r="E650" s="86"/>
      <c r="F650" s="86"/>
      <c r="G650" s="86"/>
      <c r="H650" s="86"/>
    </row>
    <row r="651" spans="1:8" ht="15.6">
      <c r="A651" s="19"/>
      <c r="D651" s="86"/>
      <c r="E651" s="86"/>
      <c r="F651" s="86"/>
      <c r="G651" s="86"/>
      <c r="H651" s="86"/>
    </row>
    <row r="652" spans="1:8" ht="15.6">
      <c r="A652" s="19"/>
      <c r="D652" s="86"/>
      <c r="E652" s="86"/>
      <c r="F652" s="86"/>
      <c r="G652" s="86"/>
      <c r="H652" s="86"/>
    </row>
    <row r="653" spans="1:8" ht="15.6">
      <c r="A653" s="19"/>
      <c r="D653" s="86"/>
      <c r="E653" s="86"/>
      <c r="F653" s="86"/>
      <c r="G653" s="86"/>
      <c r="H653" s="86"/>
    </row>
    <row r="654" spans="1:8" ht="15.6">
      <c r="A654" s="19"/>
      <c r="D654" s="86"/>
      <c r="E654" s="86"/>
      <c r="F654" s="86"/>
      <c r="G654" s="86"/>
      <c r="H654" s="86"/>
    </row>
    <row r="655" spans="1:8" ht="15.6">
      <c r="A655" s="19"/>
      <c r="D655" s="86"/>
      <c r="E655" s="86"/>
      <c r="F655" s="86"/>
      <c r="G655" s="86"/>
      <c r="H655" s="86"/>
    </row>
    <row r="656" spans="1:8" ht="15.6">
      <c r="A656" s="19"/>
      <c r="D656" s="86"/>
      <c r="E656" s="86"/>
      <c r="F656" s="86"/>
      <c r="G656" s="86"/>
      <c r="H656" s="86"/>
    </row>
    <row r="657" spans="1:8" ht="15.6">
      <c r="A657" s="19"/>
      <c r="D657" s="86"/>
      <c r="E657" s="86"/>
      <c r="F657" s="86"/>
      <c r="G657" s="86"/>
      <c r="H657" s="86"/>
    </row>
    <row r="658" spans="1:8" ht="15.6">
      <c r="A658" s="19"/>
      <c r="D658" s="86"/>
      <c r="E658" s="86"/>
      <c r="F658" s="86"/>
      <c r="G658" s="86"/>
      <c r="H658" s="86"/>
    </row>
    <row r="659" spans="1:8" ht="15.6">
      <c r="A659" s="19"/>
      <c r="D659" s="86"/>
      <c r="E659" s="86"/>
      <c r="F659" s="86"/>
      <c r="G659" s="86"/>
      <c r="H659" s="86"/>
    </row>
    <row r="660" spans="1:8" ht="15.6">
      <c r="A660" s="19"/>
      <c r="D660" s="86"/>
      <c r="E660" s="86"/>
      <c r="F660" s="86"/>
      <c r="G660" s="86"/>
      <c r="H660" s="86"/>
    </row>
    <row r="661" spans="1:8" ht="15.6">
      <c r="A661" s="19"/>
      <c r="D661" s="86"/>
      <c r="E661" s="86"/>
      <c r="F661" s="86"/>
      <c r="G661" s="86"/>
      <c r="H661" s="86"/>
    </row>
    <row r="662" spans="1:8" ht="15.6">
      <c r="A662" s="19"/>
      <c r="D662" s="86"/>
      <c r="E662" s="86"/>
      <c r="F662" s="86"/>
      <c r="G662" s="86"/>
      <c r="H662" s="86"/>
    </row>
    <row r="663" spans="1:8" ht="15.6">
      <c r="A663" s="19"/>
      <c r="D663" s="86"/>
      <c r="E663" s="86"/>
      <c r="F663" s="86"/>
      <c r="G663" s="86"/>
      <c r="H663" s="86"/>
    </row>
    <row r="664" spans="1:8" ht="15.6">
      <c r="A664" s="19"/>
      <c r="D664" s="86"/>
      <c r="E664" s="86"/>
      <c r="F664" s="86"/>
      <c r="G664" s="86"/>
      <c r="H664" s="86"/>
    </row>
    <row r="665" spans="1:8" ht="15.6">
      <c r="A665" s="19"/>
      <c r="D665" s="86"/>
      <c r="E665" s="86"/>
      <c r="F665" s="86"/>
      <c r="G665" s="86"/>
      <c r="H665" s="86"/>
    </row>
    <row r="666" spans="1:8" ht="15.6">
      <c r="A666" s="19"/>
      <c r="D666" s="86"/>
      <c r="E666" s="86"/>
      <c r="F666" s="86"/>
      <c r="G666" s="86"/>
      <c r="H666" s="86"/>
    </row>
    <row r="667" spans="1:8" ht="15.6">
      <c r="A667" s="19"/>
      <c r="D667" s="86"/>
      <c r="E667" s="86"/>
      <c r="F667" s="86"/>
      <c r="G667" s="86"/>
      <c r="H667" s="86"/>
    </row>
    <row r="668" spans="1:8" ht="15.6">
      <c r="A668" s="19"/>
      <c r="D668" s="86"/>
      <c r="E668" s="86"/>
      <c r="F668" s="86"/>
      <c r="G668" s="86"/>
      <c r="H668" s="86"/>
    </row>
    <row r="669" spans="1:8" ht="15.6">
      <c r="A669" s="19"/>
      <c r="D669" s="86"/>
      <c r="E669" s="86"/>
      <c r="F669" s="86"/>
      <c r="G669" s="86"/>
      <c r="H669" s="86"/>
    </row>
    <row r="670" spans="1:8" ht="15.6">
      <c r="A670" s="19"/>
      <c r="D670" s="86"/>
      <c r="E670" s="86"/>
      <c r="F670" s="86"/>
      <c r="G670" s="86"/>
      <c r="H670" s="86"/>
    </row>
    <row r="671" spans="1:8" ht="15.6">
      <c r="A671" s="19"/>
      <c r="D671" s="86"/>
      <c r="E671" s="86"/>
      <c r="F671" s="86"/>
      <c r="G671" s="86"/>
      <c r="H671" s="86"/>
    </row>
    <row r="672" spans="1:8" ht="15.6">
      <c r="A672" s="19"/>
      <c r="D672" s="86"/>
      <c r="E672" s="86"/>
      <c r="F672" s="86"/>
      <c r="G672" s="86"/>
      <c r="H672" s="86"/>
    </row>
    <row r="673" spans="1:8" ht="15.6">
      <c r="A673" s="19"/>
      <c r="D673" s="86"/>
      <c r="E673" s="86"/>
      <c r="F673" s="86"/>
      <c r="G673" s="86"/>
      <c r="H673" s="86"/>
    </row>
    <row r="674" spans="1:8" ht="15.6">
      <c r="A674" s="19"/>
      <c r="D674" s="86"/>
      <c r="E674" s="86"/>
      <c r="F674" s="86"/>
      <c r="G674" s="86"/>
      <c r="H674" s="86"/>
    </row>
    <row r="675" spans="1:8" ht="15.6">
      <c r="A675" s="19"/>
      <c r="D675" s="86"/>
      <c r="E675" s="86"/>
      <c r="F675" s="86"/>
      <c r="G675" s="86"/>
      <c r="H675" s="86"/>
    </row>
    <row r="676" spans="1:8" ht="15.6">
      <c r="A676" s="19"/>
      <c r="D676" s="86"/>
      <c r="E676" s="86"/>
      <c r="F676" s="86"/>
      <c r="G676" s="86"/>
      <c r="H676" s="86"/>
    </row>
    <row r="677" spans="1:8" ht="15.6">
      <c r="A677" s="19"/>
      <c r="D677" s="86"/>
      <c r="E677" s="86"/>
      <c r="F677" s="86"/>
      <c r="G677" s="86"/>
      <c r="H677" s="86"/>
    </row>
    <row r="678" spans="1:8" ht="15.6">
      <c r="A678" s="19"/>
      <c r="D678" s="86"/>
      <c r="E678" s="86"/>
      <c r="F678" s="86"/>
      <c r="G678" s="86"/>
      <c r="H678" s="86"/>
    </row>
    <row r="679" spans="1:8" ht="15.6">
      <c r="A679" s="19"/>
      <c r="D679" s="86"/>
      <c r="E679" s="86"/>
      <c r="F679" s="86"/>
      <c r="G679" s="86"/>
      <c r="H679" s="86"/>
    </row>
    <row r="680" spans="1:8" ht="15.6">
      <c r="A680" s="19"/>
      <c r="D680" s="86"/>
      <c r="E680" s="86"/>
      <c r="F680" s="86"/>
      <c r="G680" s="86"/>
      <c r="H680" s="86"/>
    </row>
    <row r="681" spans="1:8" ht="15.6">
      <c r="A681" s="19"/>
      <c r="D681" s="86"/>
      <c r="E681" s="86"/>
      <c r="F681" s="86"/>
      <c r="G681" s="86"/>
      <c r="H681" s="86"/>
    </row>
    <row r="682" spans="1:8" ht="15.6">
      <c r="A682" s="19"/>
      <c r="D682" s="86"/>
      <c r="E682" s="86"/>
      <c r="F682" s="86"/>
      <c r="G682" s="86"/>
      <c r="H682" s="86"/>
    </row>
    <row r="683" spans="1:8" ht="15.6">
      <c r="A683" s="19"/>
      <c r="D683" s="86"/>
      <c r="E683" s="86"/>
      <c r="F683" s="86"/>
      <c r="G683" s="86"/>
      <c r="H683" s="86"/>
    </row>
    <row r="684" spans="1:8" ht="15.6">
      <c r="A684" s="19"/>
      <c r="D684" s="86"/>
      <c r="E684" s="86"/>
      <c r="F684" s="86"/>
      <c r="G684" s="86"/>
      <c r="H684" s="86"/>
    </row>
    <row r="685" spans="1:8" ht="15.6">
      <c r="A685" s="19"/>
      <c r="D685" s="86"/>
      <c r="E685" s="86"/>
      <c r="F685" s="86"/>
      <c r="G685" s="86"/>
      <c r="H685" s="86"/>
    </row>
    <row r="686" spans="1:8" ht="15.6">
      <c r="A686" s="19"/>
      <c r="D686" s="86"/>
      <c r="E686" s="86"/>
      <c r="F686" s="86"/>
      <c r="G686" s="86"/>
      <c r="H686" s="86"/>
    </row>
    <row r="687" spans="1:8" ht="15.6">
      <c r="A687" s="19"/>
      <c r="D687" s="86"/>
      <c r="E687" s="86"/>
      <c r="F687" s="86"/>
      <c r="G687" s="86"/>
      <c r="H687" s="86"/>
    </row>
    <row r="688" spans="1:8" ht="15.6">
      <c r="A688" s="19"/>
      <c r="D688" s="86"/>
      <c r="E688" s="86"/>
      <c r="F688" s="86"/>
      <c r="G688" s="86"/>
      <c r="H688" s="86"/>
    </row>
    <row r="689" spans="1:8" ht="15.6">
      <c r="A689" s="19"/>
      <c r="D689" s="86"/>
      <c r="E689" s="86"/>
      <c r="F689" s="86"/>
      <c r="G689" s="86"/>
      <c r="H689" s="86"/>
    </row>
    <row r="690" spans="1:8" ht="15.6">
      <c r="A690" s="19"/>
      <c r="D690" s="86"/>
      <c r="E690" s="86"/>
      <c r="F690" s="86"/>
      <c r="G690" s="86"/>
      <c r="H690" s="86"/>
    </row>
    <row r="691" spans="1:8" ht="15.6">
      <c r="A691" s="19"/>
      <c r="D691" s="86"/>
      <c r="E691" s="86"/>
      <c r="F691" s="86"/>
      <c r="G691" s="86"/>
      <c r="H691" s="86"/>
    </row>
    <row r="692" spans="1:8" ht="15.6">
      <c r="A692" s="19"/>
      <c r="D692" s="86"/>
      <c r="E692" s="86"/>
      <c r="F692" s="86"/>
      <c r="G692" s="86"/>
      <c r="H692" s="86"/>
    </row>
    <row r="693" spans="1:8" ht="15.6">
      <c r="A693" s="19"/>
      <c r="D693" s="86"/>
      <c r="E693" s="86"/>
      <c r="F693" s="86"/>
      <c r="G693" s="86"/>
      <c r="H693" s="86"/>
    </row>
    <row r="694" spans="1:8" ht="15.6">
      <c r="A694" s="19"/>
      <c r="D694" s="86"/>
      <c r="E694" s="86"/>
      <c r="F694" s="86"/>
      <c r="G694" s="86"/>
      <c r="H694" s="86"/>
    </row>
    <row r="695" spans="1:8" ht="15.6">
      <c r="A695" s="19"/>
      <c r="D695" s="86"/>
      <c r="E695" s="86"/>
      <c r="F695" s="86"/>
      <c r="G695" s="86"/>
      <c r="H695" s="86"/>
    </row>
    <row r="696" spans="1:8" ht="15.6">
      <c r="A696" s="19"/>
      <c r="D696" s="86"/>
      <c r="E696" s="86"/>
      <c r="F696" s="86"/>
      <c r="G696" s="86"/>
      <c r="H696" s="86"/>
    </row>
    <row r="697" spans="1:8" ht="15.6">
      <c r="A697" s="19"/>
      <c r="D697" s="86"/>
      <c r="E697" s="86"/>
      <c r="F697" s="86"/>
      <c r="G697" s="86"/>
      <c r="H697" s="86"/>
    </row>
    <row r="698" spans="1:8" ht="15.6">
      <c r="A698" s="19"/>
      <c r="D698" s="86"/>
      <c r="E698" s="86"/>
      <c r="F698" s="86"/>
      <c r="G698" s="86"/>
      <c r="H698" s="86"/>
    </row>
    <row r="699" spans="1:8" ht="15.6">
      <c r="A699" s="19"/>
      <c r="D699" s="86"/>
      <c r="E699" s="86"/>
      <c r="F699" s="86"/>
      <c r="G699" s="86"/>
      <c r="H699" s="86"/>
    </row>
    <row r="700" spans="1:8" ht="15.6">
      <c r="A700" s="19"/>
      <c r="D700" s="86"/>
      <c r="E700" s="86"/>
      <c r="F700" s="86"/>
      <c r="G700" s="86"/>
      <c r="H700" s="86"/>
    </row>
    <row r="701" spans="1:8" ht="15.6">
      <c r="A701" s="19"/>
      <c r="D701" s="86"/>
      <c r="E701" s="86"/>
      <c r="F701" s="86"/>
      <c r="G701" s="86"/>
      <c r="H701" s="86"/>
    </row>
    <row r="702" spans="1:8" ht="15.6">
      <c r="A702" s="19"/>
      <c r="D702" s="86"/>
      <c r="E702" s="86"/>
      <c r="F702" s="86"/>
      <c r="G702" s="86"/>
      <c r="H702" s="86"/>
    </row>
    <row r="703" spans="1:8" ht="15.6">
      <c r="A703" s="19"/>
      <c r="D703" s="86"/>
      <c r="E703" s="86"/>
      <c r="F703" s="86"/>
      <c r="G703" s="86"/>
      <c r="H703" s="86"/>
    </row>
    <row r="704" spans="1:8" ht="15.6">
      <c r="A704" s="19"/>
      <c r="D704" s="86"/>
      <c r="E704" s="86"/>
      <c r="F704" s="86"/>
      <c r="G704" s="86"/>
      <c r="H704" s="86"/>
    </row>
    <row r="705" spans="1:8" ht="15.6">
      <c r="A705" s="19"/>
      <c r="D705" s="86"/>
      <c r="E705" s="86"/>
      <c r="F705" s="86"/>
      <c r="G705" s="86"/>
      <c r="H705" s="86"/>
    </row>
    <row r="706" spans="1:8" ht="15.6">
      <c r="A706" s="19"/>
      <c r="D706" s="86"/>
      <c r="E706" s="86"/>
      <c r="F706" s="86"/>
      <c r="G706" s="86"/>
      <c r="H706" s="86"/>
    </row>
    <row r="707" spans="1:8" ht="15.6">
      <c r="A707" s="19"/>
      <c r="D707" s="86"/>
      <c r="E707" s="86"/>
      <c r="F707" s="86"/>
      <c r="G707" s="86"/>
      <c r="H707" s="86"/>
    </row>
    <row r="708" spans="1:8" ht="15.6">
      <c r="A708" s="19"/>
      <c r="D708" s="86"/>
      <c r="E708" s="86"/>
      <c r="F708" s="86"/>
      <c r="G708" s="86"/>
      <c r="H708" s="86"/>
    </row>
    <row r="709" spans="1:8" ht="15.6">
      <c r="A709" s="19"/>
      <c r="D709" s="86"/>
      <c r="E709" s="86"/>
      <c r="F709" s="86"/>
      <c r="G709" s="86"/>
      <c r="H709" s="86"/>
    </row>
    <row r="710" spans="1:8" ht="15.6">
      <c r="A710" s="19"/>
      <c r="D710" s="86"/>
      <c r="E710" s="86"/>
      <c r="F710" s="86"/>
      <c r="G710" s="86"/>
      <c r="H710" s="86"/>
    </row>
    <row r="711" spans="1:8" ht="15.6">
      <c r="A711" s="19"/>
      <c r="D711" s="86"/>
      <c r="E711" s="86"/>
      <c r="F711" s="86"/>
      <c r="G711" s="86"/>
      <c r="H711" s="86"/>
    </row>
    <row r="712" spans="1:8" ht="15.6">
      <c r="A712" s="19"/>
      <c r="D712" s="86"/>
      <c r="E712" s="86"/>
      <c r="F712" s="86"/>
      <c r="G712" s="86"/>
      <c r="H712" s="86"/>
    </row>
    <row r="713" spans="1:8" ht="15.6">
      <c r="A713" s="19"/>
      <c r="D713" s="86"/>
      <c r="E713" s="86"/>
      <c r="F713" s="86"/>
      <c r="G713" s="86"/>
      <c r="H713" s="86"/>
    </row>
    <row r="714" spans="1:8" ht="15.6">
      <c r="A714" s="19"/>
      <c r="D714" s="86"/>
      <c r="E714" s="86"/>
      <c r="F714" s="86"/>
      <c r="G714" s="86"/>
      <c r="H714" s="86"/>
    </row>
    <row r="715" spans="1:8" ht="15.6">
      <c r="A715" s="19"/>
      <c r="D715" s="86"/>
      <c r="E715" s="86"/>
      <c r="F715" s="86"/>
      <c r="G715" s="86"/>
      <c r="H715" s="86"/>
    </row>
    <row r="716" spans="1:8" ht="15.6">
      <c r="A716" s="19"/>
      <c r="D716" s="86"/>
      <c r="E716" s="86"/>
      <c r="F716" s="86"/>
      <c r="G716" s="86"/>
      <c r="H716" s="86"/>
    </row>
    <row r="717" spans="1:8" ht="15.6">
      <c r="A717" s="19"/>
      <c r="D717" s="86"/>
      <c r="E717" s="86"/>
      <c r="F717" s="86"/>
      <c r="G717" s="86"/>
      <c r="H717" s="86"/>
    </row>
    <row r="718" spans="1:8" ht="15.6">
      <c r="A718" s="19"/>
      <c r="D718" s="86"/>
      <c r="E718" s="86"/>
      <c r="F718" s="86"/>
      <c r="G718" s="86"/>
      <c r="H718" s="86"/>
    </row>
    <row r="719" spans="1:8" ht="15.6">
      <c r="A719" s="19"/>
      <c r="D719" s="86"/>
      <c r="E719" s="86"/>
      <c r="F719" s="86"/>
      <c r="G719" s="86"/>
      <c r="H719" s="86"/>
    </row>
    <row r="720" spans="1:8" ht="15.6">
      <c r="A720" s="19"/>
      <c r="D720" s="86"/>
      <c r="E720" s="86"/>
      <c r="F720" s="86"/>
      <c r="G720" s="86"/>
      <c r="H720" s="86"/>
    </row>
    <row r="721" spans="1:8" ht="15.6">
      <c r="A721" s="19"/>
      <c r="D721" s="86"/>
      <c r="E721" s="86"/>
      <c r="F721" s="86"/>
      <c r="G721" s="86"/>
      <c r="H721" s="86"/>
    </row>
    <row r="722" spans="1:8" ht="15.6">
      <c r="A722" s="19"/>
      <c r="D722" s="86"/>
      <c r="E722" s="86"/>
      <c r="F722" s="86"/>
      <c r="G722" s="86"/>
      <c r="H722" s="86"/>
    </row>
    <row r="723" spans="1:8" ht="15.6">
      <c r="A723" s="19"/>
      <c r="D723" s="86"/>
      <c r="E723" s="86"/>
      <c r="F723" s="86"/>
      <c r="G723" s="86"/>
      <c r="H723" s="86"/>
    </row>
    <row r="724" spans="1:8" ht="15.6">
      <c r="A724" s="19"/>
      <c r="D724" s="86"/>
      <c r="E724" s="86"/>
      <c r="F724" s="86"/>
      <c r="G724" s="86"/>
      <c r="H724" s="86"/>
    </row>
    <row r="725" spans="1:8" ht="15.6">
      <c r="A725" s="19"/>
      <c r="D725" s="86"/>
      <c r="E725" s="86"/>
      <c r="F725" s="86"/>
      <c r="G725" s="86"/>
      <c r="H725" s="86"/>
    </row>
    <row r="726" spans="1:8" ht="15.6">
      <c r="A726" s="19"/>
      <c r="D726" s="86"/>
      <c r="E726" s="86"/>
      <c r="F726" s="86"/>
      <c r="G726" s="86"/>
      <c r="H726" s="86"/>
    </row>
    <row r="727" spans="1:8" ht="15.6">
      <c r="A727" s="19"/>
      <c r="D727" s="86"/>
      <c r="E727" s="86"/>
      <c r="F727" s="86"/>
      <c r="G727" s="86"/>
      <c r="H727" s="86"/>
    </row>
    <row r="728" spans="1:8" ht="15.6">
      <c r="A728" s="19"/>
      <c r="D728" s="86"/>
      <c r="E728" s="86"/>
      <c r="F728" s="86"/>
      <c r="G728" s="86"/>
      <c r="H728" s="86"/>
    </row>
    <row r="729" spans="1:8" ht="15.6">
      <c r="A729" s="19"/>
      <c r="D729" s="86"/>
      <c r="E729" s="86"/>
      <c r="F729" s="86"/>
      <c r="G729" s="86"/>
      <c r="H729" s="86"/>
    </row>
    <row r="730" spans="1:8" ht="15.6">
      <c r="A730" s="19"/>
      <c r="D730" s="86"/>
      <c r="E730" s="86"/>
      <c r="F730" s="86"/>
      <c r="G730" s="86"/>
      <c r="H730" s="86"/>
    </row>
    <row r="731" spans="1:8" ht="15.6">
      <c r="A731" s="19"/>
      <c r="D731" s="86"/>
      <c r="E731" s="86"/>
      <c r="F731" s="86"/>
      <c r="G731" s="86"/>
      <c r="H731" s="86"/>
    </row>
    <row r="732" spans="1:8" ht="15.6">
      <c r="A732" s="19"/>
      <c r="D732" s="86"/>
      <c r="E732" s="86"/>
      <c r="F732" s="86"/>
      <c r="G732" s="86"/>
      <c r="H732" s="86"/>
    </row>
    <row r="733" spans="1:8" ht="15.6">
      <c r="A733" s="19"/>
      <c r="D733" s="86"/>
      <c r="E733" s="86"/>
      <c r="F733" s="86"/>
      <c r="G733" s="86"/>
      <c r="H733" s="86"/>
    </row>
    <row r="734" spans="1:8" ht="15.6">
      <c r="A734" s="19"/>
      <c r="D734" s="86"/>
      <c r="E734" s="86"/>
      <c r="F734" s="86"/>
      <c r="G734" s="86"/>
      <c r="H734" s="86"/>
    </row>
    <row r="735" spans="1:8" ht="15.6">
      <c r="A735" s="19"/>
      <c r="D735" s="86"/>
      <c r="E735" s="86"/>
      <c r="F735" s="86"/>
      <c r="G735" s="86"/>
      <c r="H735" s="86"/>
    </row>
    <row r="736" spans="1:8" ht="15.6">
      <c r="A736" s="19"/>
      <c r="D736" s="86"/>
      <c r="E736" s="86"/>
      <c r="F736" s="86"/>
      <c r="G736" s="86"/>
      <c r="H736" s="86"/>
    </row>
    <row r="737" spans="1:8" ht="15.6">
      <c r="A737" s="19"/>
      <c r="D737" s="86"/>
      <c r="E737" s="86"/>
      <c r="F737" s="86"/>
      <c r="G737" s="86"/>
      <c r="H737" s="86"/>
    </row>
    <row r="738" spans="1:8" ht="15.6">
      <c r="A738" s="19"/>
      <c r="D738" s="86"/>
      <c r="E738" s="86"/>
      <c r="F738" s="86"/>
      <c r="G738" s="86"/>
      <c r="H738" s="86"/>
    </row>
    <row r="739" spans="1:8" ht="15.6">
      <c r="A739" s="19"/>
      <c r="D739" s="86"/>
      <c r="E739" s="86"/>
      <c r="F739" s="86"/>
      <c r="G739" s="86"/>
      <c r="H739" s="86"/>
    </row>
    <row r="740" spans="1:8" ht="15.6">
      <c r="A740" s="19"/>
      <c r="D740" s="86"/>
      <c r="E740" s="86"/>
      <c r="F740" s="86"/>
      <c r="G740" s="86"/>
      <c r="H740" s="86"/>
    </row>
    <row r="741" spans="1:8" ht="15.6">
      <c r="A741" s="19"/>
      <c r="D741" s="86"/>
      <c r="E741" s="86"/>
      <c r="F741" s="86"/>
      <c r="G741" s="86"/>
      <c r="H741" s="86"/>
    </row>
    <row r="742" spans="1:8" ht="15.6">
      <c r="A742" s="19"/>
      <c r="D742" s="86"/>
      <c r="E742" s="86"/>
      <c r="F742" s="86"/>
      <c r="G742" s="86"/>
      <c r="H742" s="86"/>
    </row>
    <row r="743" spans="1:8" ht="15.6">
      <c r="A743" s="19"/>
      <c r="D743" s="86"/>
      <c r="E743" s="86"/>
      <c r="F743" s="86"/>
      <c r="G743" s="86"/>
      <c r="H743" s="86"/>
    </row>
    <row r="744" spans="1:8" ht="15.6">
      <c r="A744" s="19"/>
      <c r="D744" s="86"/>
      <c r="E744" s="86"/>
      <c r="F744" s="86"/>
      <c r="G744" s="86"/>
      <c r="H744" s="86"/>
    </row>
    <row r="745" spans="1:8" ht="15.6">
      <c r="A745" s="19"/>
      <c r="D745" s="86"/>
      <c r="E745" s="86"/>
      <c r="F745" s="86"/>
      <c r="G745" s="86"/>
      <c r="H745" s="86"/>
    </row>
    <row r="746" spans="1:8" ht="15.6">
      <c r="A746" s="19"/>
      <c r="D746" s="86"/>
      <c r="E746" s="86"/>
      <c r="F746" s="86"/>
      <c r="G746" s="86"/>
      <c r="H746" s="86"/>
    </row>
    <row r="747" spans="1:8" ht="15.6">
      <c r="A747" s="19"/>
      <c r="D747" s="86"/>
      <c r="E747" s="86"/>
      <c r="F747" s="86"/>
      <c r="G747" s="86"/>
      <c r="H747" s="86"/>
    </row>
    <row r="748" spans="1:8" ht="15.6">
      <c r="A748" s="19"/>
      <c r="D748" s="86"/>
      <c r="E748" s="86"/>
      <c r="F748" s="86"/>
      <c r="G748" s="86"/>
      <c r="H748" s="86"/>
    </row>
    <row r="749" spans="1:8" ht="15.6">
      <c r="A749" s="19"/>
      <c r="D749" s="86"/>
      <c r="E749" s="86"/>
      <c r="F749" s="86"/>
      <c r="G749" s="86"/>
      <c r="H749" s="86"/>
    </row>
    <row r="750" spans="1:8" ht="15.6">
      <c r="A750" s="19"/>
      <c r="D750" s="86"/>
      <c r="E750" s="86"/>
      <c r="F750" s="86"/>
      <c r="G750" s="86"/>
      <c r="H750" s="86"/>
    </row>
    <row r="751" spans="1:8" ht="15.6">
      <c r="A751" s="19"/>
      <c r="D751" s="86"/>
      <c r="E751" s="86"/>
      <c r="F751" s="86"/>
      <c r="G751" s="86"/>
      <c r="H751" s="86"/>
    </row>
    <row r="752" spans="1:8" ht="15.6">
      <c r="A752" s="19"/>
      <c r="D752" s="86"/>
      <c r="E752" s="86"/>
      <c r="F752" s="86"/>
      <c r="G752" s="86"/>
      <c r="H752" s="86"/>
    </row>
    <row r="753" spans="1:8" ht="15.6">
      <c r="A753" s="19"/>
      <c r="D753" s="86"/>
      <c r="E753" s="86"/>
      <c r="F753" s="86"/>
      <c r="G753" s="86"/>
      <c r="H753" s="86"/>
    </row>
    <row r="754" spans="1:8" ht="15.6">
      <c r="A754" s="19"/>
      <c r="D754" s="86"/>
      <c r="E754" s="86"/>
      <c r="F754" s="86"/>
      <c r="G754" s="86"/>
      <c r="H754" s="86"/>
    </row>
    <row r="755" spans="1:8" ht="15.6">
      <c r="A755" s="19"/>
      <c r="D755" s="86"/>
      <c r="E755" s="86"/>
      <c r="F755" s="86"/>
      <c r="G755" s="86"/>
      <c r="H755" s="86"/>
    </row>
    <row r="756" spans="1:8" ht="15.6">
      <c r="A756" s="19"/>
      <c r="D756" s="86"/>
      <c r="E756" s="86"/>
      <c r="F756" s="86"/>
      <c r="G756" s="86"/>
      <c r="H756" s="86"/>
    </row>
    <row r="757" spans="1:8" ht="15.6">
      <c r="A757" s="19"/>
      <c r="D757" s="86"/>
      <c r="E757" s="86"/>
      <c r="F757" s="86"/>
      <c r="G757" s="86"/>
      <c r="H757" s="86"/>
    </row>
    <row r="758" spans="1:8" ht="15.6">
      <c r="A758" s="19"/>
      <c r="D758" s="86"/>
      <c r="E758" s="86"/>
      <c r="F758" s="86"/>
      <c r="G758" s="86"/>
      <c r="H758" s="86"/>
    </row>
    <row r="759" spans="1:8" ht="15.6">
      <c r="A759" s="19"/>
      <c r="D759" s="86"/>
      <c r="E759" s="86"/>
      <c r="F759" s="86"/>
      <c r="G759" s="86"/>
      <c r="H759" s="86"/>
    </row>
    <row r="760" spans="1:8" ht="15.6">
      <c r="A760" s="19"/>
      <c r="D760" s="86"/>
      <c r="E760" s="86"/>
      <c r="F760" s="86"/>
      <c r="G760" s="86"/>
      <c r="H760" s="86"/>
    </row>
    <row r="761" spans="1:8" ht="15.6">
      <c r="A761" s="19"/>
      <c r="D761" s="86"/>
      <c r="E761" s="86"/>
      <c r="F761" s="86"/>
      <c r="G761" s="86"/>
      <c r="H761" s="86"/>
    </row>
    <row r="762" spans="1:8" ht="15.6">
      <c r="A762" s="19"/>
      <c r="D762" s="86"/>
      <c r="E762" s="86"/>
      <c r="F762" s="86"/>
      <c r="G762" s="86"/>
      <c r="H762" s="86"/>
    </row>
    <row r="763" spans="1:8" ht="15.6">
      <c r="A763" s="19"/>
      <c r="D763" s="86"/>
      <c r="E763" s="86"/>
      <c r="F763" s="86"/>
      <c r="G763" s="86"/>
      <c r="H763" s="86"/>
    </row>
    <row r="764" spans="1:8" ht="15.6">
      <c r="A764" s="19"/>
      <c r="D764" s="86"/>
      <c r="E764" s="86"/>
      <c r="F764" s="86"/>
      <c r="G764" s="86"/>
      <c r="H764" s="86"/>
    </row>
    <row r="765" spans="1:8" ht="15.6">
      <c r="A765" s="19"/>
      <c r="D765" s="86"/>
      <c r="E765" s="86"/>
      <c r="F765" s="86"/>
      <c r="G765" s="86"/>
      <c r="H765" s="86"/>
    </row>
    <row r="766" spans="1:8" ht="15.6">
      <c r="A766" s="19"/>
      <c r="D766" s="86"/>
      <c r="E766" s="86"/>
      <c r="F766" s="86"/>
      <c r="G766" s="86"/>
      <c r="H766" s="86"/>
    </row>
    <row r="767" spans="1:8" ht="15.6">
      <c r="A767" s="19"/>
      <c r="D767" s="86"/>
      <c r="E767" s="86"/>
      <c r="F767" s="86"/>
      <c r="G767" s="86"/>
      <c r="H767" s="86"/>
    </row>
    <row r="768" spans="1:8" ht="15.6">
      <c r="A768" s="19"/>
      <c r="D768" s="86"/>
      <c r="E768" s="86"/>
      <c r="F768" s="86"/>
      <c r="G768" s="86"/>
      <c r="H768" s="86"/>
    </row>
    <row r="769" spans="1:8" ht="15.6">
      <c r="A769" s="19"/>
      <c r="D769" s="86"/>
      <c r="E769" s="86"/>
      <c r="F769" s="86"/>
      <c r="G769" s="86"/>
      <c r="H769" s="86"/>
    </row>
    <row r="770" spans="1:8" ht="15.6">
      <c r="A770" s="19"/>
      <c r="D770" s="86"/>
      <c r="E770" s="86"/>
      <c r="F770" s="86"/>
      <c r="G770" s="86"/>
      <c r="H770" s="86"/>
    </row>
    <row r="771" spans="1:8" ht="15.6">
      <c r="A771" s="19"/>
      <c r="D771" s="86"/>
      <c r="E771" s="86"/>
      <c r="F771" s="86"/>
      <c r="G771" s="86"/>
      <c r="H771" s="86"/>
    </row>
    <row r="772" spans="1:8" ht="15.6">
      <c r="A772" s="19"/>
      <c r="D772" s="86"/>
      <c r="E772" s="86"/>
      <c r="F772" s="86"/>
      <c r="G772" s="86"/>
      <c r="H772" s="86"/>
    </row>
    <row r="773" spans="1:8" ht="15.6">
      <c r="A773" s="19"/>
      <c r="D773" s="86"/>
      <c r="E773" s="86"/>
      <c r="F773" s="86"/>
      <c r="G773" s="86"/>
      <c r="H773" s="86"/>
    </row>
    <row r="774" spans="1:8" ht="15.6">
      <c r="A774" s="19"/>
      <c r="D774" s="86"/>
      <c r="E774" s="86"/>
      <c r="F774" s="86"/>
      <c r="G774" s="86"/>
      <c r="H774" s="86"/>
    </row>
    <row r="775" spans="1:8" ht="15.6">
      <c r="A775" s="19"/>
      <c r="D775" s="86"/>
      <c r="E775" s="86"/>
      <c r="F775" s="86"/>
      <c r="G775" s="86"/>
      <c r="H775" s="86"/>
    </row>
    <row r="776" spans="1:8" ht="15.6">
      <c r="A776" s="19"/>
      <c r="D776" s="86"/>
      <c r="E776" s="86"/>
      <c r="F776" s="86"/>
      <c r="G776" s="86"/>
      <c r="H776" s="86"/>
    </row>
    <row r="777" spans="1:8" ht="15.6">
      <c r="A777" s="19"/>
      <c r="D777" s="86"/>
      <c r="E777" s="86"/>
      <c r="F777" s="86"/>
      <c r="G777" s="86"/>
      <c r="H777" s="86"/>
    </row>
    <row r="778" spans="1:8" ht="15.6">
      <c r="A778" s="19"/>
      <c r="D778" s="86"/>
      <c r="E778" s="86"/>
      <c r="F778" s="86"/>
      <c r="G778" s="86"/>
      <c r="H778" s="86"/>
    </row>
    <row r="779" spans="1:8" ht="15.6">
      <c r="A779" s="19"/>
      <c r="D779" s="86"/>
      <c r="E779" s="86"/>
      <c r="F779" s="86"/>
      <c r="G779" s="86"/>
      <c r="H779" s="86"/>
    </row>
    <row r="780" spans="1:8" ht="15.6">
      <c r="A780" s="19"/>
      <c r="D780" s="86"/>
      <c r="E780" s="86"/>
      <c r="F780" s="86"/>
      <c r="G780" s="86"/>
      <c r="H780" s="86"/>
    </row>
    <row r="781" spans="1:8" ht="15.6">
      <c r="A781" s="19"/>
      <c r="D781" s="86"/>
      <c r="E781" s="86"/>
      <c r="F781" s="86"/>
      <c r="G781" s="86"/>
      <c r="H781" s="86"/>
    </row>
    <row r="782" spans="1:8" ht="15.6">
      <c r="A782" s="19"/>
      <c r="D782" s="86"/>
      <c r="E782" s="86"/>
      <c r="F782" s="86"/>
      <c r="G782" s="86"/>
      <c r="H782" s="86"/>
    </row>
    <row r="783" spans="1:8" ht="15.6">
      <c r="A783" s="19"/>
      <c r="D783" s="86"/>
      <c r="E783" s="86"/>
      <c r="F783" s="86"/>
      <c r="G783" s="86"/>
      <c r="H783" s="86"/>
    </row>
    <row r="784" spans="1:8" ht="15.6">
      <c r="A784" s="19"/>
      <c r="D784" s="86"/>
      <c r="E784" s="86"/>
      <c r="F784" s="86"/>
      <c r="G784" s="86"/>
      <c r="H784" s="86"/>
    </row>
    <row r="785" spans="1:8" ht="15.6">
      <c r="A785" s="19"/>
      <c r="D785" s="86"/>
      <c r="E785" s="86"/>
      <c r="F785" s="86"/>
      <c r="G785" s="86"/>
      <c r="H785" s="86"/>
    </row>
    <row r="786" spans="1:8" ht="15.6">
      <c r="A786" s="19"/>
      <c r="D786" s="86"/>
      <c r="E786" s="86"/>
      <c r="F786" s="86"/>
      <c r="G786" s="86"/>
      <c r="H786" s="86"/>
    </row>
    <row r="787" spans="1:8" ht="15.6">
      <c r="A787" s="19"/>
      <c r="D787" s="86"/>
      <c r="E787" s="86"/>
      <c r="F787" s="86"/>
      <c r="G787" s="86"/>
      <c r="H787" s="86"/>
    </row>
    <row r="788" spans="1:8" ht="15.6">
      <c r="A788" s="19"/>
      <c r="D788" s="86"/>
      <c r="E788" s="86"/>
      <c r="F788" s="86"/>
      <c r="G788" s="86"/>
      <c r="H788" s="86"/>
    </row>
    <row r="789" spans="1:8" ht="15.6">
      <c r="A789" s="19"/>
      <c r="D789" s="86"/>
      <c r="E789" s="86"/>
      <c r="F789" s="86"/>
      <c r="G789" s="86"/>
      <c r="H789" s="86"/>
    </row>
    <row r="790" spans="1:8" ht="15.6">
      <c r="A790" s="19"/>
      <c r="D790" s="86"/>
      <c r="E790" s="86"/>
      <c r="F790" s="86"/>
      <c r="G790" s="86"/>
      <c r="H790" s="86"/>
    </row>
    <row r="791" spans="1:8" ht="15.6">
      <c r="A791" s="19"/>
      <c r="D791" s="86"/>
      <c r="E791" s="86"/>
      <c r="F791" s="86"/>
      <c r="G791" s="86"/>
      <c r="H791" s="86"/>
    </row>
    <row r="792" spans="1:8" ht="15.6">
      <c r="A792" s="19"/>
      <c r="D792" s="86"/>
      <c r="E792" s="86"/>
      <c r="F792" s="86"/>
      <c r="G792" s="86"/>
      <c r="H792" s="86"/>
    </row>
    <row r="793" spans="1:8" ht="15.6">
      <c r="A793" s="19"/>
      <c r="D793" s="86"/>
      <c r="E793" s="86"/>
      <c r="F793" s="86"/>
      <c r="G793" s="86"/>
      <c r="H793" s="86"/>
    </row>
    <row r="794" spans="1:8" ht="15.6">
      <c r="A794" s="19"/>
      <c r="D794" s="86"/>
      <c r="E794" s="86"/>
      <c r="F794" s="86"/>
      <c r="G794" s="86"/>
      <c r="H794" s="86"/>
    </row>
    <row r="795" spans="1:8" ht="15.6">
      <c r="A795" s="19"/>
      <c r="D795" s="86"/>
      <c r="E795" s="86"/>
      <c r="F795" s="86"/>
      <c r="G795" s="86"/>
      <c r="H795" s="86"/>
    </row>
    <row r="796" spans="1:8" ht="15.6">
      <c r="A796" s="19"/>
      <c r="D796" s="86"/>
      <c r="E796" s="86"/>
      <c r="F796" s="86"/>
      <c r="G796" s="86"/>
      <c r="H796" s="86"/>
    </row>
    <row r="797" spans="1:8" ht="15.6">
      <c r="A797" s="19"/>
      <c r="D797" s="86"/>
      <c r="E797" s="86"/>
      <c r="F797" s="86"/>
      <c r="G797" s="86"/>
      <c r="H797" s="86"/>
    </row>
    <row r="798" spans="1:8" ht="15.6">
      <c r="A798" s="19"/>
      <c r="D798" s="86"/>
      <c r="E798" s="86"/>
      <c r="F798" s="86"/>
      <c r="G798" s="86"/>
      <c r="H798" s="86"/>
    </row>
    <row r="799" spans="1:8" ht="15.6">
      <c r="A799" s="19"/>
      <c r="D799" s="86"/>
      <c r="E799" s="86"/>
      <c r="F799" s="86"/>
      <c r="G799" s="86"/>
      <c r="H799" s="86"/>
    </row>
    <row r="800" spans="1:8" ht="15.6">
      <c r="A800" s="19"/>
      <c r="D800" s="86"/>
      <c r="E800" s="86"/>
      <c r="F800" s="86"/>
      <c r="G800" s="86"/>
      <c r="H800" s="86"/>
    </row>
    <row r="801" spans="1:8" ht="15.6">
      <c r="A801" s="19"/>
      <c r="D801" s="86"/>
      <c r="E801" s="86"/>
      <c r="F801" s="86"/>
      <c r="G801" s="86"/>
      <c r="H801" s="86"/>
    </row>
    <row r="802" spans="1:8" ht="15.6">
      <c r="A802" s="19"/>
      <c r="D802" s="86"/>
      <c r="E802" s="86"/>
      <c r="F802" s="86"/>
      <c r="G802" s="86"/>
      <c r="H802" s="86"/>
    </row>
    <row r="803" spans="1:8" ht="15.6">
      <c r="A803" s="19"/>
      <c r="D803" s="86"/>
      <c r="E803" s="86"/>
      <c r="F803" s="86"/>
      <c r="G803" s="86"/>
      <c r="H803" s="86"/>
    </row>
    <row r="804" spans="1:8" ht="15.6">
      <c r="A804" s="19"/>
      <c r="D804" s="86"/>
      <c r="E804" s="86"/>
      <c r="F804" s="86"/>
      <c r="G804" s="86"/>
      <c r="H804" s="86"/>
    </row>
    <row r="805" spans="1:8" ht="15.6">
      <c r="A805" s="19"/>
      <c r="D805" s="86"/>
      <c r="E805" s="86"/>
      <c r="F805" s="86"/>
      <c r="G805" s="86"/>
      <c r="H805" s="86"/>
    </row>
    <row r="806" spans="1:8" ht="15.6">
      <c r="A806" s="19"/>
      <c r="D806" s="86"/>
      <c r="E806" s="86"/>
      <c r="F806" s="86"/>
      <c r="G806" s="86"/>
      <c r="H806" s="86"/>
    </row>
    <row r="807" spans="1:8" ht="15.6">
      <c r="A807" s="19"/>
      <c r="D807" s="86"/>
      <c r="E807" s="86"/>
      <c r="F807" s="86"/>
      <c r="G807" s="86"/>
      <c r="H807" s="86"/>
    </row>
    <row r="808" spans="1:8" ht="15.6">
      <c r="A808" s="19"/>
      <c r="D808" s="86"/>
      <c r="E808" s="86"/>
      <c r="F808" s="86"/>
      <c r="G808" s="86"/>
      <c r="H808" s="86"/>
    </row>
    <row r="809" spans="1:8" ht="15.6">
      <c r="A809" s="19"/>
      <c r="D809" s="86"/>
      <c r="E809" s="86"/>
      <c r="F809" s="86"/>
      <c r="G809" s="86"/>
      <c r="H809" s="86"/>
    </row>
    <row r="810" spans="1:8" ht="15.6">
      <c r="A810" s="19"/>
      <c r="D810" s="86"/>
      <c r="E810" s="86"/>
      <c r="F810" s="86"/>
      <c r="G810" s="86"/>
      <c r="H810" s="86"/>
    </row>
    <row r="811" spans="1:8" ht="15.6">
      <c r="A811" s="19"/>
      <c r="D811" s="86"/>
      <c r="E811" s="86"/>
      <c r="F811" s="86"/>
      <c r="G811" s="86"/>
      <c r="H811" s="86"/>
    </row>
    <row r="812" spans="1:8" ht="15.6">
      <c r="A812" s="19"/>
      <c r="D812" s="86"/>
      <c r="E812" s="86"/>
      <c r="F812" s="86"/>
      <c r="G812" s="86"/>
      <c r="H812" s="86"/>
    </row>
    <row r="813" spans="1:8" ht="15.6">
      <c r="A813" s="19"/>
      <c r="D813" s="86"/>
      <c r="E813" s="86"/>
      <c r="F813" s="86"/>
      <c r="G813" s="86"/>
      <c r="H813" s="86"/>
    </row>
    <row r="814" spans="1:8" ht="15.6">
      <c r="A814" s="19"/>
      <c r="D814" s="86"/>
      <c r="E814" s="86"/>
      <c r="F814" s="86"/>
      <c r="G814" s="86"/>
      <c r="H814" s="86"/>
    </row>
    <row r="815" spans="1:8" ht="15.6">
      <c r="A815" s="19"/>
      <c r="D815" s="86"/>
      <c r="E815" s="86"/>
      <c r="F815" s="86"/>
      <c r="G815" s="86"/>
      <c r="H815" s="86"/>
    </row>
    <row r="816" spans="1:8" ht="15.6">
      <c r="A816" s="19"/>
      <c r="D816" s="86"/>
      <c r="E816" s="86"/>
      <c r="F816" s="86"/>
      <c r="G816" s="86"/>
      <c r="H816" s="86"/>
    </row>
    <row r="817" spans="1:8" ht="15.6">
      <c r="A817" s="19"/>
      <c r="D817" s="86"/>
      <c r="E817" s="86"/>
      <c r="F817" s="86"/>
      <c r="G817" s="86"/>
      <c r="H817" s="86"/>
    </row>
    <row r="818" spans="1:8" ht="15.6">
      <c r="A818" s="19"/>
      <c r="D818" s="86"/>
      <c r="E818" s="86"/>
      <c r="F818" s="86"/>
      <c r="G818" s="86"/>
      <c r="H818" s="86"/>
    </row>
    <row r="819" spans="1:8" ht="15.6">
      <c r="A819" s="19"/>
      <c r="D819" s="86"/>
      <c r="E819" s="86"/>
      <c r="F819" s="86"/>
      <c r="G819" s="86"/>
      <c r="H819" s="86"/>
    </row>
    <row r="820" spans="1:8" ht="15.6">
      <c r="A820" s="19"/>
      <c r="D820" s="86"/>
      <c r="E820" s="86"/>
      <c r="F820" s="86"/>
      <c r="G820" s="86"/>
      <c r="H820" s="86"/>
    </row>
    <row r="821" spans="1:8" ht="15.6">
      <c r="A821" s="19"/>
      <c r="D821" s="86"/>
      <c r="E821" s="86"/>
      <c r="F821" s="86"/>
      <c r="G821" s="86"/>
      <c r="H821" s="86"/>
    </row>
    <row r="822" spans="1:8" ht="15.6">
      <c r="A822" s="19"/>
      <c r="D822" s="86"/>
      <c r="E822" s="86"/>
      <c r="F822" s="86"/>
      <c r="G822" s="86"/>
      <c r="H822" s="86"/>
    </row>
    <row r="823" spans="1:8" ht="15.6">
      <c r="A823" s="19"/>
      <c r="D823" s="86"/>
      <c r="E823" s="86"/>
      <c r="F823" s="86"/>
      <c r="G823" s="86"/>
      <c r="H823" s="86"/>
    </row>
    <row r="824" spans="1:8" ht="15.6">
      <c r="A824" s="19"/>
      <c r="D824" s="86"/>
      <c r="E824" s="86"/>
      <c r="F824" s="86"/>
      <c r="G824" s="86"/>
      <c r="H824" s="86"/>
    </row>
    <row r="825" spans="1:8" ht="15.6">
      <c r="A825" s="19"/>
      <c r="D825" s="86"/>
      <c r="E825" s="86"/>
      <c r="F825" s="86"/>
      <c r="G825" s="86"/>
      <c r="H825" s="86"/>
    </row>
    <row r="826" spans="1:8" ht="15.6">
      <c r="A826" s="19"/>
      <c r="D826" s="86"/>
      <c r="E826" s="86"/>
      <c r="F826" s="86"/>
      <c r="G826" s="86"/>
      <c r="H826" s="86"/>
    </row>
    <row r="827" spans="1:8" ht="15.6">
      <c r="A827" s="19"/>
      <c r="D827" s="86"/>
      <c r="E827" s="86"/>
      <c r="F827" s="86"/>
      <c r="G827" s="86"/>
      <c r="H827" s="86"/>
    </row>
    <row r="828" spans="1:8" ht="15.6">
      <c r="A828" s="19"/>
      <c r="D828" s="86"/>
      <c r="E828" s="86"/>
      <c r="F828" s="86"/>
      <c r="G828" s="86"/>
      <c r="H828" s="86"/>
    </row>
    <row r="829" spans="1:8" ht="15.6">
      <c r="A829" s="19"/>
      <c r="D829" s="86"/>
      <c r="E829" s="86"/>
      <c r="F829" s="86"/>
      <c r="G829" s="86"/>
      <c r="H829" s="86"/>
    </row>
    <row r="830" spans="1:8" ht="15.6">
      <c r="A830" s="19"/>
      <c r="D830" s="86"/>
      <c r="E830" s="86"/>
      <c r="F830" s="86"/>
      <c r="G830" s="86"/>
      <c r="H830" s="86"/>
    </row>
    <row r="831" spans="1:8" ht="15.6">
      <c r="A831" s="19"/>
      <c r="D831" s="86"/>
      <c r="E831" s="86"/>
      <c r="F831" s="86"/>
      <c r="G831" s="86"/>
      <c r="H831" s="86"/>
    </row>
    <row r="832" spans="1:8" ht="15.6">
      <c r="A832" s="19"/>
      <c r="D832" s="86"/>
      <c r="E832" s="86"/>
      <c r="F832" s="86"/>
      <c r="G832" s="86"/>
      <c r="H832" s="86"/>
    </row>
    <row r="833" spans="1:8" ht="15.6">
      <c r="A833" s="19"/>
      <c r="D833" s="86"/>
      <c r="E833" s="86"/>
      <c r="F833" s="86"/>
      <c r="G833" s="86"/>
      <c r="H833" s="86"/>
    </row>
    <row r="834" spans="1:8" ht="15.6">
      <c r="A834" s="19"/>
      <c r="D834" s="86"/>
      <c r="E834" s="86"/>
      <c r="F834" s="86"/>
      <c r="G834" s="86"/>
      <c r="H834" s="86"/>
    </row>
    <row r="835" spans="1:8" ht="15.6">
      <c r="A835" s="19"/>
      <c r="D835" s="86"/>
      <c r="E835" s="86"/>
      <c r="F835" s="86"/>
      <c r="G835" s="86"/>
      <c r="H835" s="86"/>
    </row>
    <row r="836" spans="1:8" ht="15.6">
      <c r="A836" s="19"/>
      <c r="D836" s="86"/>
      <c r="E836" s="86"/>
      <c r="F836" s="86"/>
      <c r="G836" s="86"/>
      <c r="H836" s="86"/>
    </row>
    <row r="837" spans="1:8" ht="15.6">
      <c r="A837" s="19"/>
      <c r="D837" s="86"/>
      <c r="E837" s="86"/>
      <c r="F837" s="86"/>
      <c r="G837" s="86"/>
      <c r="H837" s="86"/>
    </row>
    <row r="838" spans="1:8" ht="15.6">
      <c r="A838" s="19"/>
      <c r="D838" s="86"/>
      <c r="E838" s="86"/>
      <c r="F838" s="86"/>
      <c r="G838" s="86"/>
      <c r="H838" s="86"/>
    </row>
    <row r="839" spans="1:8" ht="15.6">
      <c r="A839" s="19"/>
      <c r="D839" s="86"/>
      <c r="E839" s="86"/>
      <c r="F839" s="86"/>
      <c r="G839" s="86"/>
      <c r="H839" s="86"/>
    </row>
    <row r="840" spans="1:8" ht="15.6">
      <c r="A840" s="19"/>
      <c r="D840" s="86"/>
      <c r="E840" s="86"/>
      <c r="F840" s="86"/>
      <c r="G840" s="86"/>
      <c r="H840" s="86"/>
    </row>
    <row r="841" spans="1:8" ht="15.6">
      <c r="A841" s="19"/>
      <c r="D841" s="86"/>
      <c r="E841" s="86"/>
      <c r="F841" s="86"/>
      <c r="G841" s="86"/>
      <c r="H841" s="86"/>
    </row>
    <row r="842" spans="1:8" ht="15.6">
      <c r="A842" s="19"/>
      <c r="D842" s="86"/>
      <c r="E842" s="86"/>
      <c r="F842" s="86"/>
      <c r="G842" s="86"/>
      <c r="H842" s="86"/>
    </row>
    <row r="843" spans="1:8" ht="15.6">
      <c r="A843" s="19"/>
      <c r="D843" s="86"/>
      <c r="E843" s="86"/>
      <c r="F843" s="86"/>
      <c r="G843" s="86"/>
      <c r="H843" s="86"/>
    </row>
    <row r="844" spans="1:8" ht="15.6">
      <c r="A844" s="19"/>
      <c r="D844" s="86"/>
      <c r="E844" s="86"/>
      <c r="F844" s="86"/>
      <c r="G844" s="86"/>
      <c r="H844" s="86"/>
    </row>
    <row r="845" spans="1:8" ht="15.6">
      <c r="A845" s="19"/>
      <c r="D845" s="86"/>
      <c r="E845" s="86"/>
      <c r="F845" s="86"/>
      <c r="G845" s="86"/>
      <c r="H845" s="86"/>
    </row>
    <row r="846" spans="1:8" ht="15.6">
      <c r="A846" s="19"/>
      <c r="D846" s="86"/>
      <c r="E846" s="86"/>
      <c r="F846" s="86"/>
      <c r="G846" s="86"/>
      <c r="H846" s="86"/>
    </row>
    <row r="847" spans="1:8" ht="15.6">
      <c r="A847" s="19"/>
      <c r="D847" s="86"/>
      <c r="E847" s="86"/>
      <c r="F847" s="86"/>
      <c r="G847" s="86"/>
      <c r="H847" s="86"/>
    </row>
    <row r="848" spans="1:8" ht="15.6">
      <c r="A848" s="19"/>
      <c r="D848" s="86"/>
      <c r="E848" s="86"/>
      <c r="F848" s="86"/>
      <c r="G848" s="86"/>
      <c r="H848" s="86"/>
    </row>
    <row r="849" spans="1:8" ht="15.6">
      <c r="A849" s="19"/>
      <c r="D849" s="86"/>
      <c r="E849" s="86"/>
      <c r="F849" s="86"/>
      <c r="G849" s="86"/>
      <c r="H849" s="86"/>
    </row>
    <row r="850" spans="1:8" ht="15.6">
      <c r="A850" s="19"/>
      <c r="D850" s="86"/>
      <c r="E850" s="86"/>
      <c r="F850" s="86"/>
      <c r="G850" s="86"/>
      <c r="H850" s="86"/>
    </row>
    <row r="851" spans="1:8" ht="15.6">
      <c r="A851" s="19"/>
      <c r="D851" s="86"/>
      <c r="E851" s="86"/>
      <c r="F851" s="86"/>
      <c r="G851" s="86"/>
      <c r="H851" s="86"/>
    </row>
    <row r="852" spans="1:8" ht="15.6">
      <c r="A852" s="19"/>
      <c r="D852" s="86"/>
      <c r="E852" s="86"/>
      <c r="F852" s="86"/>
      <c r="G852" s="86"/>
      <c r="H852" s="86"/>
    </row>
    <row r="853" spans="1:8" ht="15.6">
      <c r="A853" s="19"/>
      <c r="D853" s="86"/>
      <c r="E853" s="86"/>
      <c r="F853" s="86"/>
      <c r="G853" s="86"/>
      <c r="H853" s="86"/>
    </row>
    <row r="854" spans="1:8" ht="15.6">
      <c r="A854" s="19"/>
      <c r="D854" s="86"/>
      <c r="E854" s="86"/>
      <c r="F854" s="86"/>
      <c r="G854" s="86"/>
      <c r="H854" s="86"/>
    </row>
    <row r="855" spans="1:8" ht="15.6">
      <c r="A855" s="19"/>
      <c r="D855" s="86"/>
      <c r="E855" s="86"/>
      <c r="F855" s="86"/>
      <c r="G855" s="86"/>
      <c r="H855" s="86"/>
    </row>
    <row r="856" spans="1:8" ht="15.6">
      <c r="A856" s="19"/>
      <c r="D856" s="86"/>
      <c r="E856" s="86"/>
      <c r="F856" s="86"/>
      <c r="G856" s="86"/>
      <c r="H856" s="86"/>
    </row>
    <row r="857" spans="1:8" ht="15.6">
      <c r="A857" s="19"/>
      <c r="D857" s="86"/>
      <c r="E857" s="86"/>
      <c r="F857" s="86"/>
      <c r="G857" s="86"/>
      <c r="H857" s="86"/>
    </row>
    <row r="858" spans="1:8" ht="15.6">
      <c r="A858" s="19"/>
      <c r="D858" s="86"/>
      <c r="E858" s="86"/>
      <c r="F858" s="86"/>
      <c r="G858" s="86"/>
      <c r="H858" s="86"/>
    </row>
    <row r="859" spans="1:8" ht="15.6">
      <c r="A859" s="19"/>
      <c r="D859" s="86"/>
      <c r="E859" s="86"/>
      <c r="F859" s="86"/>
      <c r="G859" s="86"/>
      <c r="H859" s="86"/>
    </row>
    <row r="860" spans="1:8" ht="15.6">
      <c r="A860" s="19"/>
      <c r="D860" s="86"/>
      <c r="E860" s="86"/>
      <c r="F860" s="86"/>
      <c r="G860" s="86"/>
      <c r="H860" s="86"/>
    </row>
    <row r="861" spans="1:8" ht="15.6">
      <c r="A861" s="19"/>
      <c r="D861" s="86"/>
      <c r="E861" s="86"/>
      <c r="F861" s="86"/>
      <c r="G861" s="86"/>
      <c r="H861" s="86"/>
    </row>
    <row r="862" spans="1:8" ht="15.6">
      <c r="A862" s="19"/>
      <c r="D862" s="86"/>
      <c r="E862" s="86"/>
      <c r="F862" s="86"/>
      <c r="G862" s="86"/>
      <c r="H862" s="86"/>
    </row>
    <row r="863" spans="1:8" ht="15.6">
      <c r="A863" s="19"/>
      <c r="D863" s="86"/>
      <c r="E863" s="86"/>
      <c r="F863" s="86"/>
      <c r="G863" s="86"/>
      <c r="H863" s="86"/>
    </row>
    <row r="864" spans="1:8" ht="15.6">
      <c r="A864" s="19"/>
      <c r="D864" s="86"/>
      <c r="E864" s="86"/>
      <c r="F864" s="86"/>
      <c r="G864" s="86"/>
      <c r="H864" s="86"/>
    </row>
    <row r="865" spans="1:8" ht="15.6">
      <c r="A865" s="19"/>
      <c r="D865" s="86"/>
      <c r="E865" s="86"/>
      <c r="F865" s="86"/>
      <c r="G865" s="86"/>
      <c r="H865" s="86"/>
    </row>
    <row r="866" spans="1:8" ht="15.6">
      <c r="A866" s="19"/>
      <c r="D866" s="86"/>
      <c r="E866" s="86"/>
      <c r="F866" s="86"/>
      <c r="G866" s="86"/>
      <c r="H866" s="86"/>
    </row>
    <row r="867" spans="1:8" ht="15.6">
      <c r="A867" s="19"/>
      <c r="D867" s="86"/>
      <c r="E867" s="86"/>
      <c r="F867" s="86"/>
      <c r="G867" s="86"/>
      <c r="H867" s="86"/>
    </row>
    <row r="868" spans="1:8" ht="15.6">
      <c r="A868" s="19"/>
      <c r="D868" s="86"/>
      <c r="E868" s="86"/>
      <c r="F868" s="86"/>
      <c r="G868" s="86"/>
      <c r="H868" s="86"/>
    </row>
    <row r="869" spans="1:8" ht="15.6">
      <c r="A869" s="19"/>
      <c r="D869" s="86"/>
      <c r="E869" s="86"/>
      <c r="F869" s="86"/>
      <c r="G869" s="86"/>
      <c r="H869" s="86"/>
    </row>
    <row r="870" spans="1:8" ht="15.6">
      <c r="A870" s="19"/>
      <c r="D870" s="86"/>
      <c r="E870" s="86"/>
      <c r="F870" s="86"/>
      <c r="G870" s="86"/>
      <c r="H870" s="86"/>
    </row>
    <row r="871" spans="1:8" ht="15.6">
      <c r="A871" s="19"/>
      <c r="D871" s="86"/>
      <c r="E871" s="86"/>
      <c r="F871" s="86"/>
      <c r="G871" s="86"/>
      <c r="H871" s="86"/>
    </row>
    <row r="872" spans="1:8" ht="15.6">
      <c r="A872" s="19"/>
      <c r="D872" s="86"/>
      <c r="E872" s="86"/>
      <c r="F872" s="86"/>
      <c r="G872" s="86"/>
      <c r="H872" s="86"/>
    </row>
    <row r="873" spans="1:8" ht="15.6">
      <c r="A873" s="19"/>
      <c r="D873" s="86"/>
      <c r="E873" s="86"/>
      <c r="F873" s="86"/>
      <c r="G873" s="86"/>
      <c r="H873" s="86"/>
    </row>
    <row r="874" spans="1:8" ht="15.6">
      <c r="A874" s="19"/>
      <c r="D874" s="86"/>
      <c r="E874" s="86"/>
      <c r="F874" s="86"/>
      <c r="G874" s="86"/>
      <c r="H874" s="86"/>
    </row>
    <row r="875" spans="1:8" ht="15.6">
      <c r="A875" s="19"/>
      <c r="D875" s="86"/>
      <c r="E875" s="86"/>
      <c r="F875" s="86"/>
      <c r="G875" s="86"/>
      <c r="H875" s="86"/>
    </row>
    <row r="876" spans="1:8" ht="15.6">
      <c r="A876" s="19"/>
      <c r="D876" s="86"/>
      <c r="E876" s="86"/>
      <c r="F876" s="86"/>
      <c r="G876" s="86"/>
      <c r="H876" s="86"/>
    </row>
    <row r="877" spans="1:8" ht="15.6">
      <c r="A877" s="19"/>
      <c r="D877" s="86"/>
      <c r="E877" s="86"/>
      <c r="F877" s="86"/>
      <c r="G877" s="86"/>
      <c r="H877" s="86"/>
    </row>
    <row r="878" spans="1:8" ht="15.6">
      <c r="A878" s="19"/>
      <c r="D878" s="86"/>
      <c r="E878" s="86"/>
      <c r="F878" s="86"/>
      <c r="G878" s="86"/>
      <c r="H878" s="86"/>
    </row>
    <row r="879" spans="1:8" ht="15.6">
      <c r="A879" s="19"/>
      <c r="D879" s="86"/>
      <c r="E879" s="86"/>
      <c r="F879" s="86"/>
      <c r="G879" s="86"/>
      <c r="H879" s="86"/>
    </row>
    <row r="880" spans="1:8" ht="15.6">
      <c r="A880" s="19"/>
      <c r="D880" s="86"/>
      <c r="E880" s="86"/>
      <c r="F880" s="86"/>
      <c r="G880" s="86"/>
      <c r="H880" s="86"/>
    </row>
    <row r="881" spans="1:8" ht="15.6">
      <c r="A881" s="19"/>
      <c r="D881" s="86"/>
      <c r="E881" s="86"/>
      <c r="F881" s="86"/>
      <c r="G881" s="86"/>
      <c r="H881" s="86"/>
    </row>
    <row r="882" spans="1:8" ht="15.6">
      <c r="A882" s="19"/>
      <c r="D882" s="86"/>
      <c r="E882" s="86"/>
      <c r="F882" s="86"/>
      <c r="G882" s="86"/>
      <c r="H882" s="86"/>
    </row>
    <row r="883" spans="1:8" ht="15.6">
      <c r="A883" s="19"/>
      <c r="D883" s="86"/>
      <c r="E883" s="86"/>
      <c r="F883" s="86"/>
      <c r="G883" s="86"/>
      <c r="H883" s="86"/>
    </row>
    <row r="884" spans="1:8" ht="15.6">
      <c r="A884" s="19"/>
      <c r="D884" s="86"/>
      <c r="E884" s="86"/>
      <c r="F884" s="86"/>
      <c r="G884" s="86"/>
      <c r="H884" s="86"/>
    </row>
    <row r="885" spans="1:8" ht="15.6">
      <c r="A885" s="19"/>
      <c r="D885" s="86"/>
      <c r="E885" s="86"/>
      <c r="F885" s="86"/>
      <c r="G885" s="86"/>
      <c r="H885" s="86"/>
    </row>
    <row r="886" spans="1:8" ht="15.6">
      <c r="A886" s="19"/>
      <c r="D886" s="86"/>
      <c r="E886" s="86"/>
      <c r="F886" s="86"/>
      <c r="G886" s="86"/>
      <c r="H886" s="86"/>
    </row>
    <row r="887" spans="1:8" ht="15.6">
      <c r="A887" s="19"/>
      <c r="D887" s="86"/>
      <c r="E887" s="86"/>
      <c r="F887" s="86"/>
      <c r="G887" s="86"/>
      <c r="H887" s="86"/>
    </row>
    <row r="888" spans="1:8" ht="15.6">
      <c r="A888" s="19"/>
      <c r="D888" s="86"/>
      <c r="E888" s="86"/>
      <c r="F888" s="86"/>
      <c r="G888" s="86"/>
      <c r="H888" s="86"/>
    </row>
    <row r="889" spans="1:8" ht="15.6">
      <c r="A889" s="19"/>
      <c r="D889" s="86"/>
      <c r="E889" s="86"/>
      <c r="F889" s="86"/>
      <c r="G889" s="86"/>
      <c r="H889" s="86"/>
    </row>
    <row r="890" spans="1:8" ht="15.6">
      <c r="A890" s="19"/>
      <c r="D890" s="86"/>
      <c r="E890" s="86"/>
      <c r="F890" s="86"/>
      <c r="G890" s="86"/>
      <c r="H890" s="86"/>
    </row>
    <row r="891" spans="1:8" ht="15.6">
      <c r="A891" s="19"/>
      <c r="D891" s="86"/>
      <c r="E891" s="86"/>
      <c r="F891" s="86"/>
      <c r="G891" s="86"/>
      <c r="H891" s="86"/>
    </row>
    <row r="892" spans="1:8" ht="15.6">
      <c r="A892" s="19"/>
      <c r="D892" s="86"/>
      <c r="E892" s="86"/>
      <c r="F892" s="86"/>
      <c r="G892" s="86"/>
      <c r="H892" s="86"/>
    </row>
    <row r="893" spans="1:8" ht="15.6">
      <c r="A893" s="19"/>
      <c r="D893" s="86"/>
      <c r="E893" s="86"/>
      <c r="F893" s="86"/>
      <c r="G893" s="86"/>
      <c r="H893" s="86"/>
    </row>
    <row r="894" spans="1:8" ht="15.6">
      <c r="A894" s="19"/>
      <c r="D894" s="86"/>
      <c r="E894" s="86"/>
      <c r="F894" s="86"/>
      <c r="G894" s="86"/>
      <c r="H894" s="86"/>
    </row>
    <row r="895" spans="1:8" ht="15.6">
      <c r="A895" s="19"/>
      <c r="D895" s="86"/>
      <c r="E895" s="86"/>
      <c r="F895" s="86"/>
      <c r="G895" s="86"/>
      <c r="H895" s="86"/>
    </row>
    <row r="896" spans="1:8" ht="15.6">
      <c r="A896" s="19"/>
      <c r="D896" s="86"/>
      <c r="E896" s="86"/>
      <c r="F896" s="86"/>
      <c r="G896" s="86"/>
      <c r="H896" s="86"/>
    </row>
    <row r="897" spans="1:8" ht="15.6">
      <c r="A897" s="19"/>
      <c r="D897" s="86"/>
      <c r="E897" s="86"/>
      <c r="F897" s="86"/>
      <c r="G897" s="86"/>
      <c r="H897" s="86"/>
    </row>
    <row r="898" spans="1:8" ht="15.6">
      <c r="A898" s="19"/>
      <c r="D898" s="86"/>
      <c r="E898" s="86"/>
      <c r="F898" s="86"/>
      <c r="G898" s="86"/>
      <c r="H898" s="86"/>
    </row>
    <row r="899" spans="1:8" ht="15.6">
      <c r="A899" s="19"/>
      <c r="D899" s="86"/>
      <c r="E899" s="86"/>
      <c r="F899" s="86"/>
      <c r="G899" s="86"/>
      <c r="H899" s="86"/>
    </row>
    <row r="900" spans="1:8" ht="15.6">
      <c r="A900" s="19"/>
      <c r="D900" s="86"/>
      <c r="E900" s="86"/>
      <c r="F900" s="86"/>
      <c r="G900" s="86"/>
      <c r="H900" s="86"/>
    </row>
    <row r="901" spans="1:8" ht="15.6">
      <c r="A901" s="19"/>
      <c r="D901" s="86"/>
      <c r="E901" s="86"/>
      <c r="F901" s="86"/>
      <c r="G901" s="86"/>
      <c r="H901" s="86"/>
    </row>
    <row r="902" spans="1:8" ht="15.6">
      <c r="A902" s="19"/>
      <c r="D902" s="86"/>
      <c r="E902" s="86"/>
      <c r="F902" s="86"/>
      <c r="G902" s="86"/>
      <c r="H902" s="86"/>
    </row>
    <row r="903" spans="1:8" ht="15.6">
      <c r="A903" s="19"/>
      <c r="D903" s="86"/>
      <c r="E903" s="86"/>
      <c r="F903" s="86"/>
      <c r="G903" s="86"/>
      <c r="H903" s="86"/>
    </row>
    <row r="904" spans="1:8" ht="15.6">
      <c r="A904" s="19"/>
      <c r="D904" s="86"/>
      <c r="E904" s="86"/>
      <c r="F904" s="86"/>
      <c r="G904" s="86"/>
      <c r="H904" s="86"/>
    </row>
    <row r="905" spans="1:8" ht="15.6">
      <c r="A905" s="19"/>
      <c r="D905" s="86"/>
      <c r="E905" s="86"/>
      <c r="F905" s="86"/>
      <c r="G905" s="86"/>
      <c r="H905" s="86"/>
    </row>
    <row r="906" spans="1:8" ht="15.6">
      <c r="A906" s="19"/>
      <c r="D906" s="86"/>
      <c r="E906" s="86"/>
      <c r="F906" s="86"/>
      <c r="G906" s="86"/>
      <c r="H906" s="86"/>
    </row>
    <row r="907" spans="1:8" ht="15.6">
      <c r="A907" s="19"/>
      <c r="D907" s="86"/>
      <c r="E907" s="86"/>
      <c r="F907" s="86"/>
      <c r="G907" s="86"/>
      <c r="H907" s="86"/>
    </row>
    <row r="908" spans="1:8" ht="15.6">
      <c r="A908" s="19"/>
      <c r="D908" s="86"/>
      <c r="E908" s="86"/>
      <c r="F908" s="86"/>
      <c r="G908" s="86"/>
      <c r="H908" s="86"/>
    </row>
    <row r="909" spans="1:8" ht="15.6">
      <c r="A909" s="19"/>
      <c r="D909" s="86"/>
      <c r="E909" s="86"/>
      <c r="F909" s="86"/>
      <c r="G909" s="86"/>
      <c r="H909" s="86"/>
    </row>
    <row r="910" spans="1:8" ht="15.6">
      <c r="A910" s="19"/>
      <c r="D910" s="86"/>
      <c r="E910" s="86"/>
      <c r="F910" s="86"/>
      <c r="G910" s="86"/>
      <c r="H910" s="86"/>
    </row>
    <row r="911" spans="1:8" ht="15.6">
      <c r="A911" s="19"/>
      <c r="D911" s="86"/>
      <c r="E911" s="86"/>
      <c r="F911" s="86"/>
      <c r="G911" s="86"/>
      <c r="H911" s="86"/>
    </row>
    <row r="912" spans="1:8" ht="15.6">
      <c r="A912" s="19"/>
      <c r="D912" s="86"/>
      <c r="E912" s="86"/>
      <c r="F912" s="86"/>
      <c r="G912" s="86"/>
      <c r="H912" s="86"/>
    </row>
    <row r="913" spans="1:8" ht="15.6">
      <c r="A913" s="19"/>
      <c r="D913" s="86"/>
      <c r="E913" s="86"/>
      <c r="F913" s="86"/>
      <c r="G913" s="86"/>
      <c r="H913" s="86"/>
    </row>
    <row r="914" spans="1:8" ht="15.6">
      <c r="A914" s="19"/>
      <c r="D914" s="86"/>
      <c r="E914" s="86"/>
      <c r="F914" s="86"/>
      <c r="G914" s="86"/>
      <c r="H914" s="86"/>
    </row>
    <row r="915" spans="1:8" ht="15.6">
      <c r="A915" s="19"/>
      <c r="D915" s="86"/>
      <c r="E915" s="86"/>
      <c r="F915" s="86"/>
      <c r="G915" s="86"/>
      <c r="H915" s="86"/>
    </row>
    <row r="916" spans="1:8" ht="15.6">
      <c r="A916" s="19"/>
      <c r="D916" s="86"/>
      <c r="E916" s="86"/>
      <c r="F916" s="86"/>
      <c r="G916" s="86"/>
      <c r="H916" s="86"/>
    </row>
    <row r="917" spans="1:8" ht="15.6">
      <c r="A917" s="19"/>
      <c r="D917" s="86"/>
      <c r="E917" s="86"/>
      <c r="F917" s="86"/>
      <c r="G917" s="86"/>
      <c r="H917" s="86"/>
    </row>
    <row r="918" spans="1:8" ht="15.6">
      <c r="A918" s="19"/>
      <c r="D918" s="86"/>
      <c r="E918" s="86"/>
      <c r="F918" s="86"/>
      <c r="G918" s="86"/>
      <c r="H918" s="86"/>
    </row>
    <row r="919" spans="1:8" ht="15.6">
      <c r="A919" s="19"/>
      <c r="D919" s="86"/>
      <c r="E919" s="86"/>
      <c r="F919" s="86"/>
      <c r="G919" s="86"/>
      <c r="H919" s="86"/>
    </row>
    <row r="920" spans="1:8" ht="15.6">
      <c r="A920" s="19"/>
      <c r="D920" s="86"/>
      <c r="E920" s="86"/>
      <c r="F920" s="86"/>
      <c r="G920" s="86"/>
      <c r="H920" s="86"/>
    </row>
    <row r="921" spans="1:8" ht="15.6">
      <c r="A921" s="19"/>
      <c r="D921" s="86"/>
      <c r="E921" s="86"/>
      <c r="F921" s="86"/>
      <c r="G921" s="86"/>
      <c r="H921" s="86"/>
    </row>
    <row r="922" spans="1:8" ht="15.6">
      <c r="A922" s="19"/>
      <c r="D922" s="86"/>
      <c r="E922" s="86"/>
      <c r="F922" s="86"/>
      <c r="G922" s="86"/>
      <c r="H922" s="86"/>
    </row>
    <row r="923" spans="1:8" ht="15.6">
      <c r="A923" s="19"/>
      <c r="D923" s="86"/>
      <c r="E923" s="86"/>
      <c r="F923" s="86"/>
      <c r="G923" s="86"/>
      <c r="H923" s="86"/>
    </row>
    <row r="924" spans="1:8" ht="15.6">
      <c r="A924" s="19"/>
      <c r="D924" s="86"/>
      <c r="E924" s="86"/>
      <c r="F924" s="86"/>
      <c r="G924" s="86"/>
      <c r="H924" s="86"/>
    </row>
    <row r="925" spans="1:8" ht="15.6">
      <c r="A925" s="19"/>
      <c r="D925" s="86"/>
      <c r="E925" s="86"/>
      <c r="F925" s="86"/>
      <c r="G925" s="86"/>
      <c r="H925" s="86"/>
    </row>
    <row r="926" spans="1:8" ht="15.6">
      <c r="A926" s="19"/>
      <c r="D926" s="86"/>
      <c r="E926" s="86"/>
      <c r="F926" s="86"/>
      <c r="G926" s="86"/>
      <c r="H926" s="86"/>
    </row>
    <row r="927" spans="1:8" ht="15.6">
      <c r="A927" s="19"/>
      <c r="D927" s="86"/>
      <c r="E927" s="86"/>
      <c r="F927" s="86"/>
      <c r="G927" s="86"/>
      <c r="H927" s="86"/>
    </row>
    <row r="928" spans="1:8" ht="15.6">
      <c r="A928" s="19"/>
      <c r="D928" s="86"/>
      <c r="E928" s="86"/>
      <c r="F928" s="86"/>
      <c r="G928" s="86"/>
      <c r="H928" s="86"/>
    </row>
    <row r="929" spans="1:8" ht="15.6">
      <c r="A929" s="19"/>
      <c r="D929" s="86"/>
      <c r="E929" s="86"/>
      <c r="F929" s="86"/>
      <c r="G929" s="86"/>
      <c r="H929" s="86"/>
    </row>
    <row r="930" spans="1:8" ht="15.6">
      <c r="A930" s="19"/>
      <c r="D930" s="86"/>
      <c r="E930" s="86"/>
      <c r="F930" s="86"/>
      <c r="G930" s="86"/>
      <c r="H930" s="86"/>
    </row>
    <row r="931" spans="1:8" ht="15.6">
      <c r="A931" s="19"/>
      <c r="D931" s="86"/>
      <c r="E931" s="86"/>
      <c r="F931" s="86"/>
      <c r="G931" s="86"/>
      <c r="H931" s="86"/>
    </row>
    <row r="932" spans="1:8" ht="15.6">
      <c r="A932" s="19"/>
      <c r="D932" s="86"/>
      <c r="E932" s="86"/>
      <c r="F932" s="86"/>
      <c r="G932" s="86"/>
      <c r="H932" s="86"/>
    </row>
    <row r="933" spans="1:8" ht="15.6">
      <c r="A933" s="19"/>
      <c r="D933" s="86"/>
      <c r="E933" s="86"/>
      <c r="F933" s="86"/>
      <c r="G933" s="86"/>
      <c r="H933" s="86"/>
    </row>
    <row r="934" spans="1:8" ht="15.6">
      <c r="A934" s="19"/>
      <c r="D934" s="86"/>
      <c r="E934" s="86"/>
      <c r="F934" s="86"/>
      <c r="G934" s="86"/>
      <c r="H934" s="86"/>
    </row>
    <row r="935" spans="1:8" ht="15.6">
      <c r="A935" s="19"/>
      <c r="D935" s="86"/>
      <c r="E935" s="86"/>
      <c r="F935" s="86"/>
      <c r="G935" s="86"/>
      <c r="H935" s="86"/>
    </row>
    <row r="936" spans="1:8" ht="15.6">
      <c r="A936" s="19"/>
      <c r="D936" s="86"/>
      <c r="E936" s="86"/>
      <c r="F936" s="86"/>
      <c r="G936" s="86"/>
      <c r="H936" s="86"/>
    </row>
    <row r="937" spans="1:8" ht="15.6">
      <c r="A937" s="19"/>
      <c r="D937" s="86"/>
      <c r="E937" s="86"/>
      <c r="F937" s="86"/>
      <c r="G937" s="86"/>
      <c r="H937" s="86"/>
    </row>
    <row r="938" spans="1:8" ht="15.6">
      <c r="A938" s="19"/>
      <c r="D938" s="86"/>
      <c r="E938" s="86"/>
      <c r="F938" s="86"/>
      <c r="G938" s="86"/>
      <c r="H938" s="86"/>
    </row>
    <row r="939" spans="1:8" ht="15.6">
      <c r="A939" s="19"/>
      <c r="D939" s="86"/>
      <c r="E939" s="86"/>
      <c r="F939" s="86"/>
      <c r="G939" s="86"/>
      <c r="H939" s="86"/>
    </row>
    <row r="940" spans="1:8" ht="15.6">
      <c r="A940" s="19"/>
      <c r="D940" s="86"/>
      <c r="E940" s="86"/>
      <c r="F940" s="86"/>
      <c r="G940" s="86"/>
      <c r="H940" s="86"/>
    </row>
    <row r="941" spans="1:8" ht="15.6">
      <c r="A941" s="19"/>
      <c r="D941" s="86"/>
      <c r="E941" s="86"/>
      <c r="F941" s="86"/>
      <c r="G941" s="86"/>
      <c r="H941" s="86"/>
    </row>
    <row r="942" spans="1:8" ht="15.6">
      <c r="A942" s="19"/>
      <c r="D942" s="86"/>
      <c r="E942" s="86"/>
      <c r="F942" s="86"/>
      <c r="G942" s="86"/>
      <c r="H942" s="86"/>
    </row>
    <row r="943" spans="1:8" ht="15.6">
      <c r="A943" s="19"/>
      <c r="D943" s="86"/>
      <c r="E943" s="86"/>
      <c r="F943" s="86"/>
      <c r="G943" s="86"/>
      <c r="H943" s="86"/>
    </row>
    <row r="944" spans="1:8" ht="15.6">
      <c r="A944" s="19"/>
      <c r="D944" s="86"/>
      <c r="E944" s="86"/>
      <c r="F944" s="86"/>
      <c r="G944" s="86"/>
      <c r="H944" s="86"/>
    </row>
    <row r="945" spans="1:8" ht="15.6">
      <c r="A945" s="19"/>
      <c r="D945" s="86"/>
      <c r="E945" s="86"/>
      <c r="F945" s="86"/>
      <c r="G945" s="86"/>
      <c r="H945" s="86"/>
    </row>
    <row r="946" spans="1:8" ht="15.6">
      <c r="A946" s="19"/>
      <c r="D946" s="86"/>
      <c r="E946" s="86"/>
      <c r="F946" s="86"/>
      <c r="G946" s="86"/>
      <c r="H946" s="86"/>
    </row>
    <row r="947" spans="1:8" ht="15.6">
      <c r="A947" s="19"/>
      <c r="D947" s="86"/>
      <c r="E947" s="86"/>
      <c r="F947" s="86"/>
      <c r="G947" s="86"/>
      <c r="H947" s="86"/>
    </row>
    <row r="948" spans="1:8" ht="15.6">
      <c r="A948" s="19"/>
      <c r="D948" s="86"/>
      <c r="E948" s="86"/>
      <c r="F948" s="86"/>
      <c r="G948" s="86"/>
      <c r="H948" s="86"/>
    </row>
    <row r="949" spans="1:8" ht="15.6">
      <c r="A949" s="19"/>
      <c r="D949" s="86"/>
      <c r="E949" s="86"/>
      <c r="F949" s="86"/>
      <c r="G949" s="86"/>
      <c r="H949" s="86"/>
    </row>
    <row r="950" spans="1:8" ht="15.6">
      <c r="A950" s="19"/>
      <c r="D950" s="86"/>
      <c r="E950" s="86"/>
      <c r="F950" s="86"/>
      <c r="G950" s="86"/>
      <c r="H950" s="86"/>
    </row>
    <row r="951" spans="1:8" ht="15.6">
      <c r="A951" s="19"/>
      <c r="D951" s="86"/>
      <c r="E951" s="86"/>
      <c r="F951" s="86"/>
      <c r="G951" s="86"/>
      <c r="H951" s="86"/>
    </row>
    <row r="952" spans="1:8" ht="15.6">
      <c r="A952" s="19"/>
      <c r="D952" s="86"/>
      <c r="E952" s="86"/>
      <c r="F952" s="86"/>
      <c r="G952" s="86"/>
      <c r="H952" s="86"/>
    </row>
    <row r="953" spans="1:8" ht="15.6">
      <c r="A953" s="19"/>
      <c r="D953" s="86"/>
      <c r="E953" s="86"/>
      <c r="F953" s="86"/>
      <c r="G953" s="86"/>
      <c r="H953" s="86"/>
    </row>
  </sheetData>
  <mergeCells count="32">
    <mergeCell ref="D64:G64"/>
    <mergeCell ref="D65:G65"/>
    <mergeCell ref="D66:G66"/>
    <mergeCell ref="D23:H23"/>
    <mergeCell ref="D24:H24"/>
    <mergeCell ref="D25:H25"/>
    <mergeCell ref="D27:H27"/>
    <mergeCell ref="D28:H28"/>
    <mergeCell ref="D29:H29"/>
    <mergeCell ref="D30:H30"/>
    <mergeCell ref="D60:G60"/>
    <mergeCell ref="I60:T60"/>
    <mergeCell ref="D61:G61"/>
    <mergeCell ref="D62:G62"/>
    <mergeCell ref="D63:G63"/>
    <mergeCell ref="D14:H14"/>
    <mergeCell ref="D15:H15"/>
    <mergeCell ref="B21:B22"/>
    <mergeCell ref="B23:B24"/>
    <mergeCell ref="B25:B28"/>
    <mergeCell ref="D16:H16"/>
    <mergeCell ref="D17:H17"/>
    <mergeCell ref="D18:H18"/>
    <mergeCell ref="D19:H19"/>
    <mergeCell ref="D20:H20"/>
    <mergeCell ref="D21:H21"/>
    <mergeCell ref="D22:H22"/>
    <mergeCell ref="D4:H4"/>
    <mergeCell ref="D5:H5"/>
    <mergeCell ref="D6:H6"/>
    <mergeCell ref="D7:H7"/>
    <mergeCell ref="D13:H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ErrorMessage="1" xr:uid="{00000000-0002-0000-0200-000000000000}">
          <x14:formula1>
            <xm:f>Hoja3!$E$3:$E$6</xm:f>
          </x14:formula1>
          <xm:sqref>D17</xm:sqref>
        </x14:dataValidation>
        <x14:dataValidation type="list" allowBlank="1" showErrorMessage="1" xr:uid="{00000000-0002-0000-0200-000001000000}">
          <x14:formula1>
            <xm:f>Hoja3!$Q$3:$Q$5</xm:f>
          </x14:formula1>
          <xm:sqref>D64</xm:sqref>
        </x14:dataValidation>
        <x14:dataValidation type="list" allowBlank="1" showErrorMessage="1" xr:uid="{00000000-0002-0000-0200-000002000000}">
          <x14:formula1>
            <xm:f>Hoja3!$H$3:$H$5</xm:f>
          </x14:formula1>
          <xm:sqref>D21</xm:sqref>
        </x14:dataValidation>
        <x14:dataValidation type="list" allowBlank="1" showErrorMessage="1" xr:uid="{00000000-0002-0000-0200-000003000000}">
          <x14:formula1>
            <xm:f>Hoja3!$F$3:$F$30</xm:f>
          </x14:formula1>
          <xm:sqref>D18</xm:sqref>
        </x14:dataValidation>
        <x14:dataValidation type="list" allowBlank="1" showErrorMessage="1" xr:uid="{00000000-0002-0000-0200-000004000000}">
          <x14:formula1>
            <xm:f>Hoja3!$C$3:$C$32</xm:f>
          </x14:formula1>
          <xm:sqref>D14</xm:sqref>
        </x14:dataValidation>
        <x14:dataValidation type="list" allowBlank="1" showErrorMessage="1" xr:uid="{00000000-0002-0000-0200-000005000000}">
          <x14:formula1>
            <xm:f>Hoja3!$P$3:$P$6</xm:f>
          </x14:formula1>
          <xm:sqref>D61</xm:sqref>
        </x14:dataValidation>
        <x14:dataValidation type="list" allowBlank="1" showErrorMessage="1" xr:uid="{00000000-0002-0000-0200-000006000000}">
          <x14:formula1>
            <xm:f>Hoja3!$R$4:$R$99</xm:f>
          </x14:formula1>
          <xm:sqref>B38 B40 B44:B47</xm:sqref>
        </x14:dataValidation>
        <x14:dataValidation type="list" allowBlank="1" showErrorMessage="1" xr:uid="{00000000-0002-0000-0200-000007000000}">
          <x14:formula1>
            <xm:f>Hoja3!$O$3:$O$7</xm:f>
          </x14:formula1>
          <xm:sqref>D60</xm:sqref>
        </x14:dataValidation>
        <x14:dataValidation type="list" allowBlank="1" showErrorMessage="1" xr:uid="{00000000-0002-0000-0200-000008000000}">
          <x14:formula1>
            <xm:f>Hoja3!$B$3:$B$25</xm:f>
          </x14:formula1>
          <xm:sqref>D15</xm:sqref>
        </x14:dataValidation>
        <x14:dataValidation type="list" allowBlank="1" showErrorMessage="1" xr:uid="{00000000-0002-0000-0200-000009000000}">
          <x14:formula1>
            <xm:f>Hoja3!$G$3:$G$113</xm:f>
          </x14:formula1>
          <xm:sqref>D20</xm:sqref>
        </x14:dataValidation>
        <x14:dataValidation type="list" allowBlank="1" showErrorMessage="1" xr:uid="{00000000-0002-0000-0200-00000A000000}">
          <x14:formula1>
            <xm:f>Hoja3!$I$3:$I$32</xm:f>
          </x14:formula1>
          <xm:sqref>D22</xm:sqref>
        </x14:dataValidation>
        <x14:dataValidation type="list" allowBlank="1" showErrorMessage="1" xr:uid="{00000000-0002-0000-0200-00000B000000}">
          <x14:formula1>
            <xm:f>Hoja3!$R$3:$R$99</xm:f>
          </x14:formula1>
          <xm:sqref>B35 D62</xm:sqref>
        </x14:dataValidation>
        <x14:dataValidation type="list" allowBlank="1" showErrorMessage="1" xr:uid="{00000000-0002-0000-0200-00000C000000}">
          <x14:formula1>
            <xm:f>Hoja3!$D$3:$D$32</xm:f>
          </x14:formula1>
          <xm:sqref>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1" max="1" width="0.44140625" customWidth="1"/>
    <col min="2" max="2" width="8.88671875" customWidth="1"/>
    <col min="3" max="5" width="23.88671875" customWidth="1"/>
    <col min="6" max="10" width="12.6640625" customWidth="1"/>
    <col min="11" max="11" width="13.44140625" customWidth="1"/>
    <col min="12" max="26" width="23.88671875" customWidth="1"/>
  </cols>
  <sheetData>
    <row r="1" spans="1:26" ht="1.5" customHeight="1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30" customHeight="1">
      <c r="A2" s="112"/>
      <c r="B2" s="113" t="str">
        <f ca="1">IFERROR(__xludf.DUMMYFUNCTION("QUERY(MIR!A32:R49, ""select C,D,E,I,F,H,G,M,N,O,Q,R"")"),"RESUMEN NARRATIVO")</f>
        <v>RESUMEN NARRATIVO</v>
      </c>
      <c r="C2" s="113" t="str">
        <f ca="1">IFERROR(__xludf.DUMMYFUNCTION("""COMPUTED_VALUE"""),"OBJETIVOS DE RESULTADO")</f>
        <v>OBJETIVOS DE RESULTADO</v>
      </c>
      <c r="D2" s="113" t="str">
        <f ca="1">IFERROR(__xludf.DUMMYFUNCTION("""COMPUTED_VALUE"""),"NOMBRE DEL INDICADOR")</f>
        <v>NOMBRE DEL INDICADOR</v>
      </c>
      <c r="E2" s="113" t="str">
        <f ca="1">IFERROR(__xludf.DUMMYFUNCTION("""COMPUTED_VALUE"""),"MÉTODO DE CÁLCULO")</f>
        <v>MÉTODO DE CÁLCULO</v>
      </c>
      <c r="F2" s="113" t="str">
        <f ca="1">IFERROR(__xludf.DUMMYFUNCTION("""COMPUTED_VALUE"""),"DEFINICIÓN")</f>
        <v>DEFINICIÓN</v>
      </c>
      <c r="G2" s="113" t="str">
        <f ca="1">IFERROR(__xludf.DUMMYFUNCTION("""COMPUTED_VALUE"""),"TIPO")</f>
        <v>TIPO</v>
      </c>
      <c r="H2" s="113" t="str">
        <f ca="1">IFERROR(__xludf.DUMMYFUNCTION("""COMPUTED_VALUE"""),"DIMENSIÓN")</f>
        <v>DIMENSIÓN</v>
      </c>
      <c r="I2" s="113" t="str">
        <f ca="1">IFERROR(__xludf.DUMMYFUNCTION("""COMPUTED_VALUE"""),"UNIDAD DE MEDIDA")</f>
        <v>UNIDAD DE MEDIDA</v>
      </c>
      <c r="J2" s="113" t="str">
        <f ca="1">IFERROR(__xludf.DUMMYFUNCTION("""COMPUTED_VALUE"""),"LINEA BASE")</f>
        <v>LINEA BASE</v>
      </c>
      <c r="K2" s="113" t="str">
        <f ca="1">IFERROR(__xludf.DUMMYFUNCTION("""COMPUTED_VALUE"""),"META PROGRAMADA")</f>
        <v>META PROGRAMADA</v>
      </c>
      <c r="L2" s="113" t="str">
        <f ca="1">IFERROR(__xludf.DUMMYFUNCTION("""COMPUTED_VALUE"""),"FUENTES DE INFORMACIÓN Y MEDIOS DE VERIFICACIÓN")</f>
        <v>FUENTES DE INFORMACIÓN Y MEDIOS DE VERIFICACIÓN</v>
      </c>
      <c r="M2" s="113" t="str">
        <f ca="1">IFERROR(__xludf.DUMMYFUNCTION("""COMPUTED_VALUE"""),"SUPUESTOS")</f>
        <v>SUPUESTOS</v>
      </c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ht="85.5" customHeight="1">
      <c r="A3" s="112"/>
      <c r="B3" s="113" t="str">
        <f ca="1">IFERROR(__xludf.DUMMYFUNCTION("""COMPUTED_VALUE"""),"FIN")</f>
        <v>FIN</v>
      </c>
      <c r="C3" s="113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D3" s="113" t="str">
        <f ca="1">IFERROR(__xludf.DUMMYFUNCTION("""COMPUTED_VALUE"""),"Porcentaje de personas adultas mayores, con discapacidad y con alguna condición de vulnerabilidad que recibieron atención en los servicios del eje Guadalajara sin Barreras en 2023")</f>
        <v>Porcentaje de personas adultas mayores, con discapacidad y con alguna condición de vulnerabilidad que recibieron atención en los servicios del eje Guadalajara sin Barreras en 2023</v>
      </c>
      <c r="E3" s="113" t="str">
        <f ca="1">IFERROR(__xludf.DUMMYFUNCTION("""COMPUTED_VALUE"""),"Número de personas atendidas en los programas de CEAMIVIDA,, DIPAM, CAIPED y CADI / Número de personas programadas por atender en CEAMIVIDA, DIPAM, CAIPED y CADI*100")</f>
        <v>Número de personas atendidas en los programas de CEAMIVIDA,, DIPAM, CAIPED y CADI / Número de personas programadas por atender en CEAMIVIDA, DIPAM, CAIPED y CADI*100</v>
      </c>
      <c r="F3" s="113" t="str">
        <f ca="1">IFERROR(__xludf.DUMMYFUNCTION("""COMPUTED_VALUE"""),"Mide el porcentaje de personas adultos mayores, con discapacidad y con alguna condición de vulnerabilidad que recibieron atención en los servicios del eje Guadalajara Sin Barreras respecto de la meta planteada para el 2023")</f>
        <v>Mide el porcentaje de personas adultos mayores, con discapacidad y con alguna condición de vulnerabilidad que recibieron atención en los servicios del eje Guadalajara Sin Barreras respecto de la meta planteada para el 2023</v>
      </c>
      <c r="G3" s="113" t="str">
        <f ca="1">IFERROR(__xludf.DUMMYFUNCTION("""COMPUTED_VALUE"""),"Estratégico ")</f>
        <v xml:space="preserve">Estratégico </v>
      </c>
      <c r="H3" s="113" t="str">
        <f ca="1">IFERROR(__xludf.DUMMYFUNCTION("""COMPUTED_VALUE"""),"Eficacia")</f>
        <v>Eficacia</v>
      </c>
      <c r="I3" s="113" t="str">
        <f ca="1">IFERROR(__xludf.DUMMYFUNCTION("""COMPUTED_VALUE"""),"Porcentaje")</f>
        <v>Porcentaje</v>
      </c>
      <c r="J3" s="113" t="str">
        <f ca="1">IFERROR(__xludf.DUMMYFUNCTION("""COMPUTED_VALUE"""),"No disponible")</f>
        <v>No disponible</v>
      </c>
      <c r="K3" s="114">
        <f ca="1">IFERROR(__xludf.DUMMYFUNCTION("""COMPUTED_VALUE"""),10216)</f>
        <v>10216</v>
      </c>
      <c r="L3" s="113" t="str">
        <f ca="1">IFERROR(__xludf.DUMMYFUNCTION("""COMPUTED_VALUE"""),"V1: Padrón de beneficiarios y reportes de avances mensuales de de los programas del eje de Guadalajara sin Barreras del Sistema DIF Guadalajara / V2: Planes de trabajo de los programas del eje de Guadalajara sin Barreras del Sistema DIF Guadalajara")</f>
        <v>V1: Padrón de beneficiarios y reportes de avances mensuales de de los programas del eje de Guadalajara sin Barreras del Sistema DIF Guadalajara / V2: Planes de trabajo de los programas del eje de Guadalajara sin Barreras del Sistema DIF Guadalajara</v>
      </c>
      <c r="M3" s="113" t="str">
        <f ca="1">IFERROR(__xludf.DUMMYFUNCTION("""COMPUTED_VALUE"""),"Las usuarias y usuarios de los programas del eje de Guadalajara sin barreras del Sistema DIF Guadalajara logran mejoras en su bienestar físico y condiciones de inserción social ")</f>
        <v xml:space="preserve">Las usuarias y usuarios de los programas del eje de Guadalajara sin barreras del Sistema DIF Guadalajara logran mejoras en su bienestar físico y condiciones de inserción social </v>
      </c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ht="85.5" customHeight="1">
      <c r="A4" s="112"/>
      <c r="B4" s="113" t="str">
        <f ca="1">IFERROR(__xludf.DUMMYFUNCTION("""COMPUTED_VALUE"""),"PROPÓSITO")</f>
        <v>PROPÓSITO</v>
      </c>
      <c r="C4" s="113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D4" s="113" t="str">
        <f ca="1">IFERROR(__xludf.DUMMYFUNCTION("""COMPUTED_VALUE"""),"Porcentaje de cobertura de servicios de bienestar físico e inclusión para personas adultas mayores o que viven con alguna discapacidad en el municipio de Guadalajara en 2023")</f>
        <v>Porcentaje de cobertura de servicios de bienestar físico e inclusión para personas adultas mayores o que viven con alguna discapacidad en el municipio de Guadalajara en 2023</v>
      </c>
      <c r="E4" s="113" t="str">
        <f ca="1">IFERROR(__xludf.DUMMYFUNCTION("""COMPUTED_VALUE"""),"Número de servicios brindados en el eje de Guadalajara Sin Barreras/ número de servicios meta del eje Sin Barreras 2022*100")</f>
        <v>Número de servicios brindados en el eje de Guadalajara Sin Barreras/ número de servicios meta del eje Sin Barreras 2022*100</v>
      </c>
      <c r="F4" s="113" t="str">
        <f ca="1">IFERROR(__xludf.DUMMYFUNCTION("""COMPUTED_VALUE"""),"Mide el porcentaje de cobertura de servicios de bienestar físico e inclusión para personas adultas mayores o que viven con alguna discapacidad en el municipio de Guadalajara respecto de la meta planteada para el 2023")</f>
        <v>Mide el porcentaje de cobertura de servicios de bienestar físico e inclusión para personas adultas mayores o que viven con alguna discapacidad en el municipio de Guadalajara respecto de la meta planteada para el 2023</v>
      </c>
      <c r="G4" s="113" t="str">
        <f ca="1">IFERROR(__xludf.DUMMYFUNCTION("""COMPUTED_VALUE"""),"Estratégico ")</f>
        <v xml:space="preserve">Estratégico </v>
      </c>
      <c r="H4" s="113" t="str">
        <f ca="1">IFERROR(__xludf.DUMMYFUNCTION("""COMPUTED_VALUE"""),"Eficacia")</f>
        <v>Eficacia</v>
      </c>
      <c r="I4" s="113" t="str">
        <f ca="1">IFERROR(__xludf.DUMMYFUNCTION("""COMPUTED_VALUE"""),"Porcentaje")</f>
        <v>Porcentaje</v>
      </c>
      <c r="J4" s="113" t="str">
        <f ca="1">IFERROR(__xludf.DUMMYFUNCTION("""COMPUTED_VALUE"""),"No disponible")</f>
        <v>No disponible</v>
      </c>
      <c r="K4" s="114">
        <f ca="1">IFERROR(__xludf.DUMMYFUNCTION("""COMPUTED_VALUE"""),36800)</f>
        <v>36800</v>
      </c>
      <c r="L4" s="113" t="str">
        <f ca="1">IFERROR(__xludf.DUMMYFUNCTION("""COMPUTED_VALUE"""),"V1: Padrón de beneficiarios y registro de avances de los programas del eje de Guadalajara sin Barreras del Sistema DIF Guadalajara /V2: Planes de trabajo de los programas del eje de Guadalajara sin Barreras del Sistema DIF Guadalajara")</f>
        <v>V1: Padrón de beneficiarios y registro de avances de los programas del eje de Guadalajara sin Barreras del Sistema DIF Guadalajara /V2: Planes de trabajo de los programas del eje de Guadalajara sin Barreras del Sistema DIF Guadalajara</v>
      </c>
      <c r="M4" s="113" t="str">
        <f ca="1">IFERROR(__xludf.DUMMYFUNCTION("""COMPUTED_VALUE"""),"La comunidad de Guadalajara pone los medios necesarios para que las personas adultas mayores o con discapacidad asistan a los centros.")</f>
        <v>La comunidad de Guadalajara pone los medios necesarios para que las personas adultas mayores o con discapacidad asistan a los centros.</v>
      </c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ht="85.5" customHeight="1">
      <c r="A5" s="112"/>
      <c r="B5" s="113" t="str">
        <f ca="1">IFERROR(__xludf.DUMMYFUNCTION("""COMPUTED_VALUE"""),"COMPONENTE 1")</f>
        <v>COMPONENTE 1</v>
      </c>
      <c r="C5" s="113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5" s="113" t="str">
        <f ca="1">IFERROR(__xludf.DUMMYFUNCTION("""COMPUTED_VALUE"""),"Promedio de personas atendidas y sus familias en talleres recreativos, formativos, deportivos, consultas médicas y psicológicas impartidas en el programa de CEAMIVIDA en 2023")</f>
        <v>Promedio de personas atendidas y sus familias en talleres recreativos, formativos, deportivos, consultas médicas y psicológicas impartidas en el programa de CEAMIVIDA en 2023</v>
      </c>
      <c r="E5" s="113" t="str">
        <f ca="1">IFERROR(__xludf.DUMMYFUNCTION("""COMPUTED_VALUE"""),"(Número de personas atendidas en talleres recreativos, formativos, deportivos, consultas médicas y psicológicas impartidas en el programa de CEAMIVIDA durante el 2023)/4")</f>
        <v>(Número de personas atendidas en talleres recreativos, formativos, deportivos, consultas médicas y psicológicas impartidas en el programa de CEAMIVIDA durante el 2023)/4</v>
      </c>
      <c r="F5" s="113" t="str">
        <f ca="1">IFERROR(__xludf.DUMMYFUNCTION("""COMPUTED_VALUE"""),"Mide el promedio de personas atendidas y sus familias en talleres recreativos, formativos, deportivos, consultas médicas y psicológicas impartidas en el programa de CEAMIVIDA en 2023")</f>
        <v>Mide el promedio de personas atendidas y sus familias en talleres recreativos, formativos, deportivos, consultas médicas y psicológicas impartidas en el programa de CEAMIVIDA en 2023</v>
      </c>
      <c r="G5" s="113" t="str">
        <f ca="1">IFERROR(__xludf.DUMMYFUNCTION("""COMPUTED_VALUE"""),"Estratégico ")</f>
        <v xml:space="preserve">Estratégico </v>
      </c>
      <c r="H5" s="113" t="str">
        <f ca="1">IFERROR(__xludf.DUMMYFUNCTION("""COMPUTED_VALUE"""),"Eficacia")</f>
        <v>Eficacia</v>
      </c>
      <c r="I5" s="113" t="str">
        <f ca="1">IFERROR(__xludf.DUMMYFUNCTION("""COMPUTED_VALUE"""),"Promedio")</f>
        <v>Promedio</v>
      </c>
      <c r="J5" s="113" t="str">
        <f ca="1">IFERROR(__xludf.DUMMYFUNCTION("""COMPUTED_VALUE"""),"No disponible")</f>
        <v>No disponible</v>
      </c>
      <c r="K5" s="114">
        <f ca="1">IFERROR(__xludf.DUMMYFUNCTION("""COMPUTED_VALUE"""),372)</f>
        <v>372</v>
      </c>
      <c r="L5" s="113" t="str">
        <f ca="1">IFERROR(__xludf.DUMMYFUNCTION("""COMPUTED_VALUE"""),"Expediente, listas de asistencia")</f>
        <v>Expediente, listas de asistencia</v>
      </c>
      <c r="M5" s="113" t="str">
        <f ca="1">IFERROR(__xludf.DUMMYFUNCTION("""COMPUTED_VALUE"""),"Los beneficiarios de CEAMIVIDA cuentan con el mínimo estado de salud para poder asistir al CEAMIVIDA.")</f>
        <v>Los beneficiarios de CEAMIVIDA cuentan con el mínimo estado de salud para poder asistir al CEAMIVIDA.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ht="85.5" customHeight="1">
      <c r="A6" s="112"/>
      <c r="B6" s="113" t="str">
        <f ca="1">IFERROR(__xludf.DUMMYFUNCTION("""COMPUTED_VALUE"""),"ACTIVIDAD 1.1")</f>
        <v>ACTIVIDAD 1.1</v>
      </c>
      <c r="C6" s="113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6" s="113" t="str">
        <f ca="1">IFERROR(__xludf.DUMMYFUNCTION("""COMPUTED_VALUE"""),"Porcentaje de consultas psicológicas o médicas para personas con discapacidad intelectual brindadas en CEAMIVIDA en 2023")</f>
        <v>Porcentaje de consultas psicológicas o médicas para personas con discapacidad intelectual brindadas en CEAMIVIDA en 2023</v>
      </c>
      <c r="E6" s="113" t="str">
        <f ca="1">IFERROR(__xludf.DUMMYFUNCTION("""COMPUTED_VALUE"""),"((Número de consultas psicológicas o médicas para personas con discapacidad intelectual  y sus familias brindadas  en CEAMIVIDA durante el 2023 )/( Número de consultas psicológicas o médicas para personas con discapacidad intelectual  y sus familias progr"&amp;"amadas en CEAMIVIDA para el 2023))*100")</f>
        <v>((Número de consultas psicológicas o médicas para personas con discapacidad intelectual  y sus familias brindadas  en CEAMIVIDA durante el 2023 )/( Número de consultas psicológicas o médicas para personas con discapacidad intelectual  y sus familias programadas en CEAMIVIDA para el 2023))*100</v>
      </c>
      <c r="F6" s="113" t="str">
        <f ca="1">IFERROR(__xludf.DUMMYFUNCTION("""COMPUTED_VALUE"""),"Mide el porcentaje de consultas psicológicas o médicas para personas con discapacidad intelectual brindadas en CEAMIVIDA en 2023")</f>
        <v>Mide el porcentaje de consultas psicológicas o médicas para personas con discapacidad intelectual brindadas en CEAMIVIDA en 2023</v>
      </c>
      <c r="G6" s="113" t="str">
        <f ca="1">IFERROR(__xludf.DUMMYFUNCTION("""COMPUTED_VALUE"""),"Gestión")</f>
        <v>Gestión</v>
      </c>
      <c r="H6" s="113" t="str">
        <f ca="1">IFERROR(__xludf.DUMMYFUNCTION("""COMPUTED_VALUE"""),"Eficacia")</f>
        <v>Eficacia</v>
      </c>
      <c r="I6" s="113" t="str">
        <f ca="1">IFERROR(__xludf.DUMMYFUNCTION("""COMPUTED_VALUE"""),"Porcentaje")</f>
        <v>Porcentaje</v>
      </c>
      <c r="J6" s="113" t="str">
        <f ca="1">IFERROR(__xludf.DUMMYFUNCTION("""COMPUTED_VALUE"""),"No disponible")</f>
        <v>No disponible</v>
      </c>
      <c r="K6" s="114">
        <f ca="1">IFERROR(__xludf.DUMMYFUNCTION("""COMPUTED_VALUE"""),810)</f>
        <v>810</v>
      </c>
      <c r="L6" s="113" t="str">
        <f ca="1">IFERROR(__xludf.DUMMYFUNCTION("""COMPUTED_VALUE"""),"Bitácora")</f>
        <v>Bitácora</v>
      </c>
      <c r="M6" s="113" t="str">
        <f ca="1">IFERROR(__xludf.DUMMYFUNCTION("""COMPUTED_VALUE"""),"La población de personas con discapacidad intelectual y sus familias reconocen la importancia de la atención psicológica y médica brindada por el DIF a través de CEAMIVIDA para mejorar su calidad de vida y está dispuesta a participar activamente en el pro"&amp;"grama. ")</f>
        <v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ht="85.5" customHeight="1">
      <c r="A7" s="112"/>
      <c r="B7" s="113" t="str">
        <f ca="1">IFERROR(__xludf.DUMMYFUNCTION("""COMPUTED_VALUE"""),"ACTIVIDAD 1.2")</f>
        <v>ACTIVIDAD 1.2</v>
      </c>
      <c r="C7" s="113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D7" s="113" t="str">
        <f ca="1">IFERROR(__xludf.DUMMYFUNCTION("""COMPUTED_VALUE"""),"Porcentaje de sesiones de talleres recreativos, formativos y deportivos para personas con discapacidad intelectual implementados en CEAMIVIDA en 2023")</f>
        <v>Porcentaje de sesiones de talleres recreativos, formativos y deportivos para personas con discapacidad intelectual implementados en CEAMIVIDA en 2023</v>
      </c>
      <c r="E7" s="113" t="str">
        <f ca="1">IFERROR(__xludf.DUMMYFUNCTION("""COMPUTED_VALUE"""),"((Número de sesiones de talleres recreativos, formativos y deportivos para personas con discapacidad intelectual  y sus familias implementados en CEAMIVIDA  durante el 2023)/ (Número de sesiones de talleres recreativos, formativos y deportivos para person"&amp;"as con discapacidad intelectual  y sus familias programados en CEAMIVIDA para el 2023))*100")</f>
        <v>((Número de sesiones de talleres recreativos, formativos y deportivos para personas con discapacidad intelectual  y sus familias implementados en CEAMIVIDA  durante el 2023)/ (Número de sesiones de talleres recreativos, formativos y deportivos para personas con discapacidad intelectual  y sus familias programados en CEAMIVIDA para el 2023))*100</v>
      </c>
      <c r="F7" s="113" t="str">
        <f ca="1">IFERROR(__xludf.DUMMYFUNCTION("""COMPUTED_VALUE"""),"Mide el porcentaje de sesiones de talleres recreativos, formativos y deportivos para personas con discapacidad intelectual implementados en CEAMIVIDA en 2023")</f>
        <v>Mide el porcentaje de sesiones de talleres recreativos, formativos y deportivos para personas con discapacidad intelectual implementados en CEAMIVIDA en 2023</v>
      </c>
      <c r="G7" s="113" t="str">
        <f ca="1">IFERROR(__xludf.DUMMYFUNCTION("""COMPUTED_VALUE"""),"Gestión")</f>
        <v>Gestión</v>
      </c>
      <c r="H7" s="113" t="str">
        <f ca="1">IFERROR(__xludf.DUMMYFUNCTION("""COMPUTED_VALUE"""),"Eficacia")</f>
        <v>Eficacia</v>
      </c>
      <c r="I7" s="113" t="str">
        <f ca="1">IFERROR(__xludf.DUMMYFUNCTION("""COMPUTED_VALUE"""),"Porcentaje")</f>
        <v>Porcentaje</v>
      </c>
      <c r="J7" s="113" t="str">
        <f ca="1">IFERROR(__xludf.DUMMYFUNCTION("""COMPUTED_VALUE"""),"No disponible")</f>
        <v>No disponible</v>
      </c>
      <c r="K7" s="114">
        <f ca="1">IFERROR(__xludf.DUMMYFUNCTION("""COMPUTED_VALUE"""),990)</f>
        <v>990</v>
      </c>
      <c r="L7" s="113" t="str">
        <f ca="1">IFERROR(__xludf.DUMMYFUNCTION("""COMPUTED_VALUE"""),"Listas de asistencia")</f>
        <v>Listas de asistencia</v>
      </c>
      <c r="M7" s="113" t="str">
        <f ca="1">IFERROR(__xludf.DUMMYFUNCTION("""COMPUTED_VALUE"""),"Las personas con discapacidad intelectual y sus familias en la ciudad de Guadalajara tienen acceso y conocimiento de los servicios y programas que ofrece el DIF, y tienen la disponibilidad y disposición de asistir a los talleres especializados brindados e"&amp;"n CEAMIVIDA.")</f>
        <v>Las personas con discapacidad intelectual y sus familias en la ciudad de Guadalajara tienen acceso y conocimiento de los servicios y programas que ofrece el DIF, y tienen la disponibilidad y disposición de asistir a los talleres especializados brindados en CEAMIVIDA.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ht="85.5" customHeight="1">
      <c r="A8" s="112"/>
      <c r="B8" s="113" t="str">
        <f ca="1">IFERROR(__xludf.DUMMYFUNCTION("""COMPUTED_VALUE"""),"COMPONENTE 2")</f>
        <v>COMPONENTE 2</v>
      </c>
      <c r="C8" s="113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8" s="113" t="str">
        <f ca="1">IFERROR(__xludf.DUMMYFUNCTION("""COMPUTED_VALUE"""),"Promedio de personas atendidas en terapia especializada y que reciben terapias complementarias en CADI en el 2023")</f>
        <v>Promedio de personas atendidas en terapia especializada y que reciben terapias complementarias en CADI en el 2023</v>
      </c>
      <c r="E8" s="113" t="str">
        <f ca="1">IFERROR(__xludf.DUMMYFUNCTION("""COMPUTED_VALUE"""),"(Número de personas atendidas en terapia especializada para DI, TEA, durante el 2023)/ 4")</f>
        <v>(Número de personas atendidas en terapia especializada para DI, TEA, durante el 2023)/ 4</v>
      </c>
      <c r="F8" s="113" t="str">
        <f ca="1">IFERROR(__xludf.DUMMYFUNCTION("""COMPUTED_VALUE"""),"Mide el promedio de personas atendidas en terapia especializada durante el transcurso del año 2023")</f>
        <v>Mide el promedio de personas atendidas en terapia especializada durante el transcurso del año 2023</v>
      </c>
      <c r="G8" s="113" t="str">
        <f ca="1">IFERROR(__xludf.DUMMYFUNCTION("""COMPUTED_VALUE"""),"Estratégico ")</f>
        <v xml:space="preserve">Estratégico </v>
      </c>
      <c r="H8" s="113" t="str">
        <f ca="1">IFERROR(__xludf.DUMMYFUNCTION("""COMPUTED_VALUE"""),"Eficacia")</f>
        <v>Eficacia</v>
      </c>
      <c r="I8" s="113" t="str">
        <f ca="1">IFERROR(__xludf.DUMMYFUNCTION("""COMPUTED_VALUE"""),"Promedio")</f>
        <v>Promedio</v>
      </c>
      <c r="J8" s="113" t="str">
        <f ca="1">IFERROR(__xludf.DUMMYFUNCTION("""COMPUTED_VALUE"""),"No disponible")</f>
        <v>No disponible</v>
      </c>
      <c r="K8" s="114">
        <f ca="1">IFERROR(__xludf.DUMMYFUNCTION("""COMPUTED_VALUE"""),450)</f>
        <v>450</v>
      </c>
      <c r="L8" s="113" t="str">
        <f ca="1">IFERROR(__xludf.DUMMYFUNCTION("""COMPUTED_VALUE"""),"Expediente, listas de asistencia")</f>
        <v>Expediente, listas de asistencia</v>
      </c>
      <c r="M8" s="113" t="str">
        <f ca="1">IFERROR(__xludf.DUMMYFUNCTION("""COMPUTED_VALUE"""),"Los pacientes cuentan con los mínimos requisitos de salud para poder asistir a terapias a CADI,")</f>
        <v>Los pacientes cuentan con los mínimos requisitos de salud para poder asistir a terapias a CADI,</v>
      </c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ht="85.5" customHeight="1">
      <c r="A9" s="112"/>
      <c r="B9" s="113" t="str">
        <f ca="1">IFERROR(__xludf.DUMMYFUNCTION("""COMPUTED_VALUE"""),"ACTIVIDAD 2.1")</f>
        <v>ACTIVIDAD 2.1</v>
      </c>
      <c r="C9" s="113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9" s="113" t="str">
        <f ca="1">IFERROR(__xludf.DUMMYFUNCTION("""COMPUTED_VALUE"""),"Porcentaje de sesiones de terapia especializada y complementarias para personas con discapacidad intelectual o trastorno del espectro autista, brindadas en el CADI en 2023")</f>
        <v>Porcentaje de sesiones de terapia especializada y complementarias para personas con discapacidad intelectual o trastorno del espectro autista, brindadas en el CADI en 2023</v>
      </c>
      <c r="E9" s="113" t="str">
        <f ca="1">IFERROR(__xludf.DUMMYFUNCTION("""COMPUTED_VALUE"""),"Número de sesiones de terapia especializada individual para discapacidad intelectual o trastorno del espectro autista, lenguaje y estimulación cognitiva durante el 2023/ Número de sesiones de terapia especializada individual y discapacidad intelectual o t"&amp;"rastorno del espectro autista, lenguaje y estimulación cognitiva programadas para el 2023*100")</f>
        <v>Número de sesiones de terapia especializada individual para discapacidad intelectual o trastorno del espectro autista, lenguaje y estimulación cognitiva durante el 2023/ Número de sesiones de terapia especializada individual y discapacidad intelectual o trastorno del espectro autista, lenguaje y estimulación cognitiva programadas para el 2023*100</v>
      </c>
      <c r="F9" s="113" t="str">
        <f ca="1">IFERROR(__xludf.DUMMYFUNCTION("""COMPUTED_VALUE"""),"Mide el porcentaje logrado de sesiones de terapia especializada y complementaria para personas con DI o TEA planteadas como meta anual del 2023")</f>
        <v>Mide el porcentaje logrado de sesiones de terapia especializada y complementaria para personas con DI o TEA planteadas como meta anual del 2023</v>
      </c>
      <c r="G9" s="113" t="str">
        <f ca="1">IFERROR(__xludf.DUMMYFUNCTION("""COMPUTED_VALUE"""),"Gestión")</f>
        <v>Gestión</v>
      </c>
      <c r="H9" s="113" t="str">
        <f ca="1">IFERROR(__xludf.DUMMYFUNCTION("""COMPUTED_VALUE"""),"Eficacia")</f>
        <v>Eficacia</v>
      </c>
      <c r="I9" s="113" t="str">
        <f ca="1">IFERROR(__xludf.DUMMYFUNCTION("""COMPUTED_VALUE"""),"Porcentaje")</f>
        <v>Porcentaje</v>
      </c>
      <c r="J9" s="113" t="str">
        <f ca="1">IFERROR(__xludf.DUMMYFUNCTION("""COMPUTED_VALUE"""),"No disponible")</f>
        <v>No disponible</v>
      </c>
      <c r="K9" s="114">
        <f ca="1">IFERROR(__xludf.DUMMYFUNCTION("""COMPUTED_VALUE"""),5600)</f>
        <v>5600</v>
      </c>
      <c r="L9" s="113" t="str">
        <f ca="1">IFERROR(__xludf.DUMMYFUNCTION("""COMPUTED_VALUE"""),"Expedientes")</f>
        <v>Expedientes</v>
      </c>
      <c r="M9" s="113" t="str">
        <f ca="1">IFERROR(__xludf.DUMMYFUNCTION("""COMPUTED_VALUE"""),"Cuidadores de las personas con TEA y de DI acuden a las instalaciones con los pacientes del centro. ")</f>
        <v xml:space="preserve">Cuidadores de las personas con TEA y de DI acuden a las instalaciones con los pacientes del centro. </v>
      </c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85.5" customHeight="1">
      <c r="A10" s="112"/>
      <c r="B10" s="113" t="str">
        <f ca="1">IFERROR(__xludf.DUMMYFUNCTION("""COMPUTED_VALUE"""),"COMPONENTE 3")</f>
        <v>COMPONENTE 3</v>
      </c>
      <c r="C10" s="113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10" s="113" t="str">
        <f ca="1">IFERROR(__xludf.DUMMYFUNCTION("""COMPUTED_VALUE"""),"Porcentaje de apoyos, servicios y actividades realizadas y dirigidas a personas con discapacidad, en 2023")</f>
        <v>Porcentaje de apoyos, servicios y actividades realizadas y dirigidas a personas con discapacidad, en 2023</v>
      </c>
      <c r="E10" s="113" t="str">
        <f ca="1">IFERROR(__xludf.DUMMYFUNCTION("""COMPUTED_VALUE"""),"(Número de apoyos, servicios y actividades realizados en 2023 /Número de apoyos, servicios y actividades programados para el 2023)*100")</f>
        <v>(Número de apoyos, servicios y actividades realizados en 2023 /Número de apoyos, servicios y actividades programados para el 2023)*100</v>
      </c>
      <c r="F10" s="113" t="str">
        <f ca="1">IFERROR(__xludf.DUMMYFUNCTION("""COMPUTED_VALUE"""),"Mide el porcentaje de apoyos, servicios y actividades realizadas y dirigidas a personas con discapacidad en 2023")</f>
        <v>Mide el porcentaje de apoyos, servicios y actividades realizadas y dirigidas a personas con discapacidad en 2023</v>
      </c>
      <c r="G10" s="113" t="str">
        <f ca="1">IFERROR(__xludf.DUMMYFUNCTION("""COMPUTED_VALUE"""),"Estratégico ")</f>
        <v xml:space="preserve">Estratégico </v>
      </c>
      <c r="H10" s="113" t="str">
        <f ca="1">IFERROR(__xludf.DUMMYFUNCTION("""COMPUTED_VALUE"""),"Eficacia")</f>
        <v>Eficacia</v>
      </c>
      <c r="I10" s="113" t="str">
        <f ca="1">IFERROR(__xludf.DUMMYFUNCTION("""COMPUTED_VALUE"""),"Porcentaje")</f>
        <v>Porcentaje</v>
      </c>
      <c r="J10" s="113" t="str">
        <f ca="1">IFERROR(__xludf.DUMMYFUNCTION("""COMPUTED_VALUE"""),"No disponible")</f>
        <v>No disponible</v>
      </c>
      <c r="K10" s="114">
        <f ca="1">IFERROR(__xludf.DUMMYFUNCTION("""COMPUTED_VALUE"""),470)</f>
        <v>470</v>
      </c>
      <c r="L10" s="113" t="str">
        <f ca="1">IFERROR(__xludf.DUMMYFUNCTION("""COMPUTED_VALUE"""),"Listas de asistencia, padrón de beneficiarios")</f>
        <v>Listas de asistencia, padrón de beneficiarios</v>
      </c>
      <c r="M10" s="113" t="str">
        <f ca="1">IFERROR(__xludf.DUMMYFUNCTION("""COMPUTED_VALUE"""),"Los cuidadores de las personas con discapacidad tienen acceso a la información sobre los servicios y actividades de promoción a través de canales de comunicación accesibles y adecuados a sus necesidades")</f>
        <v>Los cuidadores de las personas con discapacidad tienen acceso a la información sobre los servicios y actividades de promoción a través de canales de comunicación accesibles y adecuados a sus necesidades</v>
      </c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85.5" customHeight="1">
      <c r="A11" s="112"/>
      <c r="B11" s="113" t="str">
        <f ca="1">IFERROR(__xludf.DUMMYFUNCTION("""COMPUTED_VALUE"""),"ACTIVIDAD 3.1")</f>
        <v>ACTIVIDAD 3.1</v>
      </c>
      <c r="C11" s="113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11" s="113" t="str">
        <f ca="1">IFERROR(__xludf.DUMMYFUNCTION("""COMPUTED_VALUE"""),"Promedio de personas adultas con discapacidad intelectual institucionalizadas que reciben de manera oportuna medicamentos para la garantía de sus derechos durante el 2023")</f>
        <v>Promedio de personas adultas con discapacidad intelectual institucionalizadas que reciben de manera oportuna medicamentos para la garantía de sus derechos durante el 2023</v>
      </c>
      <c r="E11" s="113" t="str">
        <f ca="1">IFERROR(__xludf.DUMMYFUNCTION("""COMPUTED_VALUE"""),"(Número de personas con discapacidad institucionalizados que reciben medicamentos durante el 2023/ 4)")</f>
        <v>(Número de personas con discapacidad institucionalizados que reciben medicamentos durante el 2023/ 4)</v>
      </c>
      <c r="F11" s="113" t="str">
        <f ca="1">IFERROR(__xludf.DUMMYFUNCTION("""COMPUTED_VALUE"""),"Mide el Promedio de personas adultas con discapacidad intelectual institucionalizadas que reciben de manera oportuna medicamentos para la garantía de sus derechos durante el 2023")</f>
        <v>Mide el Promedio de personas adultas con discapacidad intelectual institucionalizadas que reciben de manera oportuna medicamentos para la garantía de sus derechos durante el 2023</v>
      </c>
      <c r="G11" s="113" t="str">
        <f ca="1">IFERROR(__xludf.DUMMYFUNCTION("""COMPUTED_VALUE"""),"Gestión")</f>
        <v>Gestión</v>
      </c>
      <c r="H11" s="113" t="str">
        <f ca="1">IFERROR(__xludf.DUMMYFUNCTION("""COMPUTED_VALUE"""),"Eficacia")</f>
        <v>Eficacia</v>
      </c>
      <c r="I11" s="113" t="str">
        <f ca="1">IFERROR(__xludf.DUMMYFUNCTION("""COMPUTED_VALUE"""),"Promedio")</f>
        <v>Promedio</v>
      </c>
      <c r="J11" s="113" t="str">
        <f ca="1">IFERROR(__xludf.DUMMYFUNCTION("""COMPUTED_VALUE"""),"No disponible")</f>
        <v>No disponible</v>
      </c>
      <c r="K11" s="114">
        <f ca="1">IFERROR(__xludf.DUMMYFUNCTION("""COMPUTED_VALUE"""),66)</f>
        <v>66</v>
      </c>
      <c r="L11" s="113" t="str">
        <f ca="1">IFERROR(__xludf.DUMMYFUNCTION("""COMPUTED_VALUE"""),"Listas de asistencia, padrón de beneficiarios")</f>
        <v>Listas de asistencia, padrón de beneficiarios</v>
      </c>
      <c r="M11" s="113" t="str">
        <f ca="1">IFERROR(__xludf.DUMMYFUNCTION("""COMPUTED_VALUE"""),"Existen y están disponibilidad los medicamentos necesarios, en el mercado farmacéutico local y/o internacional,")</f>
        <v>Existen y están disponibilidad los medicamentos necesarios, en el mercado farmacéutico local y/o internacional,</v>
      </c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85.5" customHeight="1">
      <c r="A12" s="112"/>
      <c r="B12" s="113" t="str">
        <f ca="1">IFERROR(__xludf.DUMMYFUNCTION("""COMPUTED_VALUE"""),"ACTIVIDAD 3.2")</f>
        <v>ACTIVIDAD 3.2</v>
      </c>
      <c r="C12" s="113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D12" s="113" t="str">
        <f ca="1">IFERROR(__xludf.DUMMYFUNCTION("""COMPUTED_VALUE"""),"Porcentaje de personas con discapacidad intelectual o mental institucionalizados que recibieron apoyo de vivienda temporal para la garantía de sus derechos durante el 2023")</f>
        <v>Porcentaje de personas con discapacidad intelectual o mental institucionalizados que recibieron apoyo de vivienda temporal para la garantía de sus derechos durante el 2023</v>
      </c>
      <c r="E12" s="113" t="str">
        <f ca="1">IFERROR(__xludf.DUMMYFUNCTION("""COMPUTED_VALUE"""),"(Número de personas institucionalizados con discapacidad intelectual o mental que recibieron apoyo de vivienda temporal durante el 2023/ Número de personas  institucionalizados con discapacidad intelectual o mental programadas para el 2023)*100")</f>
        <v>(Número de personas institucionalizados con discapacidad intelectual o mental que recibieron apoyo de vivienda temporal durante el 2023/ Número de personas  institucionalizados con discapacidad intelectual o mental programadas para el 2023)*100</v>
      </c>
      <c r="F12" s="113" t="str">
        <f ca="1">IFERROR(__xludf.DUMMYFUNCTION("""COMPUTED_VALUE"""),"Mide el Porcentaje de personas con discapacidad intelectual o mental institucionalizados que recibieron apoyo de vivienda temporal para la garantía de sus derechos en 2023")</f>
        <v>Mide el Porcentaje de personas con discapacidad intelectual o mental institucionalizados que recibieron apoyo de vivienda temporal para la garantía de sus derechos en 2023</v>
      </c>
      <c r="G12" s="113" t="str">
        <f ca="1">IFERROR(__xludf.DUMMYFUNCTION("""COMPUTED_VALUE"""),"Gestión")</f>
        <v>Gestión</v>
      </c>
      <c r="H12" s="113" t="str">
        <f ca="1">IFERROR(__xludf.DUMMYFUNCTION("""COMPUTED_VALUE"""),"Eficacia")</f>
        <v>Eficacia</v>
      </c>
      <c r="I12" s="113" t="str">
        <f ca="1">IFERROR(__xludf.DUMMYFUNCTION("""COMPUTED_VALUE"""),"Porcentaje")</f>
        <v>Porcentaje</v>
      </c>
      <c r="J12" s="113" t="str">
        <f ca="1">IFERROR(__xludf.DUMMYFUNCTION("""COMPUTED_VALUE"""),"No disponible")</f>
        <v>No disponible</v>
      </c>
      <c r="K12" s="114">
        <f ca="1">IFERROR(__xludf.DUMMYFUNCTION("""COMPUTED_VALUE"""),15)</f>
        <v>15</v>
      </c>
      <c r="L12" s="113" t="str">
        <f ca="1">IFERROR(__xludf.DUMMYFUNCTION("""COMPUTED_VALUE"""),"Padrón de beneficiarios")</f>
        <v>Padrón de beneficiarios</v>
      </c>
      <c r="M12" s="113" t="str">
        <f ca="1">IFERROR(__xludf.DUMMYFUNCTION("""COMPUTED_VALUE"""),"Exist eun balance entre el espacio disponible y la demanda a cubrir.")</f>
        <v>Exist eun balance entre el espacio disponible y la demanda a cubrir.</v>
      </c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ht="85.5" customHeight="1">
      <c r="A13" s="112"/>
      <c r="B13" s="113" t="str">
        <f ca="1">IFERROR(__xludf.DUMMYFUNCTION("""COMPUTED_VALUE"""),"ACTIVIDAD 3.3")</f>
        <v>ACTIVIDAD 3.3</v>
      </c>
      <c r="C13" s="113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D13" s="113" t="str">
        <f ca="1">IFERROR(__xludf.DUMMYFUNCTION("""COMPUTED_VALUE"""),"Porcentaje de talleres brindados durante el 2023")</f>
        <v>Porcentaje de talleres brindados durante el 2023</v>
      </c>
      <c r="E13" s="113" t="str">
        <f ca="1">IFERROR(__xludf.DUMMYFUNCTION("""COMPUTED_VALUE"""),"(Número de talleres impartidos durante el 2023/Número de talleres establecidos como meta para el 2023)*100")</f>
        <v>(Número de talleres impartidos durante el 2023/Número de talleres establecidos como meta para el 2023)*100</v>
      </c>
      <c r="F13" s="113" t="str">
        <f ca="1">IFERROR(__xludf.DUMMYFUNCTION("""COMPUTED_VALUE"""),"Mide el Porcentaje de talleres brindados durante el 2023")</f>
        <v>Mide el Porcentaje de talleres brindados durante el 2023</v>
      </c>
      <c r="G13" s="113" t="str">
        <f ca="1">IFERROR(__xludf.DUMMYFUNCTION("""COMPUTED_VALUE"""),"Gestión")</f>
        <v>Gestión</v>
      </c>
      <c r="H13" s="113" t="str">
        <f ca="1">IFERROR(__xludf.DUMMYFUNCTION("""COMPUTED_VALUE"""),"Eficacia")</f>
        <v>Eficacia</v>
      </c>
      <c r="I13" s="113" t="str">
        <f ca="1">IFERROR(__xludf.DUMMYFUNCTION("""COMPUTED_VALUE"""),"Porcentaje")</f>
        <v>Porcentaje</v>
      </c>
      <c r="J13" s="113" t="str">
        <f ca="1">IFERROR(__xludf.DUMMYFUNCTION("""COMPUTED_VALUE"""),"No disponible")</f>
        <v>No disponible</v>
      </c>
      <c r="K13" s="114">
        <f ca="1">IFERROR(__xludf.DUMMYFUNCTION("""COMPUTED_VALUE"""),25)</f>
        <v>25</v>
      </c>
      <c r="L13" s="113" t="str">
        <f ca="1">IFERROR(__xludf.DUMMYFUNCTION("""COMPUTED_VALUE"""),"Listas de asistencia y evidencia fotográfica")</f>
        <v>Listas de asistencia y evidencia fotográfica</v>
      </c>
      <c r="M13" s="113" t="str">
        <f ca="1">IFERROR(__xludf.DUMMYFUNCTION("""COMPUTED_VALUE"""),"Existe una disposición por parte de las instituciones y centros laborales del sector público y privado, instituciones escolares y público en general para participar en los talleres de sensibilización y promoción de la cultura de inclusión.")</f>
        <v>Existe una disposición por parte de las instituciones y centros laborales del sector público y privado, instituciones escolares y público en general para participar en los talleres de sensibilización y promoción de la cultura de inclusión.</v>
      </c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85.5" customHeight="1">
      <c r="A14" s="112"/>
      <c r="B14" s="113" t="str">
        <f ca="1">IFERROR(__xludf.DUMMYFUNCTION("""COMPUTED_VALUE"""),"COMPONENTE 4")</f>
        <v>COMPONENTE 4</v>
      </c>
      <c r="C14" s="113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14" s="113" t="str">
        <f ca="1">IFERROR(__xludf.DUMMYFUNCTION("""COMPUTED_VALUE"""),"Promedio de asistencias de personas adultas mayores a capacitación y taller de envejecimiento activo, durante el 2023")</f>
        <v>Promedio de asistencias de personas adultas mayores a capacitación y taller de envejecimiento activo, durante el 2023</v>
      </c>
      <c r="E14" s="113" t="str">
        <f ca="1">IFERROR(__xludf.DUMMYFUNCTION("""COMPUTED_VALUE"""),"Número de asistencias a una capacitación o taller durante el 2023/4")</f>
        <v>Número de asistencias a una capacitación o taller durante el 2023/4</v>
      </c>
      <c r="F14" s="113" t="str">
        <f ca="1">IFERROR(__xludf.DUMMYFUNCTION("""COMPUTED_VALUE"""),"Mide el promedio de asistencias de personas adultas mayores a capacitación y taller de envejecimiento activo durante el 2023")</f>
        <v>Mide el promedio de asistencias de personas adultas mayores a capacitación y taller de envejecimiento activo durante el 2023</v>
      </c>
      <c r="G14" s="113" t="str">
        <f ca="1">IFERROR(__xludf.DUMMYFUNCTION("""COMPUTED_VALUE"""),"Estratégico ")</f>
        <v xml:space="preserve">Estratégico </v>
      </c>
      <c r="H14" s="113" t="str">
        <f ca="1">IFERROR(__xludf.DUMMYFUNCTION("""COMPUTED_VALUE"""),"Eficacia")</f>
        <v>Eficacia</v>
      </c>
      <c r="I14" s="113" t="str">
        <f ca="1">IFERROR(__xludf.DUMMYFUNCTION("""COMPUTED_VALUE"""),"Promedio")</f>
        <v>Promedio</v>
      </c>
      <c r="J14" s="113" t="str">
        <f ca="1">IFERROR(__xludf.DUMMYFUNCTION("""COMPUTED_VALUE"""),"1853")</f>
        <v>1853</v>
      </c>
      <c r="K14" s="114">
        <f ca="1">IFERROR(__xludf.DUMMYFUNCTION("""COMPUTED_VALUE"""),6000)</f>
        <v>6000</v>
      </c>
      <c r="L14" s="113" t="str">
        <f ca="1">IFERROR(__xludf.DUMMYFUNCTION("""COMPUTED_VALUE"""),"Lista de asistencia")</f>
        <v>Lista de asistencia</v>
      </c>
      <c r="M14" s="113" t="str">
        <f ca="1">IFERROR(__xludf.DUMMYFUNCTION("""COMPUTED_VALUE"""),"Las personas adultas mayores tienen acceso y disponibilidad para asistir a las capacitaciones y talleres ofrecidos por el DIF, tales como transporte y cuidados necesarios para asistir a dichas actividades")</f>
        <v>Las personas adultas mayores tienen acceso y disponibilidad para asistir a las capacitaciones y talleres ofrecidos por el DIF, tales como transporte y cuidados necesarios para asistir a dichas actividades</v>
      </c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 ht="85.5" customHeight="1">
      <c r="A15" s="112"/>
      <c r="B15" s="113" t="str">
        <f ca="1">IFERROR(__xludf.DUMMYFUNCTION("""COMPUTED_VALUE"""),"ACTIVIDAD 4.1")</f>
        <v>ACTIVIDAD 4.1</v>
      </c>
      <c r="C15" s="113" t="str">
        <f ca="1">IFERROR(__xludf.DUMMYFUNCTION("""COMPUTED_VALUE"""),"Encuentros intergeneracionales realizados en el Programa DIPAM en 2023")</f>
        <v>Encuentros intergeneracionales realizados en el Programa DIPAM en 2023</v>
      </c>
      <c r="D15" s="113" t="str">
        <f ca="1">IFERROR(__xludf.DUMMYFUNCTION("""COMPUTED_VALUE"""),"Porcentaje de encuentros intergeneracionales llevados a cabo en 2023")</f>
        <v>Porcentaje de encuentros intergeneracionales llevados a cabo en 2023</v>
      </c>
      <c r="E15" s="113" t="str">
        <f ca="1">IFERROR(__xludf.DUMMYFUNCTION("""COMPUTED_VALUE"""),"(Número de encuentros intergeneracionales llevados a cabo en 2023/ número de encuentros intergeneracionales programados para el 2023)*100")</f>
        <v>(Número de encuentros intergeneracionales llevados a cabo en 2023/ número de encuentros intergeneracionales programados para el 2023)*100</v>
      </c>
      <c r="F15" s="113" t="str">
        <f ca="1">IFERROR(__xludf.DUMMYFUNCTION("""COMPUTED_VALUE"""),"Mide el porcentaje de encuentros intergeneracionales llevados a cabo en 2023")</f>
        <v>Mide el porcentaje de encuentros intergeneracionales llevados a cabo en 2023</v>
      </c>
      <c r="G15" s="113" t="str">
        <f ca="1">IFERROR(__xludf.DUMMYFUNCTION("""COMPUTED_VALUE"""),"Gestión")</f>
        <v>Gestión</v>
      </c>
      <c r="H15" s="113" t="str">
        <f ca="1">IFERROR(__xludf.DUMMYFUNCTION("""COMPUTED_VALUE"""),"Eficacia")</f>
        <v>Eficacia</v>
      </c>
      <c r="I15" s="113" t="str">
        <f ca="1">IFERROR(__xludf.DUMMYFUNCTION("""COMPUTED_VALUE"""),"Porcentaje")</f>
        <v>Porcentaje</v>
      </c>
      <c r="J15" s="113" t="str">
        <f ca="1">IFERROR(__xludf.DUMMYFUNCTION("""COMPUTED_VALUE"""),"22")</f>
        <v>22</v>
      </c>
      <c r="K15" s="114">
        <f ca="1">IFERROR(__xludf.DUMMYFUNCTION("""COMPUTED_VALUE"""),22)</f>
        <v>22</v>
      </c>
      <c r="L15" s="113" t="str">
        <f ca="1">IFERROR(__xludf.DUMMYFUNCTION("""COMPUTED_VALUE"""),"Lista de asistencia")</f>
        <v>Lista de asistencia</v>
      </c>
      <c r="M15" s="113" t="str">
        <f ca="1">IFERROR(__xludf.DUMMYFUNCTION("""COMPUTED_VALUE"""),"Existe una participación activa y dispuesta por parte de los adultos mayores para asistir a los encuentros intergeneracionales, y cuentan con los recursos materiales y humanos necesarios para llevar a cabo los mismos.")</f>
        <v>Existe una participación activa y dispuesta por parte de los adultos mayores para asistir a los encuentros intergeneracionales, y cuentan con los recursos materiales y humanos necesarios para llevar a cabo los mismos.</v>
      </c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85.5" customHeight="1">
      <c r="A16" s="112"/>
      <c r="B16" s="113" t="str">
        <f ca="1">IFERROR(__xludf.DUMMYFUNCTION("""COMPUTED_VALUE"""),"ACTIVIDAD 4.2")</f>
        <v>ACTIVIDAD 4.2</v>
      </c>
      <c r="C16" s="113" t="str">
        <f ca="1">IFERROR(__xludf.DUMMYFUNCTION("""COMPUTED_VALUE"""),"Raciones alimenticias entregadas en el comedor de DIPAM en 2023")</f>
        <v>Raciones alimenticias entregadas en el comedor de DIPAM en 2023</v>
      </c>
      <c r="D16" s="113" t="str">
        <f ca="1">IFERROR(__xludf.DUMMYFUNCTION("""COMPUTED_VALUE"""),"Porcentaje de cumplimiento en la entrega de raciones alimenticias entregadas en el comedor de DIPAM en 2023")</f>
        <v>Porcentaje de cumplimiento en la entrega de raciones alimenticias entregadas en el comedor de DIPAM en 2023</v>
      </c>
      <c r="E16" s="113" t="str">
        <f ca="1">IFERROR(__xludf.DUMMYFUNCTION("""COMPUTED_VALUE"""),"(Número de raciones alimentarias entregadas en DIPAM en 2023/ número de raciones alimentarias programadas como meta para el 2023)*100")</f>
        <v>(Número de raciones alimentarias entregadas en DIPAM en 2023/ número de raciones alimentarias programadas como meta para el 2023)*100</v>
      </c>
      <c r="F16" s="113" t="str">
        <f ca="1">IFERROR(__xludf.DUMMYFUNCTION("""COMPUTED_VALUE"""),"Mide el porcentaje de cumplimiento en la entrega de raciones alimenticias en el comedor de DIPAM, durante el 2023")</f>
        <v>Mide el porcentaje de cumplimiento en la entrega de raciones alimenticias en el comedor de DIPAM, durante el 2023</v>
      </c>
      <c r="G16" s="113" t="str">
        <f ca="1">IFERROR(__xludf.DUMMYFUNCTION("""COMPUTED_VALUE"""),"Gestión")</f>
        <v>Gestión</v>
      </c>
      <c r="H16" s="113" t="str">
        <f ca="1">IFERROR(__xludf.DUMMYFUNCTION("""COMPUTED_VALUE"""),"Eficacia")</f>
        <v>Eficacia</v>
      </c>
      <c r="I16" s="113" t="str">
        <f ca="1">IFERROR(__xludf.DUMMYFUNCTION("""COMPUTED_VALUE"""),"Porcentaje")</f>
        <v>Porcentaje</v>
      </c>
      <c r="J16" s="113" t="str">
        <f ca="1">IFERROR(__xludf.DUMMYFUNCTION("""COMPUTED_VALUE"""),"No disponible")</f>
        <v>No disponible</v>
      </c>
      <c r="K16" s="114">
        <f ca="1">IFERROR(__xludf.DUMMYFUNCTION("""COMPUTED_VALUE"""),22000)</f>
        <v>22000</v>
      </c>
      <c r="L16" s="113" t="str">
        <f ca="1">IFERROR(__xludf.DUMMYFUNCTION("""COMPUTED_VALUE"""),"Listas de asistencia")</f>
        <v>Listas de asistencia</v>
      </c>
      <c r="M16" s="113" t="str">
        <f ca="1">IFERROR(__xludf.DUMMYFUNCTION("""COMPUTED_VALUE""")," La oferta de alimentos en el mercado local es suficiente y nutritiva para cubrir la demanda de alimentos del programa de asistencia social.")</f>
        <v xml:space="preserve"> La oferta de alimentos en el mercado local es suficiente y nutritiva para cubrir la demanda de alimentos del programa de asistencia social.</v>
      </c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 ht="85.5" customHeight="1">
      <c r="A17" s="112"/>
      <c r="B17" s="113" t="str">
        <f ca="1">IFERROR(__xludf.DUMMYFUNCTION("""COMPUTED_VALUE"""),"COMPONENTE 5")</f>
        <v>COMPONENTE 5</v>
      </c>
      <c r="C17" s="113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17" s="113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202"&amp;"3")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2023</v>
      </c>
      <c r="E17" s="113" t="str">
        <f ca="1">IFERROR(__xludf.DUMMYFUNCTION("""COMPUTED_VALUE"""),"(Número de personas atendidas en el Centro CAIPED durante el 2023/ número de personas programadas para el 2023)*100")</f>
        <v>(Número de personas atendidas en el Centro CAIPED durante el 2023/ número de personas programadas para el 2023)*100</v>
      </c>
      <c r="F17" s="113" t="str">
        <f ca="1">IFERROR(__xludf.DUMMYFUNCTION("""COMPUTED_VALUE"""),"Mide el porcentaje de servicios brindados a las personas con discapacidad temporal o permanente y población en general atendidos en servicios de terapia física y de lenguaje, consulta médica en rehabilitación, consulta de podología, consulta en traumatolo"&amp;"gía/ortopedia, y psicología en 2023")</f>
        <v>Mide el porcentaje de servicios brindados a las personas con discapacidad temporal o permanente y población en general atendidos en servicios de terapia física y de lenguaje, consulta médica en rehabilitación, consulta de podología, consulta en traumatología/ortopedia, y psicología en 2023</v>
      </c>
      <c r="G17" s="113" t="str">
        <f ca="1">IFERROR(__xludf.DUMMYFUNCTION("""COMPUTED_VALUE"""),"Estratégico ")</f>
        <v xml:space="preserve">Estratégico </v>
      </c>
      <c r="H17" s="113" t="str">
        <f ca="1">IFERROR(__xludf.DUMMYFUNCTION("""COMPUTED_VALUE"""),"Eficacia")</f>
        <v>Eficacia</v>
      </c>
      <c r="I17" s="113" t="str">
        <f ca="1">IFERROR(__xludf.DUMMYFUNCTION("""COMPUTED_VALUE"""),"Porcentaje")</f>
        <v>Porcentaje</v>
      </c>
      <c r="J17" s="113" t="str">
        <f ca="1">IFERROR(__xludf.DUMMYFUNCTION("""COMPUTED_VALUE"""),"No disponible")</f>
        <v>No disponible</v>
      </c>
      <c r="K17" s="114">
        <f ca="1">IFERROR(__xludf.DUMMYFUNCTION("""COMPUTED_VALUE"""),7920)</f>
        <v>7920</v>
      </c>
      <c r="L17" s="113" t="str">
        <f ca="1">IFERROR(__xludf.DUMMYFUNCTION("""COMPUTED_VALUE"""),"Padrón de beneficiarios o listas de asistencia")</f>
        <v>Padrón de beneficiarios o listas de asistencia</v>
      </c>
      <c r="M17" s="113" t="str">
        <f ca="1">IFERROR(__xludf.DUMMYFUNCTION("""COMPUTED_VALUE"""),"La población objetivo cuenta con acceso y disponibilidad para asistir a las instalaciones del CAIPED y recibir los servicios de terapia física, atención psicológica y consulta médica de rehabilitación y de traumatología y ortopedia.")</f>
        <v>La población objetivo cuenta con acceso y disponibilidad para asistir a las instalaciones del CAIPED y recibir los servicios de terapia física, atención psicológica y consulta médica de rehabilitación y de traumatología y ortopedia.</v>
      </c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 ht="85.5" customHeight="1">
      <c r="A18" s="112"/>
      <c r="B18" s="113" t="str">
        <f ca="1">IFERROR(__xludf.DUMMYFUNCTION("""COMPUTED_VALUE"""),"ACTIVIDAD 5.1")</f>
        <v>ACTIVIDAD 5.1</v>
      </c>
      <c r="C18" s="113" t="str">
        <f ca="1">IFERROR(__xludf.DUMMYFUNCTION("""COMPUTED_VALUE"""),"Sesiones de terapia física brindadas en el Centro CAIPED en 2023")</f>
        <v>Sesiones de terapia física brindadas en el Centro CAIPED en 2023</v>
      </c>
      <c r="D18" s="113" t="str">
        <f ca="1">IFERROR(__xludf.DUMMYFUNCTION("""COMPUTED_VALUE"""),"Porcentaje de sesiones de terapia física a personas con discapacidad permanente o temporal y población en general en 2023")</f>
        <v>Porcentaje de sesiones de terapia física a personas con discapacidad permanente o temporal y población en general en 2023</v>
      </c>
      <c r="E18" s="113" t="str">
        <f ca="1">IFERROR(__xludf.DUMMYFUNCTION("""COMPUTED_VALUE"""),"(Número de sesiones de terapia física brindadas en el centro CAIPED en 2023/ número de sesiones programadas para el  2023)*100")</f>
        <v>(Número de sesiones de terapia física brindadas en el centro CAIPED en 2023/ número de sesiones programadas para el  2023)*100</v>
      </c>
      <c r="F18" s="113" t="str">
        <f ca="1">IFERROR(__xludf.DUMMYFUNCTION("""COMPUTED_VALUE"""),"Mide el porcentaje de sesiones de terapia física a personas con discapacidad permanente o temporal y población en general en 2023")</f>
        <v>Mide el porcentaje de sesiones de terapia física a personas con discapacidad permanente o temporal y población en general en 2023</v>
      </c>
      <c r="G18" s="113" t="str">
        <f ca="1">IFERROR(__xludf.DUMMYFUNCTION("""COMPUTED_VALUE"""),"Gestión")</f>
        <v>Gestión</v>
      </c>
      <c r="H18" s="113" t="str">
        <f ca="1">IFERROR(__xludf.DUMMYFUNCTION("""COMPUTED_VALUE"""),"Eficacia")</f>
        <v>Eficacia</v>
      </c>
      <c r="I18" s="113" t="str">
        <f ca="1">IFERROR(__xludf.DUMMYFUNCTION("""COMPUTED_VALUE"""),"Porcentaje")</f>
        <v>Porcentaje</v>
      </c>
      <c r="J18" s="113" t="str">
        <f ca="1">IFERROR(__xludf.DUMMYFUNCTION("""COMPUTED_VALUE"""),"No disponible")</f>
        <v>No disponible</v>
      </c>
      <c r="K18" s="114">
        <f ca="1">IFERROR(__xludf.DUMMYFUNCTION("""COMPUTED_VALUE"""),7250)</f>
        <v>7250</v>
      </c>
      <c r="L18" s="113" t="str">
        <f ca="1">IFERROR(__xludf.DUMMYFUNCTION("""COMPUTED_VALUE"""),"Padrón de beneficiarios o listas de asistencia")</f>
        <v>Padrón de beneficiarios o listas de asistencia</v>
      </c>
      <c r="M18" s="113" t="str">
        <f ca="1">IFERROR(__xludf.DUMMYFUNCTION("""COMPUTED_VALUE"""),"Los pacientes que requieren servicios de terapia física en el CAIPED tienen acceso y disponibilidad para asistir regularmente a las sesiones programadas.")</f>
        <v>Los pacientes que requieren servicios de terapia física en el CAIPED tienen acceso y disponibilidad para asistir regularmente a las sesiones programadas.</v>
      </c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 ht="85.5" customHeight="1">
      <c r="A19" s="112"/>
      <c r="B19" s="113" t="str">
        <f ca="1">IFERROR(__xludf.DUMMYFUNCTION("""COMPUTED_VALUE"""),"ACTIVIDAD 5.2")</f>
        <v>ACTIVIDAD 5.2</v>
      </c>
      <c r="C19" s="113" t="str">
        <f ca="1">IFERROR(__xludf.DUMMYFUNCTION("""COMPUTED_VALUE"""),"Sesiones de consulta médica brindadas en el Centro CAIPED en 2023")</f>
        <v>Sesiones de consulta médica brindadas en el Centro CAIPED en 2023</v>
      </c>
      <c r="D19" s="113" t="str">
        <f ca="1">IFERROR(__xludf.DUMMYFUNCTION("""COMPUTED_VALUE"""),"Porcentaje de sesiones de consulta médica en rehabilitación y traumatología/ortopedia a personas con discapacidad permanente o temporal y población en general en 2023")</f>
        <v>Porcentaje de sesiones de consulta médica en rehabilitación y traumatología/ortopedia a personas con discapacidad permanente o temporal y población en general en 2023</v>
      </c>
      <c r="E19" s="113" t="str">
        <f ca="1">IFERROR(__xludf.DUMMYFUNCTION("""COMPUTED_VALUE"""),"(Número de sesiones de consulta médica en rehabilitación y traumatología-ortopedia brindadas en el centro CAIPED, en el 2023/ número de sesiones programadas para el 2023)*100")</f>
        <v>(Número de sesiones de consulta médica en rehabilitación y traumatología-ortopedia brindadas en el centro CAIPED, en el 2023/ número de sesiones programadas para el 2023)*100</v>
      </c>
      <c r="F19" s="113" t="str">
        <f ca="1">IFERROR(__xludf.DUMMYFUNCTION("""COMPUTED_VALUE"""),"Mide el porcentaje de sesiones de consulta médica en rehabilitación y traumatología/ortopedia a personas con discapacidad permanente o temporal y población en general en 2023")</f>
        <v>Mide el porcentaje de sesiones de consulta médica en rehabilitación y traumatología/ortopedia a personas con discapacidad permanente o temporal y población en general en 2023</v>
      </c>
      <c r="G19" s="113" t="str">
        <f ca="1">IFERROR(__xludf.DUMMYFUNCTION("""COMPUTED_VALUE"""),"Gestión")</f>
        <v>Gestión</v>
      </c>
      <c r="H19" s="113" t="str">
        <f ca="1">IFERROR(__xludf.DUMMYFUNCTION("""COMPUTED_VALUE"""),"Eficacia")</f>
        <v>Eficacia</v>
      </c>
      <c r="I19" s="113" t="str">
        <f ca="1">IFERROR(__xludf.DUMMYFUNCTION("""COMPUTED_VALUE"""),"Porcentaje")</f>
        <v>Porcentaje</v>
      </c>
      <c r="J19" s="113" t="str">
        <f ca="1">IFERROR(__xludf.DUMMYFUNCTION("""COMPUTED_VALUE"""),"No disponible")</f>
        <v>No disponible</v>
      </c>
      <c r="K19" s="114">
        <f ca="1">IFERROR(__xludf.DUMMYFUNCTION("""COMPUTED_VALUE"""),670)</f>
        <v>670</v>
      </c>
      <c r="L19" s="113" t="str">
        <f ca="1">IFERROR(__xludf.DUMMYFUNCTION("""COMPUTED_VALUE"""),"Padrón de beneficiarios o listas de asistencia")</f>
        <v>Padrón de beneficiarios o listas de asistencia</v>
      </c>
      <c r="M19" s="113" t="str">
        <f ca="1">IFERROR(__xludf.DUMMYFUNCTION("""COMPUTED_VALUE"""),"La población objetivo cuenta con acceso a los servicios de salud y transporte público para acudir al centro CAIPED")</f>
        <v>La población objetivo cuenta con acceso a los servicios de salud y transporte público para acudir al centro CAIPED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 ht="85.5" customHeight="1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 ht="85.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 ht="85.5" customHeight="1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 ht="85.5" customHeight="1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 ht="85.5" customHeight="1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ht="85.5" customHeight="1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 ht="85.5" customHeight="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 ht="85.5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 ht="85.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1:26" ht="85.5" customHeight="1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1:26" ht="85.5" customHeight="1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26" ht="85.5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 ht="85.5" customHeight="1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 ht="85.5" customHeight="1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 ht="85.5" customHeight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 ht="85.5" customHeight="1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 ht="85.5" customHeight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ht="85.5" customHeight="1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 ht="85.5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 ht="85.5" customHeight="1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 ht="85.5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 ht="85.5" customHeight="1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 ht="85.5" customHeight="1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 ht="85.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ht="85.5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ht="85.5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ht="85.5" customHeight="1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ht="85.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ht="85.5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ht="85.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ht="85.5" customHeight="1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 ht="85.5" customHeight="1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ht="85.5" customHeight="1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ht="85.5" customHeight="1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ht="85.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ht="85.5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ht="85.5" customHeight="1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ht="85.5" customHeight="1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ht="85.5" customHeight="1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ht="85.5" customHeight="1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ht="85.5" customHeight="1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 ht="85.5" customHeight="1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 ht="85.5" customHeight="1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 ht="85.5" customHeight="1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 ht="85.5" customHeight="1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 ht="85.5" customHeight="1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 ht="85.5" customHeight="1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 ht="85.5" customHeight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 ht="85.5" customHeight="1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 ht="85.5" customHeight="1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 ht="85.5" customHeight="1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 ht="85.5" customHeight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ht="85.5" customHeight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ht="85.5" customHeight="1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ht="85.5" customHeight="1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ht="85.5" customHeight="1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ht="85.5" customHeight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ht="85.5" customHeight="1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ht="85.5" customHeight="1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ht="85.5" customHeight="1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ht="85.5" customHeight="1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 ht="85.5" customHeight="1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 ht="85.5" customHeight="1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 ht="85.5" customHeight="1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spans="1:26" ht="85.5" customHeight="1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spans="1:26" ht="85.5" customHeight="1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 ht="85.5" customHeight="1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 ht="85.5" customHeight="1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 ht="85.5" customHeight="1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 ht="85.5" customHeight="1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spans="1:26" ht="85.5" customHeight="1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spans="1:26" ht="85.5" customHeight="1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spans="1:26" ht="85.5" customHeight="1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spans="1:26" ht="85.5" customHeight="1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spans="1:26" ht="85.5" customHeight="1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spans="1:26" ht="85.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spans="1:26" ht="85.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spans="1:26" ht="85.5" customHeight="1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spans="1:26" ht="85.5" customHeight="1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spans="1:26" ht="85.5" customHeight="1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spans="1:26" ht="85.5" customHeight="1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spans="1:26" ht="85.5" customHeight="1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spans="1:26" ht="85.5" customHeight="1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spans="1:26" ht="85.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spans="1:26" ht="85.5" customHeight="1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spans="1:26" ht="85.5" customHeight="1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spans="1:26" ht="85.5" customHeight="1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spans="1:26" ht="85.5" customHeight="1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spans="1:26" ht="85.5" customHeight="1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spans="1:26" ht="85.5" customHeight="1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 ht="85.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spans="1:26" ht="85.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 ht="85.5" customHeight="1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 ht="85.5" customHeight="1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 ht="85.5" customHeight="1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 ht="85.5" customHeight="1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 ht="85.5" customHeight="1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 ht="85.5" customHeight="1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 ht="85.5" customHeight="1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 ht="85.5" customHeight="1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 ht="85.5" customHeight="1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 ht="85.5" customHeight="1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 ht="85.5" customHeight="1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 ht="85.5" customHeight="1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 ht="85.5" customHeight="1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 ht="85.5" customHeight="1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 ht="85.5" customHeight="1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 ht="85.5" customHeight="1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 ht="85.5" customHeight="1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 ht="85.5" customHeight="1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 ht="85.5" customHeight="1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 ht="85.5" customHeight="1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 ht="85.5" customHeight="1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 ht="85.5" customHeight="1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 ht="85.5" customHeight="1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 ht="85.5" customHeight="1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 ht="85.5" customHeight="1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 ht="85.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 ht="85.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 ht="85.5" customHeight="1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 ht="85.5" customHeight="1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 ht="85.5" customHeight="1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 ht="85.5" customHeight="1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 ht="85.5" customHeight="1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 ht="85.5" customHeight="1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 ht="85.5" customHeight="1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 ht="85.5" customHeight="1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 ht="85.5" customHeight="1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 ht="85.5" customHeight="1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 ht="85.5" customHeight="1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 ht="85.5" customHeight="1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 ht="85.5" customHeight="1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 ht="85.5" customHeight="1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 ht="85.5" customHeight="1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 ht="85.5" customHeight="1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 ht="85.5" customHeight="1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 ht="85.5" customHeight="1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 ht="85.5" customHeight="1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 ht="85.5" customHeight="1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 ht="85.5" customHeight="1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 ht="85.5" customHeight="1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 ht="85.5" customHeight="1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 ht="85.5" customHeight="1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 ht="85.5" customHeight="1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 ht="85.5" customHeight="1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 ht="85.5" customHeight="1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 ht="85.5" customHeight="1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 ht="85.5" customHeight="1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 ht="85.5" customHeight="1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 ht="85.5" customHeight="1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 ht="85.5" customHeight="1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 ht="85.5" customHeight="1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1:26" ht="85.5" customHeight="1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1:26" ht="85.5" customHeight="1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1:26" ht="85.5" customHeight="1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1:26" ht="85.5" customHeight="1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1:26" ht="85.5" customHeight="1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1:26" ht="85.5" customHeight="1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1:26" ht="85.5" customHeight="1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1:26" ht="85.5" customHeight="1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1:26" ht="85.5" customHeight="1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spans="1:26" ht="85.5" customHeight="1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 ht="85.5" customHeight="1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 ht="85.5" customHeight="1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spans="1:26" ht="85.5" customHeight="1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spans="1:26" ht="85.5" customHeight="1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spans="1:26" ht="85.5" customHeight="1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spans="1:26" ht="85.5" customHeight="1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spans="1:26" ht="85.5" customHeight="1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spans="1:26" ht="85.5" customHeight="1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 ht="85.5" customHeight="1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spans="1:26" ht="85.5" customHeight="1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spans="1:26" ht="85.5" customHeight="1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spans="1:26" ht="85.5" customHeight="1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spans="1:26" ht="85.5" customHeight="1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spans="1:26" ht="85.5" customHeight="1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spans="1:26" ht="85.5" customHeight="1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spans="1:26" ht="85.5" customHeight="1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spans="1:26" ht="85.5" customHeight="1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spans="1:26" ht="85.5" customHeight="1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spans="1:26" ht="85.5" customHeight="1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spans="1:26" ht="85.5" customHeight="1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spans="1:26" ht="85.5" customHeight="1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spans="1:26" ht="85.5" customHeight="1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spans="1:26" ht="85.5" customHeight="1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spans="1:26" ht="85.5" customHeight="1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spans="1:26" ht="85.5" customHeight="1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spans="1:26" ht="85.5" customHeight="1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spans="1:26" ht="85.5" customHeight="1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spans="1:26" ht="85.5" customHeight="1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spans="1:26" ht="85.5" customHeight="1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spans="1:26" ht="85.5" customHeight="1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spans="1:26" ht="85.5" customHeight="1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spans="1:26" ht="85.5" customHeight="1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spans="1:26" ht="85.5" customHeight="1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spans="1:26" ht="85.5" customHeight="1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spans="1:26" ht="85.5" customHeight="1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spans="1:26" ht="85.5" customHeight="1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spans="1:26" ht="85.5" customHeight="1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spans="1:26" ht="85.5" customHeight="1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spans="1:26" ht="85.5" customHeight="1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spans="1:26" ht="85.5" customHeight="1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spans="1:26" ht="85.5" customHeight="1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spans="1:26" ht="85.5" customHeight="1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spans="1:26" ht="85.5" customHeight="1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spans="1:26" ht="85.5" customHeight="1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spans="1:26" ht="85.5" customHeight="1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spans="1:26" ht="85.5" customHeight="1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spans="1:26" ht="85.5" customHeight="1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spans="1:26" ht="85.5" customHeight="1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spans="1:26" ht="85.5" customHeight="1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spans="1:26" ht="85.5" customHeight="1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spans="1:26" ht="85.5" customHeight="1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spans="1:26" ht="85.5" customHeight="1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spans="1:26" ht="85.5" customHeight="1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spans="1:26" ht="85.5" customHeight="1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spans="1:26" ht="85.5" customHeight="1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spans="1:26" ht="85.5" customHeight="1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spans="1:26" ht="85.5" customHeight="1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spans="1:26" ht="85.5" customHeight="1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spans="1:26" ht="85.5" customHeight="1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spans="1:26" ht="85.5" customHeight="1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spans="1:26" ht="85.5" customHeight="1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spans="1:26" ht="85.5" customHeight="1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spans="1:26" ht="85.5" customHeight="1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spans="1:26" ht="85.5" customHeight="1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spans="1:26" ht="85.5" customHeight="1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spans="1:26" ht="85.5" customHeight="1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spans="1:26" ht="85.5" customHeight="1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spans="1:26" ht="85.5" customHeight="1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spans="1:26" ht="85.5" customHeight="1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spans="1:26" ht="85.5" customHeight="1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spans="1:26" ht="85.5" customHeight="1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spans="1:26" ht="85.5" customHeight="1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spans="1:26" ht="85.5" customHeight="1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spans="1:26" ht="85.5" customHeight="1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spans="1:26" ht="85.5" customHeight="1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spans="1:26" ht="85.5" customHeight="1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spans="1:26" ht="85.5" customHeight="1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spans="1:26" ht="85.5" customHeight="1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spans="1:26" ht="85.5" customHeight="1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spans="1:26" ht="85.5" customHeight="1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spans="1:26" ht="85.5" customHeight="1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spans="1:26" ht="85.5" customHeight="1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spans="1:26" ht="85.5" customHeight="1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spans="1:26" ht="85.5" customHeight="1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spans="1:26" ht="85.5" customHeight="1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spans="1:26" ht="85.5" customHeight="1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spans="1:26" ht="85.5" customHeight="1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 ht="85.5" customHeight="1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 ht="85.5" customHeight="1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 ht="85.5" customHeight="1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 ht="85.5" customHeight="1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 ht="85.5" customHeight="1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 ht="85.5" customHeight="1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 ht="85.5" customHeight="1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 ht="85.5" customHeight="1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 ht="85.5" customHeight="1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 ht="85.5" customHeight="1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 ht="85.5" customHeight="1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 ht="85.5" customHeight="1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 ht="85.5" customHeight="1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 ht="85.5" customHeight="1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 ht="85.5" customHeight="1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 ht="85.5" customHeight="1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 ht="85.5" customHeight="1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 ht="85.5" customHeight="1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 ht="85.5" customHeight="1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 ht="85.5" customHeight="1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 ht="85.5" customHeight="1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 ht="85.5" customHeight="1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 ht="85.5" customHeight="1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 ht="85.5" customHeight="1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 ht="85.5" customHeight="1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 ht="85.5" customHeight="1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 ht="85.5" customHeight="1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 ht="85.5" customHeight="1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 ht="85.5" customHeight="1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 ht="85.5" customHeight="1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 ht="85.5" customHeight="1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 ht="85.5" customHeight="1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 ht="85.5" customHeight="1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 ht="85.5" customHeight="1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 ht="85.5" customHeight="1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 ht="85.5" customHeight="1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 ht="85.5" customHeight="1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 ht="85.5" customHeight="1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 ht="85.5" customHeight="1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 ht="85.5" customHeight="1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 ht="85.5" customHeight="1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 ht="85.5" customHeight="1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 ht="85.5" customHeight="1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 ht="85.5" customHeight="1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 ht="85.5" customHeight="1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 ht="85.5" customHeight="1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 ht="85.5" customHeight="1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 ht="85.5" customHeight="1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 ht="85.5" customHeight="1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 ht="85.5" customHeight="1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 ht="85.5" customHeight="1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 ht="85.5" customHeight="1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 ht="85.5" customHeight="1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 ht="85.5" customHeight="1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 ht="85.5" customHeight="1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 ht="85.5" customHeight="1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 ht="85.5" customHeight="1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 ht="85.5" customHeight="1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 ht="85.5" customHeight="1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 ht="85.5" customHeight="1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 ht="85.5" customHeight="1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 ht="85.5" customHeight="1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 ht="85.5" customHeight="1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 ht="85.5" customHeight="1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 ht="85.5" customHeight="1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 ht="85.5" customHeight="1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 ht="85.5" customHeight="1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 ht="85.5" customHeight="1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 ht="85.5" customHeight="1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 ht="85.5" customHeight="1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 ht="85.5" customHeight="1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 ht="85.5" customHeight="1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 ht="85.5" customHeight="1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 ht="85.5" customHeight="1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 ht="85.5" customHeight="1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 ht="85.5" customHeight="1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 ht="85.5" customHeight="1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 ht="85.5" customHeight="1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 ht="85.5" customHeight="1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 ht="85.5" customHeight="1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 ht="85.5" customHeight="1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 ht="85.5" customHeight="1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 ht="85.5" customHeight="1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 ht="85.5" customHeight="1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 ht="85.5" customHeight="1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 ht="85.5" customHeight="1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 ht="85.5" customHeight="1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 ht="85.5" customHeight="1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 ht="85.5" customHeight="1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 ht="85.5" customHeight="1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 ht="85.5" customHeight="1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 ht="85.5" customHeight="1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 ht="85.5" customHeight="1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 ht="85.5" customHeight="1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 ht="85.5" customHeight="1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 ht="85.5" customHeight="1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 ht="85.5" customHeight="1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 ht="85.5" customHeight="1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 ht="85.5" customHeight="1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 ht="85.5" customHeight="1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 ht="85.5" customHeight="1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 ht="85.5" customHeight="1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 ht="85.5" customHeight="1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 ht="85.5" customHeight="1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 ht="85.5" customHeight="1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 ht="85.5" customHeight="1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 ht="85.5" customHeight="1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 ht="85.5" customHeight="1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 ht="85.5" customHeight="1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 ht="85.5" customHeight="1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 ht="85.5" customHeight="1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 ht="85.5" customHeight="1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 ht="85.5" customHeight="1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 ht="85.5" customHeight="1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 ht="85.5" customHeight="1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 ht="85.5" customHeight="1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 ht="85.5" customHeight="1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 ht="85.5" customHeight="1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 ht="85.5" customHeight="1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 ht="85.5" customHeight="1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 ht="85.5" customHeight="1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 ht="85.5" customHeight="1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 ht="85.5" customHeight="1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 ht="85.5" customHeight="1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 ht="85.5" customHeight="1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 ht="85.5" customHeight="1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 ht="85.5" customHeight="1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 ht="85.5" customHeight="1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 ht="85.5" customHeight="1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 ht="85.5" customHeight="1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 ht="85.5" customHeight="1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 ht="85.5" customHeight="1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 ht="85.5" customHeight="1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 ht="85.5" customHeight="1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 ht="85.5" customHeight="1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 ht="85.5" customHeight="1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 ht="85.5" customHeight="1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 ht="85.5" customHeight="1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 ht="85.5" customHeight="1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 ht="85.5" customHeight="1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 ht="85.5" customHeight="1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 ht="85.5" customHeight="1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 ht="85.5" customHeight="1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 ht="85.5" customHeight="1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 ht="85.5" customHeight="1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 ht="85.5" customHeight="1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 ht="85.5" customHeight="1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 ht="85.5" customHeight="1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 ht="85.5" customHeight="1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 ht="85.5" customHeight="1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 ht="85.5" customHeight="1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 ht="85.5" customHeight="1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 ht="85.5" customHeight="1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 ht="85.5" customHeight="1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 ht="85.5" customHeight="1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 ht="85.5" customHeight="1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 ht="85.5" customHeight="1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 ht="85.5" customHeight="1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 ht="85.5" customHeight="1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 ht="85.5" customHeight="1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 ht="85.5" customHeight="1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 ht="85.5" customHeight="1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 ht="85.5" customHeight="1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 ht="85.5" customHeight="1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 ht="85.5" customHeight="1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 ht="85.5" customHeight="1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 ht="85.5" customHeight="1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 ht="85.5" customHeight="1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 ht="85.5" customHeight="1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 ht="85.5" customHeight="1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 ht="85.5" customHeight="1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 ht="85.5" customHeight="1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 ht="85.5" customHeight="1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 ht="85.5" customHeight="1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 ht="85.5" customHeight="1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 ht="85.5" customHeight="1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 ht="85.5" customHeight="1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 ht="85.5" customHeight="1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 ht="85.5" customHeight="1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 ht="85.5" customHeight="1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 ht="85.5" customHeight="1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 ht="85.5" customHeight="1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 ht="85.5" customHeight="1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 ht="85.5" customHeight="1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 ht="85.5" customHeight="1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 ht="85.5" customHeight="1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 ht="85.5" customHeight="1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 ht="85.5" customHeight="1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 ht="85.5" customHeight="1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 ht="85.5" customHeight="1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 ht="85.5" customHeight="1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 ht="85.5" customHeight="1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 ht="85.5" customHeight="1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 ht="85.5" customHeight="1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 ht="85.5" customHeight="1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 ht="85.5" customHeight="1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 ht="85.5" customHeight="1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 ht="85.5" customHeight="1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 ht="85.5" customHeight="1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 ht="85.5" customHeight="1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 ht="85.5" customHeight="1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 ht="85.5" customHeight="1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 ht="85.5" customHeight="1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 ht="85.5" customHeight="1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 ht="85.5" customHeight="1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 ht="85.5" customHeight="1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 ht="85.5" customHeight="1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 ht="85.5" customHeight="1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 ht="85.5" customHeight="1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 ht="85.5" customHeight="1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 ht="85.5" customHeight="1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 ht="85.5" customHeight="1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 ht="85.5" customHeight="1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 ht="85.5" customHeight="1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 ht="85.5" customHeight="1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 ht="85.5" customHeight="1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 ht="85.5" customHeight="1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 ht="85.5" customHeight="1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 ht="85.5" customHeight="1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 ht="85.5" customHeight="1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 ht="85.5" customHeight="1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 ht="85.5" customHeight="1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 ht="85.5" customHeight="1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 ht="85.5" customHeight="1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 ht="85.5" customHeight="1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 ht="85.5" customHeight="1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 ht="85.5" customHeight="1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 ht="85.5" customHeight="1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 ht="85.5" customHeight="1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 ht="85.5" customHeight="1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 ht="85.5" customHeight="1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 ht="85.5" customHeight="1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 ht="85.5" customHeight="1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 ht="85.5" customHeight="1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 ht="85.5" customHeight="1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 ht="85.5" customHeight="1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 ht="85.5" customHeight="1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 ht="85.5" customHeight="1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 ht="85.5" customHeight="1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 ht="85.5" customHeight="1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 ht="85.5" customHeight="1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 ht="85.5" customHeight="1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 ht="85.5" customHeight="1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 ht="85.5" customHeight="1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 ht="85.5" customHeight="1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 ht="85.5" customHeight="1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 ht="85.5" customHeight="1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 ht="85.5" customHeight="1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 ht="85.5" customHeight="1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 ht="85.5" customHeight="1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 ht="85.5" customHeight="1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 ht="85.5" customHeight="1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 ht="85.5" customHeight="1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 ht="85.5" customHeight="1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 ht="85.5" customHeight="1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 ht="85.5" customHeight="1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 ht="85.5" customHeight="1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 ht="85.5" customHeight="1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 ht="85.5" customHeight="1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 ht="85.5" customHeight="1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 ht="85.5" customHeight="1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 ht="85.5" customHeight="1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 ht="85.5" customHeight="1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 ht="85.5" customHeight="1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 ht="85.5" customHeight="1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 ht="85.5" customHeight="1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 ht="85.5" customHeight="1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 ht="85.5" customHeight="1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 ht="85.5" customHeight="1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 ht="85.5" customHeight="1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 ht="85.5" customHeight="1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 ht="85.5" customHeight="1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 ht="85.5" customHeight="1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 ht="85.5" customHeight="1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 ht="85.5" customHeight="1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 ht="85.5" customHeight="1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 ht="85.5" customHeight="1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 ht="85.5" customHeight="1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 ht="85.5" customHeight="1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 ht="85.5" customHeight="1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 ht="85.5" customHeight="1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 ht="85.5" customHeight="1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 ht="85.5" customHeight="1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 ht="85.5" customHeight="1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 ht="85.5" customHeight="1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 ht="85.5" customHeight="1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 ht="85.5" customHeight="1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 ht="85.5" customHeight="1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 ht="85.5" customHeight="1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 ht="85.5" customHeight="1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 ht="85.5" customHeight="1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 ht="85.5" customHeight="1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 ht="85.5" customHeight="1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 ht="85.5" customHeight="1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 ht="85.5" customHeight="1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 ht="85.5" customHeight="1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 ht="85.5" customHeight="1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 ht="85.5" customHeight="1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 ht="85.5" customHeight="1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 ht="85.5" customHeight="1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 ht="85.5" customHeight="1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 ht="85.5" customHeight="1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 ht="85.5" customHeight="1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 ht="85.5" customHeight="1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 ht="85.5" customHeight="1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 ht="85.5" customHeight="1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 ht="85.5" customHeight="1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 ht="85.5" customHeight="1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 ht="85.5" customHeight="1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 ht="85.5" customHeight="1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 ht="85.5" customHeight="1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 ht="85.5" customHeight="1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 ht="85.5" customHeight="1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 ht="85.5" customHeight="1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 ht="85.5" customHeight="1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 ht="85.5" customHeight="1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 ht="85.5" customHeight="1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 ht="85.5" customHeight="1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 ht="85.5" customHeight="1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 ht="85.5" customHeight="1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 ht="85.5" customHeight="1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 ht="85.5" customHeight="1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 ht="85.5" customHeight="1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 ht="85.5" customHeight="1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 ht="85.5" customHeight="1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 ht="85.5" customHeight="1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 ht="85.5" customHeight="1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 ht="85.5" customHeight="1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 ht="85.5" customHeight="1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 ht="85.5" customHeight="1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 ht="85.5" customHeight="1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 ht="85.5" customHeight="1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 ht="85.5" customHeight="1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 ht="85.5" customHeight="1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 ht="85.5" customHeight="1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 ht="85.5" customHeight="1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 ht="85.5" customHeight="1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 ht="85.5" customHeight="1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 ht="85.5" customHeight="1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 ht="85.5" customHeight="1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 ht="85.5" customHeight="1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 ht="85.5" customHeight="1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 ht="85.5" customHeight="1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 ht="85.5" customHeight="1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 ht="85.5" customHeight="1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 ht="85.5" customHeight="1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 ht="85.5" customHeight="1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 ht="85.5" customHeight="1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 ht="85.5" customHeight="1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 ht="85.5" customHeight="1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 ht="85.5" customHeight="1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 ht="85.5" customHeight="1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 ht="85.5" customHeight="1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 ht="85.5" customHeight="1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 ht="85.5" customHeight="1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 ht="85.5" customHeight="1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 ht="85.5" customHeight="1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 ht="85.5" customHeight="1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 ht="85.5" customHeight="1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 ht="85.5" customHeight="1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 ht="85.5" customHeight="1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 ht="85.5" customHeight="1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 ht="85.5" customHeight="1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 ht="85.5" customHeight="1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 ht="85.5" customHeight="1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 ht="85.5" customHeight="1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 ht="85.5" customHeight="1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 ht="85.5" customHeight="1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 ht="85.5" customHeight="1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 ht="85.5" customHeight="1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 ht="85.5" customHeight="1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 ht="85.5" customHeight="1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 ht="85.5" customHeight="1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 ht="85.5" customHeight="1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 ht="85.5" customHeight="1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 ht="85.5" customHeight="1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 ht="85.5" customHeight="1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 ht="85.5" customHeight="1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 ht="85.5" customHeight="1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 ht="85.5" customHeight="1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 ht="85.5" customHeight="1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 ht="85.5" customHeight="1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 ht="85.5" customHeight="1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 ht="85.5" customHeight="1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 ht="85.5" customHeight="1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 ht="85.5" customHeight="1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 ht="85.5" customHeight="1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 ht="85.5" customHeight="1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 ht="85.5" customHeight="1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 ht="85.5" customHeight="1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 ht="85.5" customHeight="1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 ht="85.5" customHeight="1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 ht="85.5" customHeight="1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 ht="85.5" customHeight="1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 ht="85.5" customHeight="1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 ht="85.5" customHeight="1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 ht="85.5" customHeight="1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 ht="85.5" customHeight="1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 ht="85.5" customHeight="1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 ht="85.5" customHeight="1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 ht="85.5" customHeight="1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 ht="85.5" customHeight="1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 ht="85.5" customHeight="1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 ht="85.5" customHeight="1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 ht="85.5" customHeight="1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 ht="85.5" customHeight="1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 ht="85.5" customHeight="1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 ht="85.5" customHeight="1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 ht="85.5" customHeight="1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 ht="85.5" customHeight="1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 ht="85.5" customHeight="1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 ht="85.5" customHeight="1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 ht="85.5" customHeight="1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 ht="85.5" customHeight="1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 ht="85.5" customHeight="1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 ht="85.5" customHeight="1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 ht="85.5" customHeight="1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 ht="85.5" customHeight="1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 ht="85.5" customHeight="1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 ht="85.5" customHeight="1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 ht="85.5" customHeight="1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 ht="85.5" customHeight="1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 ht="85.5" customHeight="1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 ht="85.5" customHeight="1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 ht="85.5" customHeight="1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 ht="85.5" customHeight="1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 ht="85.5" customHeight="1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 ht="85.5" customHeight="1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 ht="85.5" customHeight="1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 ht="85.5" customHeight="1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 ht="85.5" customHeight="1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 ht="85.5" customHeight="1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 ht="85.5" customHeight="1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 ht="85.5" customHeight="1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 ht="85.5" customHeight="1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 ht="85.5" customHeight="1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 ht="85.5" customHeight="1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 ht="85.5" customHeight="1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 ht="85.5" customHeight="1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 ht="85.5" customHeight="1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 ht="85.5" customHeight="1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 ht="85.5" customHeight="1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 ht="85.5" customHeight="1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 ht="85.5" customHeight="1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 ht="85.5" customHeight="1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 ht="85.5" customHeight="1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 ht="85.5" customHeight="1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 ht="85.5" customHeight="1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 ht="85.5" customHeight="1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 ht="85.5" customHeight="1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 ht="85.5" customHeight="1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 ht="85.5" customHeight="1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 ht="85.5" customHeight="1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 ht="85.5" customHeight="1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 ht="85.5" customHeight="1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 ht="85.5" customHeight="1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 ht="85.5" customHeight="1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 ht="85.5" customHeight="1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 ht="85.5" customHeight="1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 ht="85.5" customHeight="1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 ht="85.5" customHeight="1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 ht="85.5" customHeight="1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 ht="85.5" customHeight="1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 ht="85.5" customHeight="1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 ht="85.5" customHeight="1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 ht="85.5" customHeight="1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 ht="85.5" customHeight="1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 ht="85.5" customHeight="1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 ht="85.5" customHeight="1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 ht="85.5" customHeight="1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 ht="85.5" customHeight="1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 ht="85.5" customHeight="1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 ht="85.5" customHeight="1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 ht="85.5" customHeight="1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 ht="85.5" customHeight="1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 ht="85.5" customHeight="1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 ht="85.5" customHeight="1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 ht="85.5" customHeight="1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 ht="85.5" customHeight="1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 ht="85.5" customHeight="1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 ht="85.5" customHeight="1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 ht="85.5" customHeight="1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 ht="85.5" customHeight="1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 ht="85.5" customHeight="1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 ht="85.5" customHeight="1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 ht="85.5" customHeight="1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 ht="85.5" customHeight="1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 ht="85.5" customHeight="1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 ht="85.5" customHeight="1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 ht="85.5" customHeight="1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 ht="85.5" customHeight="1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 ht="85.5" customHeight="1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 ht="85.5" customHeight="1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 ht="85.5" customHeight="1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 ht="85.5" customHeight="1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 ht="85.5" customHeight="1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 ht="85.5" customHeight="1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 ht="85.5" customHeight="1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 ht="85.5" customHeight="1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 ht="85.5" customHeight="1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 ht="85.5" customHeight="1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 ht="85.5" customHeight="1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 ht="85.5" customHeight="1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 ht="85.5" customHeight="1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 ht="85.5" customHeight="1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 ht="85.5" customHeight="1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 ht="85.5" customHeight="1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 ht="85.5" customHeight="1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 ht="85.5" customHeight="1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 ht="85.5" customHeight="1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 ht="85.5" customHeight="1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 ht="85.5" customHeight="1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 ht="85.5" customHeight="1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 ht="85.5" customHeight="1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 ht="85.5" customHeight="1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 ht="85.5" customHeight="1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 ht="85.5" customHeight="1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 ht="85.5" customHeight="1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 ht="85.5" customHeight="1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 ht="85.5" customHeight="1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 ht="85.5" customHeight="1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 ht="85.5" customHeight="1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 ht="85.5" customHeight="1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 ht="85.5" customHeight="1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 ht="85.5" customHeight="1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 ht="85.5" customHeight="1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 ht="85.5" customHeight="1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 ht="85.5" customHeight="1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 ht="85.5" customHeight="1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 ht="85.5" customHeight="1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 ht="85.5" customHeight="1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 ht="85.5" customHeight="1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 ht="85.5" customHeight="1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 ht="85.5" customHeight="1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 ht="85.5" customHeight="1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 ht="85.5" customHeight="1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 ht="85.5" customHeight="1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 ht="85.5" customHeight="1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 ht="85.5" customHeight="1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 ht="85.5" customHeight="1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 ht="85.5" customHeight="1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 ht="85.5" customHeight="1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 ht="85.5" customHeight="1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 ht="85.5" customHeight="1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 ht="85.5" customHeight="1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 ht="85.5" customHeight="1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 ht="85.5" customHeight="1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 ht="85.5" customHeight="1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 ht="85.5" customHeight="1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 ht="85.5" customHeight="1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 ht="85.5" customHeight="1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 ht="85.5" customHeight="1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 ht="85.5" customHeight="1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 ht="85.5" customHeight="1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 ht="85.5" customHeight="1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 ht="85.5" customHeight="1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 ht="85.5" customHeight="1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 ht="85.5" customHeight="1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 ht="85.5" customHeight="1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 ht="85.5" customHeight="1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 ht="85.5" customHeight="1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 ht="85.5" customHeight="1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 ht="85.5" customHeight="1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 ht="85.5" customHeight="1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 ht="85.5" customHeight="1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 ht="85.5" customHeight="1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 ht="85.5" customHeight="1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 ht="85.5" customHeight="1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 ht="85.5" customHeight="1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 ht="85.5" customHeight="1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 ht="85.5" customHeight="1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 ht="85.5" customHeight="1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 ht="85.5" customHeight="1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 ht="85.5" customHeight="1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 ht="85.5" customHeight="1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 ht="85.5" customHeight="1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 ht="85.5" customHeight="1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 ht="85.5" customHeight="1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 ht="85.5" customHeight="1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 ht="85.5" customHeight="1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 ht="85.5" customHeight="1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 ht="85.5" customHeight="1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 ht="85.5" customHeight="1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 ht="85.5" customHeight="1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 ht="85.5" customHeight="1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 ht="85.5" customHeight="1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 ht="85.5" customHeight="1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 ht="85.5" customHeight="1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 ht="85.5" customHeight="1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 ht="85.5" customHeight="1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 ht="85.5" customHeight="1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 ht="85.5" customHeight="1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 ht="85.5" customHeight="1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 ht="85.5" customHeight="1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 ht="85.5" customHeight="1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 ht="85.5" customHeight="1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 ht="85.5" customHeight="1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 ht="85.5" customHeight="1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 ht="85.5" customHeight="1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 ht="85.5" customHeight="1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 ht="85.5" customHeight="1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 ht="85.5" customHeight="1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 ht="85.5" customHeight="1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 ht="85.5" customHeight="1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 ht="85.5" customHeight="1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 ht="85.5" customHeight="1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 ht="85.5" customHeight="1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 ht="85.5" customHeight="1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 ht="85.5" customHeight="1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 ht="85.5" customHeight="1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 ht="85.5" customHeight="1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 ht="85.5" customHeight="1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 ht="85.5" customHeight="1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 ht="85.5" customHeight="1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 ht="85.5" customHeight="1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 ht="85.5" customHeight="1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 ht="85.5" customHeight="1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 ht="85.5" customHeight="1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 ht="85.5" customHeight="1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 ht="85.5" customHeight="1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 ht="85.5" customHeight="1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 ht="85.5" customHeight="1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 ht="85.5" customHeight="1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 ht="85.5" customHeight="1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 ht="85.5" customHeight="1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 ht="85.5" customHeight="1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 ht="85.5" customHeight="1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 ht="85.5" customHeight="1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 ht="85.5" customHeight="1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 ht="85.5" customHeight="1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 ht="85.5" customHeight="1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 ht="85.5" customHeight="1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 ht="85.5" customHeight="1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 ht="85.5" customHeight="1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 ht="85.5" customHeight="1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 ht="85.5" customHeight="1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 ht="85.5" customHeight="1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 ht="85.5" customHeight="1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 ht="85.5" customHeight="1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 ht="85.5" customHeight="1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 ht="85.5" customHeight="1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 ht="85.5" customHeight="1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 ht="85.5" customHeight="1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 ht="85.5" customHeight="1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 ht="85.5" customHeight="1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 ht="85.5" customHeight="1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 ht="85.5" customHeight="1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 ht="85.5" customHeight="1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 ht="85.5" customHeight="1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 ht="85.5" customHeight="1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 ht="85.5" customHeight="1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 ht="85.5" customHeight="1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 ht="85.5" customHeight="1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 ht="85.5" customHeight="1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 ht="85.5" customHeight="1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 ht="85.5" customHeight="1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 ht="85.5" customHeight="1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 ht="85.5" customHeight="1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 ht="85.5" customHeight="1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 ht="85.5" customHeight="1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 ht="85.5" customHeight="1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 ht="85.5" customHeight="1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 ht="85.5" customHeight="1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 ht="85.5" customHeight="1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 ht="85.5" customHeight="1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 ht="85.5" customHeight="1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 ht="85.5" customHeight="1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 ht="85.5" customHeight="1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 ht="85.5" customHeight="1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 ht="85.5" customHeight="1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 ht="85.5" customHeight="1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 ht="85.5" customHeight="1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 ht="85.5" customHeight="1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 ht="85.5" customHeight="1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 ht="85.5" customHeight="1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 ht="85.5" customHeight="1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 ht="85.5" customHeight="1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 ht="85.5" customHeight="1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 ht="85.5" customHeight="1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 ht="85.5" customHeight="1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 ht="85.5" customHeight="1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 ht="85.5" customHeight="1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 ht="85.5" customHeight="1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 ht="85.5" customHeight="1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 ht="85.5" customHeight="1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 ht="85.5" customHeight="1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 ht="85.5" customHeight="1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 ht="85.5" customHeight="1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 ht="85.5" customHeight="1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 ht="85.5" customHeight="1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 ht="85.5" customHeight="1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 ht="85.5" customHeight="1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 ht="85.5" customHeight="1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 ht="85.5" customHeight="1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 ht="85.5" customHeight="1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 ht="85.5" customHeight="1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 ht="85.5" customHeight="1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 ht="85.5" customHeight="1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 ht="85.5" customHeight="1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 ht="85.5" customHeight="1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 ht="85.5" customHeight="1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 ht="85.5" customHeight="1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 ht="85.5" customHeight="1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 ht="85.5" customHeight="1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 ht="85.5" customHeight="1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 ht="85.5" customHeight="1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 ht="85.5" customHeight="1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 ht="85.5" customHeight="1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 ht="85.5" customHeight="1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 ht="85.5" customHeight="1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 ht="85.5" customHeight="1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 ht="85.5" customHeight="1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 ht="85.5" customHeight="1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 ht="85.5" customHeight="1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 ht="85.5" customHeight="1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 ht="85.5" customHeight="1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 ht="85.5" customHeight="1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 ht="85.5" customHeight="1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 ht="85.5" customHeight="1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 ht="85.5" customHeight="1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 ht="85.5" customHeight="1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 ht="85.5" customHeight="1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 ht="85.5" customHeight="1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 ht="85.5" customHeight="1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 ht="85.5" customHeight="1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 ht="85.5" customHeight="1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 ht="85.5" customHeight="1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 ht="85.5" customHeight="1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 ht="85.5" customHeight="1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 ht="85.5" customHeight="1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 ht="85.5" customHeight="1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 ht="85.5" customHeight="1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2" max="2" width="38.6640625" customWidth="1"/>
  </cols>
  <sheetData>
    <row r="1" spans="1:26">
      <c r="A1" s="112" t="str">
        <f ca="1">IFERROR(__xludf.DUMMYFUNCTION("QUERY(MIR!C32:AF49,""SELECT C,D,M,AE,O,AF"",1)"),"RESUMEN NARRATIVO")</f>
        <v>RESUMEN NARRATIVO</v>
      </c>
      <c r="B1" s="112" t="str">
        <f ca="1">IFERROR(__xludf.DUMMYFUNCTION("""COMPUTED_VALUE"""),"OBJETIVOS DE RESULTADO")</f>
        <v>OBJETIVOS DE RESULTADO</v>
      </c>
      <c r="C1" s="112" t="str">
        <f ca="1">IFERROR(__xludf.DUMMYFUNCTION("""COMPUTED_VALUE"""),"UNIDAD DE MEDIDA")</f>
        <v>UNIDAD DE MEDIDA</v>
      </c>
      <c r="D1" s="112" t="str">
        <f ca="1">IFERROR(__xludf.DUMMYFUNCTION("""COMPUTED_VALUE"""),"Total acumulado")</f>
        <v>Total acumulado</v>
      </c>
      <c r="E1" s="112" t="str">
        <f ca="1">IFERROR(__xludf.DUMMYFUNCTION("""COMPUTED_VALUE"""),"META PROGRAMADA")</f>
        <v>META PROGRAMADA</v>
      </c>
      <c r="F1" s="112" t="str">
        <f ca="1">IFERROR(__xludf.DUMMYFUNCTION("""COMPUTED_VALUE"""),"Meta alcanzada")</f>
        <v>Meta alcanzada</v>
      </c>
      <c r="G1" s="115" t="s">
        <v>264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>
      <c r="A2" s="112" t="str">
        <f ca="1">IFERROR(__xludf.DUMMYFUNCTION("""COMPUTED_VALUE"""),"FIN")</f>
        <v>FIN</v>
      </c>
      <c r="B2" s="112" t="str">
        <f ca="1">IFERROR(__xludf.DUMMYFUNCTION("""COMPUTED_VALUE"""),"Las personas adultas mayores, personas con discapacidad o con alguna condición de vulnerabilidad, reciben atención integral para su desarrollo pleno en el municipio de Guadalajara durante el 2023")</f>
        <v>Las personas adultas mayores, personas con discapacidad o con alguna condición de vulnerabilidad, reciben atención integral para su desarrollo pleno en el municipio de Guadalajara durante el 2023</v>
      </c>
      <c r="C2" s="112" t="str">
        <f ca="1">IFERROR(__xludf.DUMMYFUNCTION("""COMPUTED_VALUE"""),"Porcentaje")</f>
        <v>Porcentaje</v>
      </c>
      <c r="D2" s="116">
        <f ca="1">IFERROR(__xludf.DUMMYFUNCTION("""COMPUTED_VALUE"""),7780.83333333333)</f>
        <v>7780.8333333333303</v>
      </c>
      <c r="E2" s="116">
        <f ca="1">IFERROR(__xludf.DUMMYFUNCTION("""COMPUTED_VALUE"""),10216)</f>
        <v>10216</v>
      </c>
      <c r="F2" s="112" t="str">
        <f ca="1">IFERROR(__xludf.DUMMYFUNCTION("""COMPUTED_VALUE"""),"76,16%")</f>
        <v>76,16%</v>
      </c>
      <c r="G2" s="112" t="b">
        <v>0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>
      <c r="A3" s="112" t="str">
        <f ca="1">IFERROR(__xludf.DUMMYFUNCTION("""COMPUTED_VALUE"""),"PROPÓSITO")</f>
        <v>PROPÓSITO</v>
      </c>
      <c r="B3" s="112" t="str">
        <f ca="1">IFERROR(__xludf.DUMMYFUNCTION("""COMPUTED_VALUE"""),"Se contribuye a desarrollar el bienestar físico,  integral e inclusión de las personas adultas mayores y personas con algún tipo de discapacidad con al menos una vulnerabilidad social o de ingresos que habitan en el municipio de Guadalajara a través de lo"&amp;"s programas que integran el eje de Guadalajara sin Barreras del Sistema DIF Guadalajara  durante el 2023")</f>
        <v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2023</v>
      </c>
      <c r="C3" s="112" t="str">
        <f ca="1">IFERROR(__xludf.DUMMYFUNCTION("""COMPUTED_VALUE"""),"Porcentaje")</f>
        <v>Porcentaje</v>
      </c>
      <c r="D3" s="116">
        <f ca="1">IFERROR(__xludf.DUMMYFUNCTION("""COMPUTED_VALUE"""),20317)</f>
        <v>20317</v>
      </c>
      <c r="E3" s="116">
        <f ca="1">IFERROR(__xludf.DUMMYFUNCTION("""COMPUTED_VALUE"""),36800)</f>
        <v>36800</v>
      </c>
      <c r="F3" s="112" t="str">
        <f ca="1">IFERROR(__xludf.DUMMYFUNCTION("""COMPUTED_VALUE"""),"55,21%")</f>
        <v>55,21%</v>
      </c>
      <c r="G3" s="115" t="b">
        <v>1</v>
      </c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>
      <c r="A4" s="112" t="str">
        <f ca="1">IFERROR(__xludf.DUMMYFUNCTION("""COMPUTED_VALUE"""),"COMPONENTE 1")</f>
        <v>COMPONENTE 1</v>
      </c>
      <c r="B4" s="112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C4" s="112" t="str">
        <f ca="1">IFERROR(__xludf.DUMMYFUNCTION("""COMPUTED_VALUE"""),"Promedio")</f>
        <v>Promedio</v>
      </c>
      <c r="D4" s="116">
        <f ca="1">IFERROR(__xludf.DUMMYFUNCTION("""COMPUTED_VALUE"""),950)</f>
        <v>950</v>
      </c>
      <c r="E4" s="116">
        <f ca="1">IFERROR(__xludf.DUMMYFUNCTION("""COMPUTED_VALUE"""),372)</f>
        <v>372</v>
      </c>
      <c r="F4" s="112" t="str">
        <f ca="1">IFERROR(__xludf.DUMMYFUNCTION("""COMPUTED_VALUE"""),"237,5")</f>
        <v>237,5</v>
      </c>
      <c r="G4" s="115" t="b">
        <v>1</v>
      </c>
      <c r="H4" s="112">
        <f ca="1">D4/3</f>
        <v>316.66666666666669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>
      <c r="A5" s="112" t="str">
        <f ca="1">IFERROR(__xludf.DUMMYFUNCTION("""COMPUTED_VALUE"""),"ACTIVIDAD 1.1")</f>
        <v>ACTIVIDAD 1.1</v>
      </c>
      <c r="B5" s="112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C5" s="112" t="str">
        <f ca="1">IFERROR(__xludf.DUMMYFUNCTION("""COMPUTED_VALUE"""),"Porcentaje")</f>
        <v>Porcentaje</v>
      </c>
      <c r="D5" s="116">
        <f ca="1">IFERROR(__xludf.DUMMYFUNCTION("""COMPUTED_VALUE"""),497)</f>
        <v>497</v>
      </c>
      <c r="E5" s="116">
        <f ca="1">IFERROR(__xludf.DUMMYFUNCTION("""COMPUTED_VALUE"""),810)</f>
        <v>810</v>
      </c>
      <c r="F5" s="112" t="str">
        <f ca="1">IFERROR(__xludf.DUMMYFUNCTION("""COMPUTED_VALUE"""),"61,4%")</f>
        <v>61,4%</v>
      </c>
      <c r="G5" s="115" t="b">
        <v>1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>
      <c r="A6" s="112" t="str">
        <f ca="1">IFERROR(__xludf.DUMMYFUNCTION("""COMPUTED_VALUE"""),"ACTIVIDAD 1.2")</f>
        <v>ACTIVIDAD 1.2</v>
      </c>
      <c r="B6" s="112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C6" s="112" t="str">
        <f ca="1">IFERROR(__xludf.DUMMYFUNCTION("""COMPUTED_VALUE"""),"Porcentaje")</f>
        <v>Porcentaje</v>
      </c>
      <c r="D6" s="116">
        <f ca="1">IFERROR(__xludf.DUMMYFUNCTION("""COMPUTED_VALUE"""),572)</f>
        <v>572</v>
      </c>
      <c r="E6" s="116">
        <f ca="1">IFERROR(__xludf.DUMMYFUNCTION("""COMPUTED_VALUE"""),990)</f>
        <v>990</v>
      </c>
      <c r="F6" s="112" t="str">
        <f ca="1">IFERROR(__xludf.DUMMYFUNCTION("""COMPUTED_VALUE"""),"57,8%")</f>
        <v>57,8%</v>
      </c>
      <c r="G6" s="115" t="b">
        <v>1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>
      <c r="A7" s="112" t="str">
        <f ca="1">IFERROR(__xludf.DUMMYFUNCTION("""COMPUTED_VALUE"""),"COMPONENTE 2")</f>
        <v>COMPONENTE 2</v>
      </c>
      <c r="B7" s="112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C7" s="112" t="str">
        <f ca="1">IFERROR(__xludf.DUMMYFUNCTION("""COMPUTED_VALUE"""),"Promedio")</f>
        <v>Promedio</v>
      </c>
      <c r="D7" s="116">
        <f ca="1">IFERROR(__xludf.DUMMYFUNCTION("""COMPUTED_VALUE"""),936)</f>
        <v>936</v>
      </c>
      <c r="E7" s="116">
        <f ca="1">IFERROR(__xludf.DUMMYFUNCTION("""COMPUTED_VALUE"""),450)</f>
        <v>450</v>
      </c>
      <c r="F7" s="112" t="str">
        <f ca="1">IFERROR(__xludf.DUMMYFUNCTION("""COMPUTED_VALUE"""),"234")</f>
        <v>234</v>
      </c>
      <c r="G7" s="115" t="b">
        <v>1</v>
      </c>
      <c r="H7" s="112">
        <f ca="1">D7/3</f>
        <v>312</v>
      </c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>
      <c r="A8" s="112" t="str">
        <f ca="1">IFERROR(__xludf.DUMMYFUNCTION("""COMPUTED_VALUE"""),"ACTIVIDAD 2.1")</f>
        <v>ACTIVIDAD 2.1</v>
      </c>
      <c r="B8" s="112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C8" s="112" t="str">
        <f ca="1">IFERROR(__xludf.DUMMYFUNCTION("""COMPUTED_VALUE"""),"Porcentaje")</f>
        <v>Porcentaje</v>
      </c>
      <c r="D8" s="116">
        <f ca="1">IFERROR(__xludf.DUMMYFUNCTION("""COMPUTED_VALUE"""),3745)</f>
        <v>3745</v>
      </c>
      <c r="E8" s="116">
        <f ca="1">IFERROR(__xludf.DUMMYFUNCTION("""COMPUTED_VALUE"""),5600)</f>
        <v>5600</v>
      </c>
      <c r="F8" s="112" t="str">
        <f ca="1">IFERROR(__xludf.DUMMYFUNCTION("""COMPUTED_VALUE"""),"66,9%")</f>
        <v>66,9%</v>
      </c>
      <c r="G8" s="115" t="b">
        <v>1</v>
      </c>
      <c r="H8" s="115" t="s">
        <v>265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>
      <c r="A9" s="112" t="str">
        <f ca="1">IFERROR(__xludf.DUMMYFUNCTION("""COMPUTED_VALUE"""),"COMPONENTE 3")</f>
        <v>COMPONENTE 3</v>
      </c>
      <c r="B9" s="112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C9" s="112" t="str">
        <f ca="1">IFERROR(__xludf.DUMMYFUNCTION("""COMPUTED_VALUE"""),"Porcentaje")</f>
        <v>Porcentaje</v>
      </c>
      <c r="D9" s="116">
        <f ca="1">IFERROR(__xludf.DUMMYFUNCTION("""COMPUTED_VALUE"""),354)</f>
        <v>354</v>
      </c>
      <c r="E9" s="116">
        <f ca="1">IFERROR(__xludf.DUMMYFUNCTION("""COMPUTED_VALUE"""),470)</f>
        <v>470</v>
      </c>
      <c r="F9" s="112" t="str">
        <f ca="1">IFERROR(__xludf.DUMMYFUNCTION("""COMPUTED_VALUE"""),"75,3%")</f>
        <v>75,3%</v>
      </c>
      <c r="G9" s="115" t="b">
        <v>1</v>
      </c>
      <c r="H9" s="115" t="s">
        <v>265</v>
      </c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>
      <c r="A10" s="112" t="str">
        <f ca="1">IFERROR(__xludf.DUMMYFUNCTION("""COMPUTED_VALUE"""),"ACTIVIDAD 3.1")</f>
        <v>ACTIVIDAD 3.1</v>
      </c>
      <c r="B10" s="112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C10" s="112" t="str">
        <f ca="1">IFERROR(__xludf.DUMMYFUNCTION("""COMPUTED_VALUE"""),"Promedio")</f>
        <v>Promedio</v>
      </c>
      <c r="D10" s="116">
        <f ca="1">IFERROR(__xludf.DUMMYFUNCTION("""COMPUTED_VALUE"""),142)</f>
        <v>142</v>
      </c>
      <c r="E10" s="116">
        <f ca="1">IFERROR(__xludf.DUMMYFUNCTION("""COMPUTED_VALUE"""),66)</f>
        <v>66</v>
      </c>
      <c r="F10" s="112" t="str">
        <f ca="1">IFERROR(__xludf.DUMMYFUNCTION("""COMPUTED_VALUE"""),"35,5")</f>
        <v>35,5</v>
      </c>
      <c r="G10" s="115" t="b">
        <v>1</v>
      </c>
      <c r="H10" s="112">
        <f ca="1">D10/3</f>
        <v>47.333333333333336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>
      <c r="A11" s="112" t="str">
        <f ca="1">IFERROR(__xludf.DUMMYFUNCTION("""COMPUTED_VALUE"""),"ACTIVIDAD 3.2")</f>
        <v>ACTIVIDAD 3.2</v>
      </c>
      <c r="B11" s="112" t="str">
        <f ca="1">IFERROR(__xludf.DUMMYFUNCTION("""COMPUTED_VALUE"""),"Otorgar apoyo de vivienda temporal a personas con discapacidad intelectual o mental institucionalizados para la garantía de sus derechos durante el 2023.")</f>
        <v>Otorgar apoyo de vivienda temporal a personas con discapacidad intelectual o mental institucionalizados para la garantía de sus derechos durante el 2023.</v>
      </c>
      <c r="C11" s="112" t="str">
        <f ca="1">IFERROR(__xludf.DUMMYFUNCTION("""COMPUTED_VALUE"""),"Porcentaje")</f>
        <v>Porcentaje</v>
      </c>
      <c r="D11" s="116">
        <f ca="1">IFERROR(__xludf.DUMMYFUNCTION("""COMPUTED_VALUE"""),16)</f>
        <v>16</v>
      </c>
      <c r="E11" s="116">
        <f ca="1">IFERROR(__xludf.DUMMYFUNCTION("""COMPUTED_VALUE"""),15)</f>
        <v>15</v>
      </c>
      <c r="F11" s="112" t="str">
        <f ca="1">IFERROR(__xludf.DUMMYFUNCTION("""COMPUTED_VALUE"""),"106,7%")</f>
        <v>106,7%</v>
      </c>
      <c r="G11" s="115" t="b">
        <v>1</v>
      </c>
      <c r="H11" s="115" t="s">
        <v>265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>
      <c r="A12" s="112" t="str">
        <f ca="1">IFERROR(__xludf.DUMMYFUNCTION("""COMPUTED_VALUE"""),"ACTIVIDAD 3.3")</f>
        <v>ACTIVIDAD 3.3</v>
      </c>
      <c r="B12" s="112" t="str">
        <f ca="1">IFERROR(__xludf.DUMMYFUNCTION("""COMPUTED_VALUE"""),"Impartición de talleres de sensibilización a instituciones y centros laborales del sector público y privado, instituciones escolares y público en general de promoción de la cultura de inclusión durante el 2023.")</f>
        <v>Impartición de talleres de sensibilización a instituciones y centros laborales del sector público y privado, instituciones escolares y público en general de promoción de la cultura de inclusión durante el 2023.</v>
      </c>
      <c r="C12" s="112" t="str">
        <f ca="1">IFERROR(__xludf.DUMMYFUNCTION("""COMPUTED_VALUE"""),"Porcentaje")</f>
        <v>Porcentaje</v>
      </c>
      <c r="D12" s="116">
        <f ca="1">IFERROR(__xludf.DUMMYFUNCTION("""COMPUTED_VALUE"""),24)</f>
        <v>24</v>
      </c>
      <c r="E12" s="116">
        <f ca="1">IFERROR(__xludf.DUMMYFUNCTION("""COMPUTED_VALUE"""),25)</f>
        <v>25</v>
      </c>
      <c r="F12" s="112" t="str">
        <f ca="1">IFERROR(__xludf.DUMMYFUNCTION("""COMPUTED_VALUE"""),"96%")</f>
        <v>96%</v>
      </c>
      <c r="G12" s="115" t="b">
        <v>1</v>
      </c>
      <c r="H12" s="115" t="s">
        <v>265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>
      <c r="A13" s="112" t="str">
        <f ca="1">IFERROR(__xludf.DUMMYFUNCTION("""COMPUTED_VALUE"""),"COMPONENTE 4")</f>
        <v>COMPONENTE 4</v>
      </c>
      <c r="B13" s="112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C13" s="112" t="str">
        <f ca="1">IFERROR(__xludf.DUMMYFUNCTION("""COMPUTED_VALUE"""),"Promedio")</f>
        <v>Promedio</v>
      </c>
      <c r="D13" s="116">
        <f ca="1">IFERROR(__xludf.DUMMYFUNCTION("""COMPUTED_VALUE"""),15239)</f>
        <v>15239</v>
      </c>
      <c r="E13" s="116">
        <f ca="1">IFERROR(__xludf.DUMMYFUNCTION("""COMPUTED_VALUE"""),6000)</f>
        <v>6000</v>
      </c>
      <c r="F13" s="112" t="str">
        <f ca="1">IFERROR(__xludf.DUMMYFUNCTION("""COMPUTED_VALUE"""),"3809,8")</f>
        <v>3809,8</v>
      </c>
      <c r="G13" s="115" t="b">
        <v>1</v>
      </c>
      <c r="H13" s="112">
        <f ca="1">D13/3</f>
        <v>5079.666666666667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>
      <c r="A14" s="112" t="str">
        <f ca="1">IFERROR(__xludf.DUMMYFUNCTION("""COMPUTED_VALUE"""),"ACTIVIDAD 4.1")</f>
        <v>ACTIVIDAD 4.1</v>
      </c>
      <c r="B14" s="112" t="str">
        <f ca="1">IFERROR(__xludf.DUMMYFUNCTION("""COMPUTED_VALUE"""),"Encuentros intergeneracionales realizados en el Programa DIPAM en 2023")</f>
        <v>Encuentros intergeneracionales realizados en el Programa DIPAM en 2023</v>
      </c>
      <c r="C14" s="112" t="str">
        <f ca="1">IFERROR(__xludf.DUMMYFUNCTION("""COMPUTED_VALUE"""),"Porcentaje")</f>
        <v>Porcentaje</v>
      </c>
      <c r="D14" s="116">
        <f ca="1">IFERROR(__xludf.DUMMYFUNCTION("""COMPUTED_VALUE"""),5)</f>
        <v>5</v>
      </c>
      <c r="E14" s="116">
        <f ca="1">IFERROR(__xludf.DUMMYFUNCTION("""COMPUTED_VALUE"""),22)</f>
        <v>22</v>
      </c>
      <c r="F14" s="112" t="str">
        <f ca="1">IFERROR(__xludf.DUMMYFUNCTION("""COMPUTED_VALUE"""),"22,7%")</f>
        <v>22,7%</v>
      </c>
      <c r="G14" s="115" t="b">
        <v>1</v>
      </c>
      <c r="H14" s="115" t="s">
        <v>265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112" t="str">
        <f ca="1">IFERROR(__xludf.DUMMYFUNCTION("""COMPUTED_VALUE"""),"ACTIVIDAD 4.2")</f>
        <v>ACTIVIDAD 4.2</v>
      </c>
      <c r="B15" s="112" t="str">
        <f ca="1">IFERROR(__xludf.DUMMYFUNCTION("""COMPUTED_VALUE"""),"Raciones alimenticias entregadas en el comedor de DIPAM en 2023")</f>
        <v>Raciones alimenticias entregadas en el comedor de DIPAM en 2023</v>
      </c>
      <c r="C15" s="112" t="str">
        <f ca="1">IFERROR(__xludf.DUMMYFUNCTION("""COMPUTED_VALUE"""),"Porcentaje")</f>
        <v>Porcentaje</v>
      </c>
      <c r="D15" s="116">
        <f ca="1">IFERROR(__xludf.DUMMYFUNCTION("""COMPUTED_VALUE"""),10740)</f>
        <v>10740</v>
      </c>
      <c r="E15" s="116">
        <f ca="1">IFERROR(__xludf.DUMMYFUNCTION("""COMPUTED_VALUE"""),22000)</f>
        <v>22000</v>
      </c>
      <c r="F15" s="112" t="str">
        <f ca="1">IFERROR(__xludf.DUMMYFUNCTION("""COMPUTED_VALUE"""),"48,8%")</f>
        <v>48,8%</v>
      </c>
      <c r="G15" s="115" t="b">
        <v>1</v>
      </c>
      <c r="H15" s="115" t="s">
        <v>265</v>
      </c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 t="str">
        <f ca="1">IFERROR(__xludf.DUMMYFUNCTION("""COMPUTED_VALUE"""),"COMPONENTE 5")</f>
        <v>COMPONENTE 5</v>
      </c>
      <c r="B16" s="112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C16" s="112" t="str">
        <f ca="1">IFERROR(__xludf.DUMMYFUNCTION("""COMPUTED_VALUE"""),"Porcentaje")</f>
        <v>Porcentaje</v>
      </c>
      <c r="D16" s="116">
        <f ca="1">IFERROR(__xludf.DUMMYFUNCTION("""COMPUTED_VALUE"""),4903)</f>
        <v>4903</v>
      </c>
      <c r="E16" s="116">
        <f ca="1">IFERROR(__xludf.DUMMYFUNCTION("""COMPUTED_VALUE"""),7920)</f>
        <v>7920</v>
      </c>
      <c r="F16" s="112" t="str">
        <f ca="1">IFERROR(__xludf.DUMMYFUNCTION("""COMPUTED_VALUE"""),"61,9%")</f>
        <v>61,9%</v>
      </c>
      <c r="G16" s="115" t="b">
        <v>1</v>
      </c>
      <c r="H16" s="115" t="s">
        <v>265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 t="str">
        <f ca="1">IFERROR(__xludf.DUMMYFUNCTION("""COMPUTED_VALUE"""),"ACTIVIDAD 5.1")</f>
        <v>ACTIVIDAD 5.1</v>
      </c>
      <c r="B17" s="112" t="str">
        <f ca="1">IFERROR(__xludf.DUMMYFUNCTION("""COMPUTED_VALUE"""),"Sesiones de terapia física brindadas en el Centro CAIPED en 2023")</f>
        <v>Sesiones de terapia física brindadas en el Centro CAIPED en 2023</v>
      </c>
      <c r="C17" s="112" t="str">
        <f ca="1">IFERROR(__xludf.DUMMYFUNCTION("""COMPUTED_VALUE"""),"Porcentaje")</f>
        <v>Porcentaje</v>
      </c>
      <c r="D17" s="116">
        <f ca="1">IFERROR(__xludf.DUMMYFUNCTION("""COMPUTED_VALUE"""),4293)</f>
        <v>4293</v>
      </c>
      <c r="E17" s="116">
        <f ca="1">IFERROR(__xludf.DUMMYFUNCTION("""COMPUTED_VALUE"""),7250)</f>
        <v>7250</v>
      </c>
      <c r="F17" s="112" t="str">
        <f ca="1">IFERROR(__xludf.DUMMYFUNCTION("""COMPUTED_VALUE"""),"59,2%")</f>
        <v>59,2%</v>
      </c>
      <c r="G17" s="115" t="b">
        <v>1</v>
      </c>
      <c r="H17" s="115" t="s">
        <v>265</v>
      </c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 t="str">
        <f ca="1">IFERROR(__xludf.DUMMYFUNCTION("""COMPUTED_VALUE"""),"ACTIVIDAD 5.2")</f>
        <v>ACTIVIDAD 5.2</v>
      </c>
      <c r="B18" s="112" t="str">
        <f ca="1">IFERROR(__xludf.DUMMYFUNCTION("""COMPUTED_VALUE"""),"Sesiones de consulta médica brindadas en el Centro CAIPED en 2023")</f>
        <v>Sesiones de consulta médica brindadas en el Centro CAIPED en 2023</v>
      </c>
      <c r="C18" s="112" t="str">
        <f ca="1">IFERROR(__xludf.DUMMYFUNCTION("""COMPUTED_VALUE"""),"Porcentaje")</f>
        <v>Porcentaje</v>
      </c>
      <c r="D18" s="116">
        <f ca="1">IFERROR(__xludf.DUMMYFUNCTION("""COMPUTED_VALUE"""),688)</f>
        <v>688</v>
      </c>
      <c r="E18" s="116">
        <f ca="1">IFERROR(__xludf.DUMMYFUNCTION("""COMPUTED_VALUE"""),670)</f>
        <v>670</v>
      </c>
      <c r="F18" s="112" t="str">
        <f ca="1">IFERROR(__xludf.DUMMYFUNCTION("""COMPUTED_VALUE"""),"102,7%")</f>
        <v>102,7%</v>
      </c>
      <c r="G18" s="115" t="b">
        <v>1</v>
      </c>
      <c r="H18" s="115" t="s">
        <v>265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1:26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1:26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26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spans="1:26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spans="1:26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spans="1:26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spans="1:26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spans="1:26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spans="1:26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spans="1:26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spans="1:26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spans="1:26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spans="1:26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spans="1:26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spans="1:26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spans="1:26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spans="1:26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spans="1:26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spans="1:26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spans="1:26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spans="1:26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spans="1:2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spans="1:26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spans="1:26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spans="1:26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spans="1:26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1:26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1:26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1:26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1:26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1:26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1:26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1:26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1:26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1:26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spans="1:26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spans="1:26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spans="1:26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spans="1:26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spans="1:26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spans="1:26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spans="1:26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spans="1:26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spans="1:26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spans="1:26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spans="1:26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spans="1:26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spans="1:26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spans="1:26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spans="1:26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spans="1:26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spans="1:26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spans="1:26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spans="1:26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spans="1:26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spans="1:26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spans="1:26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spans="1:26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spans="1:26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spans="1:26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spans="1:26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spans="1:26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spans="1:26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spans="1:26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spans="1:26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spans="1:26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spans="1:26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spans="1:26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spans="1:26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spans="1:26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spans="1:26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spans="1:26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spans="1:26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spans="1:26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spans="1:26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spans="1:26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spans="1:26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spans="1:26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spans="1:26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spans="1:26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spans="1:26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spans="1:26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spans="1:26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spans="1:26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spans="1:26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spans="1:26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spans="1:26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spans="1:26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spans="1:26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spans="1:26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spans="1:26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spans="1:26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spans="1:26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spans="1:26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spans="1:26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spans="1:26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spans="1:26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spans="1:26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spans="1:26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spans="1:26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spans="1:26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spans="1:26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spans="1:26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spans="1:26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spans="1:26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spans="1:26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spans="1:26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spans="1:26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spans="1:26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spans="1:26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spans="1:26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spans="1:26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spans="1:26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spans="1:26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spans="1:26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spans="1:26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spans="1:26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spans="1:26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spans="1:26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spans="1:26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2" max="2" width="38.6640625" customWidth="1"/>
  </cols>
  <sheetData>
    <row r="1" spans="1:26">
      <c r="A1" s="112" t="str">
        <f ca="1">IFERROR(__xludf.DUMMYFUNCTION("QUERY(MIR!A32:AF49,""SELECT A,C,D,M,AE,O,AF WHERE A='FIN' OR A='FIN/PROPÓSITO'"",1)"),"")</f>
        <v/>
      </c>
      <c r="B1" s="112" t="str">
        <f ca="1">IFERROR(__xludf.DUMMYFUNCTION("""COMPUTED_VALUE"""),"RESUMEN NARRATIVO")</f>
        <v>RESUMEN NARRATIVO</v>
      </c>
      <c r="C1" s="112" t="str">
        <f ca="1">IFERROR(__xludf.DUMMYFUNCTION("""COMPUTED_VALUE"""),"OBJETIVOS DE RESULTADO")</f>
        <v>OBJETIVOS DE RESULTADO</v>
      </c>
      <c r="D1" s="112" t="str">
        <f ca="1">IFERROR(__xludf.DUMMYFUNCTION("""COMPUTED_VALUE"""),"UNIDAD DE MEDIDA")</f>
        <v>UNIDAD DE MEDIDA</v>
      </c>
      <c r="E1" s="112" t="str">
        <f ca="1">IFERROR(__xludf.DUMMYFUNCTION("""COMPUTED_VALUE"""),"Total acumulado")</f>
        <v>Total acumulado</v>
      </c>
      <c r="F1" s="112" t="str">
        <f ca="1">IFERROR(__xludf.DUMMYFUNCTION("""COMPUTED_VALUE"""),"META PROGRAMADA")</f>
        <v>META PROGRAMADA</v>
      </c>
      <c r="G1" s="112" t="str">
        <f ca="1">IFERROR(__xludf.DUMMYFUNCTION("""COMPUTED_VALUE"""),"Meta alcanzada")</f>
        <v>Meta alcanzada</v>
      </c>
      <c r="H1" s="112"/>
      <c r="I1" s="112"/>
      <c r="J1" s="112">
        <f ca="1">SUM(I2:I5)</f>
        <v>5755.666666666667</v>
      </c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>
      <c r="A2" s="112" t="str">
        <f ca="1">IFERROR(__xludf.DUMMYFUNCTION("""COMPUTED_VALUE"""),"FIN")</f>
        <v>FIN</v>
      </c>
      <c r="B2" s="112" t="str">
        <f ca="1">IFERROR(__xludf.DUMMYFUNCTION("""COMPUTED_VALUE"""),"COMPONENTE 1")</f>
        <v>COMPONENTE 1</v>
      </c>
      <c r="C2" s="112" t="str">
        <f ca="1">IFERROR(__xludf.DUMMYFUNCTION("""COMPUTED_VALUE"""),"C1. Servicios de atención integral a personas con discapacidad intelectual y sus familias brindados en CEAMIVIDA")</f>
        <v>C1. Servicios de atención integral a personas con discapacidad intelectual y sus familias brindados en CEAMIVIDA</v>
      </c>
      <c r="D2" s="112" t="str">
        <f ca="1">IFERROR(__xludf.DUMMYFUNCTION("""COMPUTED_VALUE"""),"Promedio")</f>
        <v>Promedio</v>
      </c>
      <c r="E2" s="116">
        <f ca="1">IFERROR(__xludf.DUMMYFUNCTION("""COMPUTED_VALUE"""),950)</f>
        <v>950</v>
      </c>
      <c r="F2" s="116">
        <f ca="1">IFERROR(__xludf.DUMMYFUNCTION("""COMPUTED_VALUE"""),372)</f>
        <v>372</v>
      </c>
      <c r="G2" s="112" t="str">
        <f ca="1">IFERROR(__xludf.DUMMYFUNCTION("""COMPUTED_VALUE"""),"237,5")</f>
        <v>237,5</v>
      </c>
      <c r="H2" s="112"/>
      <c r="I2" s="112">
        <f t="shared" ref="I2:I5" ca="1" si="0">E2/3</f>
        <v>316.66666666666669</v>
      </c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>
      <c r="A3" s="112" t="str">
        <f ca="1">IFERROR(__xludf.DUMMYFUNCTION("""COMPUTED_VALUE"""),"FIN")</f>
        <v>FIN</v>
      </c>
      <c r="B3" s="112" t="str">
        <f ca="1">IFERROR(__xludf.DUMMYFUNCTION("""COMPUTED_VALUE"""),"COMPONENTE 2")</f>
        <v>COMPONENTE 2</v>
      </c>
      <c r="C3" s="112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D3" s="112" t="str">
        <f ca="1">IFERROR(__xludf.DUMMYFUNCTION("""COMPUTED_VALUE"""),"Promedio")</f>
        <v>Promedio</v>
      </c>
      <c r="E3" s="116">
        <f ca="1">IFERROR(__xludf.DUMMYFUNCTION("""COMPUTED_VALUE"""),936)</f>
        <v>936</v>
      </c>
      <c r="F3" s="116">
        <f ca="1">IFERROR(__xludf.DUMMYFUNCTION("""COMPUTED_VALUE"""),450)</f>
        <v>450</v>
      </c>
      <c r="G3" s="112" t="str">
        <f ca="1">IFERROR(__xludf.DUMMYFUNCTION("""COMPUTED_VALUE"""),"234")</f>
        <v>234</v>
      </c>
      <c r="H3" s="112"/>
      <c r="I3" s="112">
        <f t="shared" ca="1" si="0"/>
        <v>312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>
      <c r="A4" s="112" t="str">
        <f ca="1">IFERROR(__xludf.DUMMYFUNCTION("""COMPUTED_VALUE"""),"FIN")</f>
        <v>FIN</v>
      </c>
      <c r="B4" s="112" t="str">
        <f ca="1">IFERROR(__xludf.DUMMYFUNCTION("""COMPUTED_VALUE"""),"ACTIVIDAD 3.1")</f>
        <v>ACTIVIDAD 3.1</v>
      </c>
      <c r="C4" s="112" t="str">
        <f ca="1">IFERROR(__xludf.DUMMYFUNCTION("""COMPUTED_VALUE"""),"Otorgar medicamentos a personas adultas con discapacidad intelectual institucionalizadas para la garantía de sus derechos durante el 2023.")</f>
        <v>Otorgar medicamentos a personas adultas con discapacidad intelectual institucionalizadas para la garantía de sus derechos durante el 2023.</v>
      </c>
      <c r="D4" s="112" t="str">
        <f ca="1">IFERROR(__xludf.DUMMYFUNCTION("""COMPUTED_VALUE"""),"Promedio")</f>
        <v>Promedio</v>
      </c>
      <c r="E4" s="116">
        <f ca="1">IFERROR(__xludf.DUMMYFUNCTION("""COMPUTED_VALUE"""),142)</f>
        <v>142</v>
      </c>
      <c r="F4" s="116">
        <f ca="1">IFERROR(__xludf.DUMMYFUNCTION("""COMPUTED_VALUE"""),66)</f>
        <v>66</v>
      </c>
      <c r="G4" s="112" t="str">
        <f ca="1">IFERROR(__xludf.DUMMYFUNCTION("""COMPUTED_VALUE"""),"35,5")</f>
        <v>35,5</v>
      </c>
      <c r="H4" s="112"/>
      <c r="I4" s="112">
        <f t="shared" ca="1" si="0"/>
        <v>47.333333333333336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>
      <c r="A5" s="112" t="str">
        <f ca="1">IFERROR(__xludf.DUMMYFUNCTION("""COMPUTED_VALUE"""),"FIN")</f>
        <v>FIN</v>
      </c>
      <c r="B5" s="112" t="str">
        <f ca="1">IFERROR(__xludf.DUMMYFUNCTION("""COMPUTED_VALUE"""),"COMPONENTE 4")</f>
        <v>COMPONENTE 4</v>
      </c>
      <c r="C5" s="112" t="str">
        <f ca="1">IFERROR(__xludf.DUMMYFUNCTION("""COMPUTED_VALUE"""),"Asistencias de personas adultas mayores a capacitaciones y talleres de envejecimiento activo en 2023")</f>
        <v>Asistencias de personas adultas mayores a capacitaciones y talleres de envejecimiento activo en 2023</v>
      </c>
      <c r="D5" s="112" t="str">
        <f ca="1">IFERROR(__xludf.DUMMYFUNCTION("""COMPUTED_VALUE"""),"Promedio")</f>
        <v>Promedio</v>
      </c>
      <c r="E5" s="116">
        <f ca="1">IFERROR(__xludf.DUMMYFUNCTION("""COMPUTED_VALUE"""),15239)</f>
        <v>15239</v>
      </c>
      <c r="F5" s="116">
        <f ca="1">IFERROR(__xludf.DUMMYFUNCTION("""COMPUTED_VALUE"""),6000)</f>
        <v>6000</v>
      </c>
      <c r="G5" s="112" t="str">
        <f ca="1">IFERROR(__xludf.DUMMYFUNCTION("""COMPUTED_VALUE"""),"3809,8")</f>
        <v>3809,8</v>
      </c>
      <c r="H5" s="112"/>
      <c r="I5" s="112">
        <f t="shared" ca="1" si="0"/>
        <v>5079.666666666667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>
      <c r="A6" s="112" t="str">
        <f ca="1">IFERROR(__xludf.DUMMYFUNCTION("""COMPUTED_VALUE"""),"FIN")</f>
        <v>FIN</v>
      </c>
      <c r="B6" s="112" t="str">
        <f ca="1">IFERROR(__xludf.DUMMYFUNCTION("""COMPUTED_VALUE"""),"COMPONENTE 5")</f>
        <v>COMPONENTE 5</v>
      </c>
      <c r="C6" s="112" t="str">
        <f ca="1">IFERROR(__xludf.DUMMYFUNCTION("""COMPUTED_VALUE"""),"C5.  Servicios de terapia física, atención psicológica y consulta médica de rehabilitación y de traumatología y ortopedia brindados en el CAIPED en 2023")</f>
        <v>C5.  Servicios de terapia física, atención psicológica y consulta médica de rehabilitación y de traumatología y ortopedia brindados en el CAIPED en 2023</v>
      </c>
      <c r="D6" s="112" t="str">
        <f ca="1">IFERROR(__xludf.DUMMYFUNCTION("""COMPUTED_VALUE"""),"Porcentaje")</f>
        <v>Porcentaje</v>
      </c>
      <c r="E6" s="116">
        <f ca="1">IFERROR(__xludf.DUMMYFUNCTION("""COMPUTED_VALUE"""),4903)</f>
        <v>4903</v>
      </c>
      <c r="F6" s="116">
        <f ca="1">IFERROR(__xludf.DUMMYFUNCTION("""COMPUTED_VALUE"""),7920)</f>
        <v>7920</v>
      </c>
      <c r="G6" s="112" t="str">
        <f ca="1">IFERROR(__xludf.DUMMYFUNCTION("""COMPUTED_VALUE"""),"61,9%")</f>
        <v>61,9%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1:26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1:26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26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spans="1:26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spans="1:26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spans="1:26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spans="1:26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spans="1:26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spans="1:26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spans="1:26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spans="1:26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spans="1:26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spans="1:26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spans="1:26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spans="1:26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spans="1:26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spans="1:26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spans="1:26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spans="1:26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spans="1:26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spans="1:26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spans="1:2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spans="1:26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spans="1:26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spans="1:26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spans="1:26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1:26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1:26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1:26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1:26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1:26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1:26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1:26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1:26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1:26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spans="1:26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spans="1:26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spans="1:26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spans="1:26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spans="1:26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spans="1:26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spans="1:26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spans="1:26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spans="1:26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spans="1:26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spans="1:26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spans="1:26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spans="1:26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spans="1:26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spans="1:26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spans="1:26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spans="1:26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spans="1:26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spans="1:26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spans="1:26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spans="1:26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spans="1:26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spans="1:26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spans="1:26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spans="1:26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spans="1:26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spans="1:26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spans="1:26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spans="1:26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spans="1:26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spans="1:26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spans="1:26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spans="1:26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spans="1:26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spans="1:26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spans="1:26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spans="1:26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spans="1:26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spans="1:26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spans="1:26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spans="1:26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spans="1:26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spans="1:26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spans="1:26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spans="1:26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spans="1:26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spans="1:26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spans="1:26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spans="1:26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spans="1:26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spans="1:26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spans="1:26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spans="1:26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spans="1:26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spans="1:26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spans="1:26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spans="1:26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spans="1:26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spans="1:26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spans="1:26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spans="1:26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spans="1:26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spans="1:26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spans="1:26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spans="1:26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spans="1:26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spans="1:26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spans="1:26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spans="1:26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spans="1:26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spans="1:26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spans="1:26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spans="1:26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spans="1:26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spans="1:26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spans="1:26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spans="1:26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spans="1:26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spans="1:26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spans="1:26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spans="1:26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spans="1:26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spans="1:26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spans="1:26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spans="1:26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baseColWidth="10" defaultColWidth="14.44140625" defaultRowHeight="15" customHeight="1"/>
  <cols>
    <col min="2" max="2" width="38.6640625" customWidth="1"/>
  </cols>
  <sheetData>
    <row r="1" spans="1:26">
      <c r="A1" s="112" t="str">
        <f ca="1">IFERROR(__xludf.DUMMYFUNCTION("QUERY(MIR!A32:AF49,""SELECT A,C,D,M,AE,O,AF WHERE A='PROPÓSITO' OR A='FIN/PROPÓSITO'"",1)"),"")</f>
        <v/>
      </c>
      <c r="B1" s="112" t="str">
        <f ca="1">IFERROR(__xludf.DUMMYFUNCTION("""COMPUTED_VALUE"""),"RESUMEN NARRATIVO")</f>
        <v>RESUMEN NARRATIVO</v>
      </c>
      <c r="C1" s="112" t="str">
        <f ca="1">IFERROR(__xludf.DUMMYFUNCTION("""COMPUTED_VALUE"""),"OBJETIVOS DE RESULTADO")</f>
        <v>OBJETIVOS DE RESULTADO</v>
      </c>
      <c r="D1" s="112" t="str">
        <f ca="1">IFERROR(__xludf.DUMMYFUNCTION("""COMPUTED_VALUE"""),"UNIDAD DE MEDIDA")</f>
        <v>UNIDAD DE MEDIDA</v>
      </c>
      <c r="E1" s="112" t="str">
        <f ca="1">IFERROR(__xludf.DUMMYFUNCTION("""COMPUTED_VALUE"""),"Total acumulado")</f>
        <v>Total acumulado</v>
      </c>
      <c r="F1" s="112" t="str">
        <f ca="1">IFERROR(__xludf.DUMMYFUNCTION("""COMPUTED_VALUE"""),"META PROGRAMADA")</f>
        <v>META PROGRAMADA</v>
      </c>
      <c r="G1" s="112" t="str">
        <f ca="1">IFERROR(__xludf.DUMMYFUNCTION("""COMPUTED_VALUE"""),"Meta alcanzada")</f>
        <v>Meta alcanzada</v>
      </c>
      <c r="H1" s="112"/>
      <c r="I1" s="112"/>
      <c r="J1" s="112">
        <f ca="1">SUM(I2:I5)</f>
        <v>5112</v>
      </c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>
      <c r="A2" s="112" t="str">
        <f ca="1">IFERROR(__xludf.DUMMYFUNCTION("""COMPUTED_VALUE"""),"PROPÓSITO")</f>
        <v>PROPÓSITO</v>
      </c>
      <c r="B2" s="112" t="str">
        <f ca="1">IFERROR(__xludf.DUMMYFUNCTION("""COMPUTED_VALUE"""),"ACTIVIDAD 1.1")</f>
        <v>ACTIVIDAD 1.1</v>
      </c>
      <c r="C2" s="112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D2" s="112" t="str">
        <f ca="1">IFERROR(__xludf.DUMMYFUNCTION("""COMPUTED_VALUE"""),"Porcentaje")</f>
        <v>Porcentaje</v>
      </c>
      <c r="E2" s="116">
        <f ca="1">IFERROR(__xludf.DUMMYFUNCTION("""COMPUTED_VALUE"""),497)</f>
        <v>497</v>
      </c>
      <c r="F2" s="116">
        <f ca="1">IFERROR(__xludf.DUMMYFUNCTION("""COMPUTED_VALUE"""),810)</f>
        <v>810</v>
      </c>
      <c r="G2" s="112" t="str">
        <f ca="1">IFERROR(__xludf.DUMMYFUNCTION("""COMPUTED_VALUE"""),"61,4%")</f>
        <v>61,4%</v>
      </c>
      <c r="H2" s="112"/>
      <c r="I2" s="112">
        <f t="shared" ref="I2:I5" ca="1" si="0">E2/3</f>
        <v>165.66666666666666</v>
      </c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>
      <c r="A3" s="112" t="str">
        <f ca="1">IFERROR(__xludf.DUMMYFUNCTION("""COMPUTED_VALUE"""),"PROPÓSITO")</f>
        <v>PROPÓSITO</v>
      </c>
      <c r="B3" s="112" t="str">
        <f ca="1">IFERROR(__xludf.DUMMYFUNCTION("""COMPUTED_VALUE"""),"ACTIVIDAD 2.1")</f>
        <v>ACTIVIDAD 2.1</v>
      </c>
      <c r="C3" s="112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D3" s="112" t="str">
        <f ca="1">IFERROR(__xludf.DUMMYFUNCTION("""COMPUTED_VALUE"""),"Porcentaje")</f>
        <v>Porcentaje</v>
      </c>
      <c r="E3" s="116">
        <f ca="1">IFERROR(__xludf.DUMMYFUNCTION("""COMPUTED_VALUE"""),3745)</f>
        <v>3745</v>
      </c>
      <c r="F3" s="116">
        <f ca="1">IFERROR(__xludf.DUMMYFUNCTION("""COMPUTED_VALUE"""),5600)</f>
        <v>5600</v>
      </c>
      <c r="G3" s="112" t="str">
        <f ca="1">IFERROR(__xludf.DUMMYFUNCTION("""COMPUTED_VALUE"""),"66,9%")</f>
        <v>66,9%</v>
      </c>
      <c r="H3" s="112"/>
      <c r="I3" s="112">
        <f t="shared" ca="1" si="0"/>
        <v>1248.3333333333333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>
      <c r="A4" s="112" t="str">
        <f ca="1">IFERROR(__xludf.DUMMYFUNCTION("""COMPUTED_VALUE"""),"PROPÓSITO")</f>
        <v>PROPÓSITO</v>
      </c>
      <c r="B4" s="112" t="str">
        <f ca="1">IFERROR(__xludf.DUMMYFUNCTION("""COMPUTED_VALUE"""),"COMPONENTE 3")</f>
        <v>COMPONENTE 3</v>
      </c>
      <c r="C4" s="112" t="str">
        <f ca="1">IFERROR(__xludf.DUMMYFUNCTION("""COMPUTED_VALUE"""),"Número de apoyos, servicios y actividades de promoción dirigidas a la inclusión y garantía de derechos de personas con discapacidad realizadas en 2023")</f>
        <v>Número de apoyos, servicios y actividades de promoción dirigidas a la inclusión y garantía de derechos de personas con discapacidad realizadas en 2023</v>
      </c>
      <c r="D4" s="112" t="str">
        <f ca="1">IFERROR(__xludf.DUMMYFUNCTION("""COMPUTED_VALUE"""),"Porcentaje")</f>
        <v>Porcentaje</v>
      </c>
      <c r="E4" s="116">
        <f ca="1">IFERROR(__xludf.DUMMYFUNCTION("""COMPUTED_VALUE"""),354)</f>
        <v>354</v>
      </c>
      <c r="F4" s="116">
        <f ca="1">IFERROR(__xludf.DUMMYFUNCTION("""COMPUTED_VALUE"""),470)</f>
        <v>470</v>
      </c>
      <c r="G4" s="112" t="str">
        <f ca="1">IFERROR(__xludf.DUMMYFUNCTION("""COMPUTED_VALUE"""),"75,3%")</f>
        <v>75,3%</v>
      </c>
      <c r="H4" s="112"/>
      <c r="I4" s="112">
        <f t="shared" ca="1" si="0"/>
        <v>118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>
      <c r="A5" s="112" t="str">
        <f ca="1">IFERROR(__xludf.DUMMYFUNCTION("""COMPUTED_VALUE"""),"PROPÓSITO")</f>
        <v>PROPÓSITO</v>
      </c>
      <c r="B5" s="112" t="str">
        <f ca="1">IFERROR(__xludf.DUMMYFUNCTION("""COMPUTED_VALUE"""),"ACTIVIDAD 4.2")</f>
        <v>ACTIVIDAD 4.2</v>
      </c>
      <c r="C5" s="112" t="str">
        <f ca="1">IFERROR(__xludf.DUMMYFUNCTION("""COMPUTED_VALUE"""),"Raciones alimenticias entregadas en el comedor de DIPAM en 2023")</f>
        <v>Raciones alimenticias entregadas en el comedor de DIPAM en 2023</v>
      </c>
      <c r="D5" s="112" t="str">
        <f ca="1">IFERROR(__xludf.DUMMYFUNCTION("""COMPUTED_VALUE"""),"Porcentaje")</f>
        <v>Porcentaje</v>
      </c>
      <c r="E5" s="116">
        <f ca="1">IFERROR(__xludf.DUMMYFUNCTION("""COMPUTED_VALUE"""),10740)</f>
        <v>10740</v>
      </c>
      <c r="F5" s="116">
        <f ca="1">IFERROR(__xludf.DUMMYFUNCTION("""COMPUTED_VALUE"""),22000)</f>
        <v>22000</v>
      </c>
      <c r="G5" s="112" t="str">
        <f ca="1">IFERROR(__xludf.DUMMYFUNCTION("""COMPUTED_VALUE"""),"48,8%")</f>
        <v>48,8%</v>
      </c>
      <c r="H5" s="112"/>
      <c r="I5" s="112">
        <f t="shared" ca="1" si="0"/>
        <v>3580</v>
      </c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>
      <c r="A6" s="112" t="str">
        <f ca="1">IFERROR(__xludf.DUMMYFUNCTION("""COMPUTED_VALUE"""),"PROPÓSITO")</f>
        <v>PROPÓSITO</v>
      </c>
      <c r="B6" s="112" t="str">
        <f ca="1">IFERROR(__xludf.DUMMYFUNCTION("""COMPUTED_VALUE"""),"ACTIVIDAD 5.1")</f>
        <v>ACTIVIDAD 5.1</v>
      </c>
      <c r="C6" s="112" t="str">
        <f ca="1">IFERROR(__xludf.DUMMYFUNCTION("""COMPUTED_VALUE"""),"Sesiones de terapia física brindadas en el Centro CAIPED en 2023")</f>
        <v>Sesiones de terapia física brindadas en el Centro CAIPED en 2023</v>
      </c>
      <c r="D6" s="112" t="str">
        <f ca="1">IFERROR(__xludf.DUMMYFUNCTION("""COMPUTED_VALUE"""),"Porcentaje")</f>
        <v>Porcentaje</v>
      </c>
      <c r="E6" s="116">
        <f ca="1">IFERROR(__xludf.DUMMYFUNCTION("""COMPUTED_VALUE"""),4293)</f>
        <v>4293</v>
      </c>
      <c r="F6" s="116">
        <f ca="1">IFERROR(__xludf.DUMMYFUNCTION("""COMPUTED_VALUE"""),7250)</f>
        <v>7250</v>
      </c>
      <c r="G6" s="112" t="str">
        <f ca="1">IFERROR(__xludf.DUMMYFUNCTION("""COMPUTED_VALUE"""),"59,2%")</f>
        <v>59,2%</v>
      </c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>
      <c r="A7" s="112" t="str">
        <f ca="1">IFERROR(__xludf.DUMMYFUNCTION("""COMPUTED_VALUE"""),"PROPÓSITO")</f>
        <v>PROPÓSITO</v>
      </c>
      <c r="B7" s="112" t="str">
        <f ca="1">IFERROR(__xludf.DUMMYFUNCTION("""COMPUTED_VALUE"""),"ACTIVIDAD 5.2")</f>
        <v>ACTIVIDAD 5.2</v>
      </c>
      <c r="C7" s="112" t="str">
        <f ca="1">IFERROR(__xludf.DUMMYFUNCTION("""COMPUTED_VALUE"""),"Sesiones de consulta médica brindadas en el Centro CAIPED en 2023")</f>
        <v>Sesiones de consulta médica brindadas en el Centro CAIPED en 2023</v>
      </c>
      <c r="D7" s="112" t="str">
        <f ca="1">IFERROR(__xludf.DUMMYFUNCTION("""COMPUTED_VALUE"""),"Porcentaje")</f>
        <v>Porcentaje</v>
      </c>
      <c r="E7" s="116">
        <f ca="1">IFERROR(__xludf.DUMMYFUNCTION("""COMPUTED_VALUE"""),688)</f>
        <v>688</v>
      </c>
      <c r="F7" s="116">
        <f ca="1">IFERROR(__xludf.DUMMYFUNCTION("""COMPUTED_VALUE"""),670)</f>
        <v>670</v>
      </c>
      <c r="G7" s="112" t="str">
        <f ca="1">IFERROR(__xludf.DUMMYFUNCTION("""COMPUTED_VALUE"""),"102,7%")</f>
        <v>102,7%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spans="1:26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26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26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spans="1:26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spans="1:26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spans="1:26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26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spans="1:26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spans="1:26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26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spans="1:26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spans="1:26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spans="1:26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spans="1:26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spans="1:26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</row>
    <row r="62" spans="1:26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</row>
    <row r="63" spans="1:26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</row>
    <row r="64" spans="1:26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</row>
    <row r="65" spans="1:26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</row>
    <row r="66" spans="1:26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</row>
    <row r="67" spans="1:26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</row>
    <row r="68" spans="1:26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</row>
    <row r="69" spans="1:26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</row>
    <row r="70" spans="1:26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</row>
    <row r="71" spans="1:26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>
      <c r="A77" s="112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>
      <c r="A78" s="112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>
      <c r="A79" s="112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>
      <c r="A80" s="112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</row>
    <row r="81" spans="1:26">
      <c r="A81" s="112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</row>
    <row r="82" spans="1:26">
      <c r="A82" s="112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</row>
    <row r="83" spans="1:26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</row>
    <row r="84" spans="1:26">
      <c r="A84" s="112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</row>
    <row r="85" spans="1:26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>
      <c r="A86" s="112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>
      <c r="A88" s="112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>
      <c r="A89" s="112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  <row r="90" spans="1:26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</row>
    <row r="91" spans="1:26">
      <c r="A91" s="112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</row>
    <row r="92" spans="1:26">
      <c r="A92" s="112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</row>
    <row r="93" spans="1:26">
      <c r="A93" s="112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</row>
    <row r="94" spans="1:26">
      <c r="A94" s="112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</row>
    <row r="95" spans="1:26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</row>
    <row r="96" spans="1:26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</row>
    <row r="97" spans="1:26">
      <c r="A97" s="112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</row>
    <row r="98" spans="1:26">
      <c r="A98" s="112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</row>
    <row r="99" spans="1:26">
      <c r="A99" s="112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</row>
    <row r="100" spans="1:26">
      <c r="A100" s="112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</row>
    <row r="101" spans="1:26">
      <c r="A101" s="112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</row>
    <row r="102" spans="1:26">
      <c r="A102" s="112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</row>
    <row r="103" spans="1:26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</row>
    <row r="104" spans="1:26">
      <c r="A104" s="112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</row>
    <row r="105" spans="1:26">
      <c r="A105" s="112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</row>
    <row r="106" spans="1:26">
      <c r="A106" s="112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</row>
    <row r="107" spans="1:26">
      <c r="A107" s="112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</row>
    <row r="108" spans="1:26">
      <c r="A108" s="112"/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</row>
    <row r="109" spans="1:26">
      <c r="A109" s="112"/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</row>
    <row r="110" spans="1:26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</row>
    <row r="111" spans="1:26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</row>
    <row r="112" spans="1:26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</row>
    <row r="113" spans="1:26">
      <c r="A113" s="112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</row>
    <row r="114" spans="1:26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</row>
    <row r="115" spans="1:26">
      <c r="A115" s="112"/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</row>
    <row r="116" spans="1:26">
      <c r="A116" s="112"/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</row>
    <row r="117" spans="1:26">
      <c r="A117" s="112"/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1:26">
      <c r="A118" s="112"/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1:26">
      <c r="A119" s="112"/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1:26">
      <c r="A120" s="112"/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1:26">
      <c r="A121" s="112"/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1:26">
      <c r="A122" s="112"/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1:26">
      <c r="A123" s="112"/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1:26">
      <c r="A124" s="112"/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1:26">
      <c r="A125" s="112"/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</row>
    <row r="126" spans="1:26">
      <c r="A126" s="112"/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</row>
    <row r="127" spans="1:26">
      <c r="A127" s="112"/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</row>
    <row r="128" spans="1:26">
      <c r="A128" s="112"/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</row>
    <row r="129" spans="1:26">
      <c r="A129" s="112"/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1:26">
      <c r="A130" s="112"/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1:26">
      <c r="A131" s="112"/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1:26">
      <c r="A132" s="112"/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1:26">
      <c r="A133" s="112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1:26">
      <c r="A134" s="112"/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1:26">
      <c r="A135" s="112"/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1:26">
      <c r="A136" s="112"/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:26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:26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1:26">
      <c r="A139" s="112"/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1:26">
      <c r="A140" s="112"/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1:26">
      <c r="A141" s="112"/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1:26">
      <c r="A142" s="112"/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1:26">
      <c r="A143" s="112"/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1:26">
      <c r="A144" s="112"/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1:26">
      <c r="A145" s="112"/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1:26">
      <c r="A146" s="112"/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1:26">
      <c r="A147" s="112"/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1:26">
      <c r="A148" s="112"/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1:26">
      <c r="A149" s="112"/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1:26">
      <c r="A150" s="112"/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1:26">
      <c r="A151" s="112"/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</row>
    <row r="152" spans="1:26">
      <c r="A152" s="112"/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</row>
    <row r="153" spans="1:26">
      <c r="A153" s="112"/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1:26">
      <c r="A154" s="112"/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1:26">
      <c r="A155" s="112"/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1:26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1:26">
      <c r="A157" s="112"/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1:26">
      <c r="A158" s="112"/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1:26">
      <c r="A159" s="112"/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1:26">
      <c r="A160" s="112"/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1:26">
      <c r="A161" s="112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1:2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1:26">
      <c r="A163" s="112"/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1:26">
      <c r="A164" s="112"/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1:26">
      <c r="A165" s="112"/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</row>
    <row r="166" spans="1:26">
      <c r="A166" s="112"/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</row>
    <row r="167" spans="1:26">
      <c r="A167" s="112"/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</row>
    <row r="168" spans="1:26">
      <c r="A168" s="112"/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</row>
    <row r="169" spans="1:26">
      <c r="A169" s="112"/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1:26">
      <c r="A170" s="112"/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1:26">
      <c r="A171" s="112"/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1:26">
      <c r="A172" s="112"/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1:26">
      <c r="A173" s="112"/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1:26">
      <c r="A174" s="112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1:26">
      <c r="A175" s="112"/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1:26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1:26">
      <c r="A177" s="112"/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1:26">
      <c r="A178" s="112"/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1:26">
      <c r="A179" s="112"/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1:26">
      <c r="A180" s="112"/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  <row r="181" spans="1:26">
      <c r="A181" s="112"/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</row>
    <row r="182" spans="1:26">
      <c r="A182" s="112"/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</row>
    <row r="183" spans="1:26">
      <c r="A183" s="112"/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</row>
    <row r="184" spans="1:26">
      <c r="A184" s="112"/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</row>
    <row r="185" spans="1:26">
      <c r="A185" s="112"/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</row>
    <row r="186" spans="1:26">
      <c r="A186" s="112"/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</row>
    <row r="187" spans="1:26">
      <c r="A187" s="112"/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</row>
    <row r="188" spans="1:26">
      <c r="A188" s="112"/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</row>
    <row r="189" spans="1:26">
      <c r="A189" s="112"/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</row>
    <row r="190" spans="1:26">
      <c r="A190" s="112"/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</row>
    <row r="191" spans="1:26">
      <c r="A191" s="112"/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</row>
    <row r="192" spans="1:26">
      <c r="A192" s="112"/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</row>
    <row r="193" spans="1:26">
      <c r="A193" s="112"/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</row>
    <row r="194" spans="1:26">
      <c r="A194" s="112"/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</row>
    <row r="195" spans="1:26">
      <c r="A195" s="112"/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</row>
    <row r="196" spans="1:26">
      <c r="A196" s="112"/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</row>
    <row r="197" spans="1:26">
      <c r="A197" s="112"/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</row>
    <row r="198" spans="1:26">
      <c r="A198" s="112"/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</row>
    <row r="199" spans="1:26">
      <c r="A199" s="112"/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</row>
    <row r="200" spans="1:26">
      <c r="A200" s="112"/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</row>
    <row r="201" spans="1:26">
      <c r="A201" s="112"/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</row>
    <row r="202" spans="1:26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</row>
    <row r="203" spans="1:26">
      <c r="A203" s="112"/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</row>
    <row r="204" spans="1:26">
      <c r="A204" s="112"/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</row>
    <row r="205" spans="1:26">
      <c r="A205" s="11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</row>
    <row r="206" spans="1:26">
      <c r="A206" s="11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</row>
    <row r="207" spans="1:26">
      <c r="A207" s="11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112"/>
      <c r="P207" s="112"/>
      <c r="Q207" s="112"/>
      <c r="R207" s="112"/>
      <c r="S207" s="112"/>
      <c r="T207" s="112"/>
      <c r="U207" s="112"/>
      <c r="V207" s="112"/>
      <c r="W207" s="112"/>
      <c r="X207" s="112"/>
      <c r="Y207" s="112"/>
      <c r="Z207" s="112"/>
    </row>
    <row r="208" spans="1:26">
      <c r="A208" s="11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112"/>
      <c r="P208" s="112"/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</row>
    <row r="209" spans="1:26">
      <c r="A209" s="11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</row>
    <row r="210" spans="1:26">
      <c r="A210" s="11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</row>
    <row r="211" spans="1:26">
      <c r="A211" s="11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</row>
    <row r="212" spans="1:26">
      <c r="A212" s="11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</row>
    <row r="213" spans="1:26">
      <c r="A213" s="11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</row>
    <row r="214" spans="1:26">
      <c r="A214" s="11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</row>
    <row r="215" spans="1:26">
      <c r="A215" s="11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</row>
    <row r="216" spans="1:26">
      <c r="A216" s="11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</row>
    <row r="217" spans="1:26">
      <c r="A217" s="11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</row>
    <row r="218" spans="1:26">
      <c r="A218" s="11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</row>
    <row r="219" spans="1:26">
      <c r="A219" s="11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</row>
    <row r="220" spans="1:26">
      <c r="A220" s="11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</row>
    <row r="221" spans="1:26">
      <c r="A221" s="11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</row>
    <row r="222" spans="1:26">
      <c r="A222" s="11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</row>
    <row r="223" spans="1:26">
      <c r="A223" s="11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</row>
    <row r="224" spans="1:26">
      <c r="A224" s="11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2"/>
      <c r="Q224" s="112"/>
      <c r="R224" s="112"/>
      <c r="S224" s="112"/>
      <c r="T224" s="112"/>
      <c r="U224" s="112"/>
      <c r="V224" s="112"/>
      <c r="W224" s="112"/>
      <c r="X224" s="112"/>
      <c r="Y224" s="112"/>
      <c r="Z224" s="112"/>
    </row>
    <row r="225" spans="1:26">
      <c r="A225" s="11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2"/>
      <c r="Q225" s="112"/>
      <c r="R225" s="112"/>
      <c r="S225" s="112"/>
      <c r="T225" s="112"/>
      <c r="U225" s="112"/>
      <c r="V225" s="112"/>
      <c r="W225" s="112"/>
      <c r="X225" s="112"/>
      <c r="Y225" s="112"/>
      <c r="Z225" s="112"/>
    </row>
    <row r="226" spans="1:26">
      <c r="A226" s="11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2"/>
      <c r="W226" s="112"/>
      <c r="X226" s="112"/>
      <c r="Y226" s="112"/>
      <c r="Z226" s="112"/>
    </row>
    <row r="227" spans="1:26">
      <c r="A227" s="11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2"/>
      <c r="W227" s="112"/>
      <c r="X227" s="112"/>
      <c r="Y227" s="112"/>
      <c r="Z227" s="112"/>
    </row>
    <row r="228" spans="1:26">
      <c r="A228" s="11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</row>
    <row r="229" spans="1:26">
      <c r="A229" s="11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2"/>
      <c r="Q229" s="112"/>
      <c r="R229" s="112"/>
      <c r="S229" s="112"/>
      <c r="T229" s="112"/>
      <c r="U229" s="112"/>
      <c r="V229" s="112"/>
      <c r="W229" s="112"/>
      <c r="X229" s="112"/>
      <c r="Y229" s="112"/>
      <c r="Z229" s="112"/>
    </row>
    <row r="230" spans="1:26">
      <c r="A230" s="11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2"/>
      <c r="W230" s="112"/>
      <c r="X230" s="112"/>
      <c r="Y230" s="112"/>
      <c r="Z230" s="112"/>
    </row>
    <row r="231" spans="1:26">
      <c r="A231" s="11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</row>
    <row r="232" spans="1:26">
      <c r="A232" s="11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</row>
    <row r="233" spans="1:26">
      <c r="A233" s="112"/>
      <c r="B233" s="112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2"/>
      <c r="T233" s="112"/>
      <c r="U233" s="112"/>
      <c r="V233" s="112"/>
      <c r="W233" s="112"/>
      <c r="X233" s="112"/>
      <c r="Y233" s="112"/>
      <c r="Z233" s="112"/>
    </row>
    <row r="234" spans="1:26">
      <c r="A234" s="112"/>
      <c r="B234" s="112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2"/>
      <c r="T234" s="112"/>
      <c r="U234" s="112"/>
      <c r="V234" s="112"/>
      <c r="W234" s="112"/>
      <c r="X234" s="112"/>
      <c r="Y234" s="112"/>
      <c r="Z234" s="112"/>
    </row>
    <row r="235" spans="1:26">
      <c r="A235" s="112"/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</row>
    <row r="236" spans="1:26">
      <c r="A236" s="112"/>
      <c r="B236" s="112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</row>
    <row r="237" spans="1:26">
      <c r="A237" s="112"/>
      <c r="B237" s="112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2"/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</row>
    <row r="238" spans="1:26">
      <c r="A238" s="112"/>
      <c r="B238" s="112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</row>
    <row r="239" spans="1:26">
      <c r="A239" s="112"/>
      <c r="B239" s="112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</row>
    <row r="240" spans="1:26">
      <c r="A240" s="112"/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</row>
    <row r="241" spans="1:26">
      <c r="A241" s="112"/>
      <c r="B241" s="112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</row>
    <row r="242" spans="1:26">
      <c r="A242" s="112"/>
      <c r="B242" s="112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2"/>
      <c r="W242" s="112"/>
      <c r="X242" s="112"/>
      <c r="Y242" s="112"/>
      <c r="Z242" s="112"/>
    </row>
    <row r="243" spans="1:26">
      <c r="A243" s="112"/>
      <c r="B243" s="112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</row>
    <row r="244" spans="1:26">
      <c r="A244" s="112"/>
      <c r="B244" s="112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</row>
    <row r="245" spans="1:26">
      <c r="A245" s="112"/>
      <c r="B245" s="112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12"/>
      <c r="W245" s="112"/>
      <c r="X245" s="112"/>
      <c r="Y245" s="112"/>
      <c r="Z245" s="112"/>
    </row>
    <row r="246" spans="1:26">
      <c r="A246" s="112"/>
      <c r="B246" s="112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12"/>
      <c r="W246" s="112"/>
      <c r="X246" s="112"/>
      <c r="Y246" s="112"/>
      <c r="Z246" s="112"/>
    </row>
    <row r="247" spans="1:26">
      <c r="A247" s="112"/>
      <c r="B247" s="112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12"/>
      <c r="W247" s="112"/>
      <c r="X247" s="112"/>
      <c r="Y247" s="112"/>
      <c r="Z247" s="112"/>
    </row>
    <row r="248" spans="1:26">
      <c r="A248" s="112"/>
      <c r="B248" s="112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12"/>
      <c r="W248" s="112"/>
      <c r="X248" s="112"/>
      <c r="Y248" s="112"/>
      <c r="Z248" s="112"/>
    </row>
    <row r="249" spans="1:26">
      <c r="A249" s="112"/>
      <c r="B249" s="112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2"/>
      <c r="W249" s="112"/>
      <c r="X249" s="112"/>
      <c r="Y249" s="112"/>
      <c r="Z249" s="112"/>
    </row>
    <row r="250" spans="1:26">
      <c r="A250" s="112"/>
      <c r="B250" s="112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  <c r="V250" s="112"/>
      <c r="W250" s="112"/>
      <c r="X250" s="112"/>
      <c r="Y250" s="112"/>
      <c r="Z250" s="112"/>
    </row>
    <row r="251" spans="1:26">
      <c r="A251" s="112"/>
      <c r="B251" s="112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2"/>
      <c r="Q251" s="112"/>
      <c r="R251" s="112"/>
      <c r="S251" s="112"/>
      <c r="T251" s="112"/>
      <c r="U251" s="112"/>
      <c r="V251" s="112"/>
      <c r="W251" s="112"/>
      <c r="X251" s="112"/>
      <c r="Y251" s="112"/>
      <c r="Z251" s="112"/>
    </row>
    <row r="252" spans="1:26">
      <c r="A252" s="112"/>
      <c r="B252" s="112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</row>
    <row r="253" spans="1:26">
      <c r="A253" s="112"/>
      <c r="B253" s="112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</row>
    <row r="254" spans="1:26">
      <c r="A254" s="112"/>
      <c r="B254" s="112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</row>
    <row r="255" spans="1:26">
      <c r="A255" s="112"/>
      <c r="B255" s="112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</row>
    <row r="256" spans="1:26">
      <c r="A256" s="112"/>
      <c r="B256" s="112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</row>
    <row r="257" spans="1:26">
      <c r="A257" s="112"/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</row>
    <row r="258" spans="1:26">
      <c r="A258" s="112"/>
      <c r="B258" s="112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</row>
    <row r="259" spans="1:26">
      <c r="A259" s="112"/>
      <c r="B259" s="112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12"/>
      <c r="W259" s="112"/>
      <c r="X259" s="112"/>
      <c r="Y259" s="112"/>
      <c r="Z259" s="112"/>
    </row>
    <row r="260" spans="1:26">
      <c r="A260" s="112"/>
      <c r="B260" s="112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2"/>
      <c r="W260" s="112"/>
      <c r="X260" s="112"/>
      <c r="Y260" s="112"/>
      <c r="Z260" s="112"/>
    </row>
    <row r="261" spans="1:26">
      <c r="A261" s="112"/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2"/>
      <c r="W261" s="112"/>
      <c r="X261" s="112"/>
      <c r="Y261" s="112"/>
      <c r="Z261" s="112"/>
    </row>
    <row r="262" spans="1:26">
      <c r="A262" s="112"/>
      <c r="B262" s="112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2"/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</row>
    <row r="263" spans="1:26">
      <c r="A263" s="112"/>
      <c r="B263" s="112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</row>
    <row r="264" spans="1:26">
      <c r="A264" s="112"/>
      <c r="B264" s="112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</row>
    <row r="265" spans="1:26">
      <c r="A265" s="112"/>
      <c r="B265" s="112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</row>
    <row r="266" spans="1:26">
      <c r="A266" s="112"/>
      <c r="B266" s="112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12"/>
      <c r="W266" s="112"/>
      <c r="X266" s="112"/>
      <c r="Y266" s="112"/>
      <c r="Z266" s="112"/>
    </row>
    <row r="267" spans="1:26">
      <c r="A267" s="112"/>
      <c r="B267" s="112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</row>
    <row r="268" spans="1:26">
      <c r="A268" s="112"/>
      <c r="B268" s="112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</row>
    <row r="269" spans="1:26">
      <c r="A269" s="112"/>
      <c r="B269" s="112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12"/>
      <c r="W269" s="112"/>
      <c r="X269" s="112"/>
      <c r="Y269" s="112"/>
      <c r="Z269" s="112"/>
    </row>
    <row r="270" spans="1:26">
      <c r="A270" s="112"/>
      <c r="B270" s="112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</row>
    <row r="271" spans="1:26">
      <c r="A271" s="112"/>
      <c r="B271" s="112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</row>
    <row r="272" spans="1:26">
      <c r="A272" s="112"/>
      <c r="B272" s="112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</row>
    <row r="273" spans="1:26">
      <c r="A273" s="112"/>
      <c r="B273" s="112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</row>
    <row r="274" spans="1:26">
      <c r="A274" s="112"/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12"/>
      <c r="W274" s="112"/>
      <c r="X274" s="112"/>
      <c r="Y274" s="112"/>
      <c r="Z274" s="112"/>
    </row>
    <row r="275" spans="1:26">
      <c r="A275" s="112"/>
      <c r="B275" s="112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12"/>
      <c r="W275" s="112"/>
      <c r="X275" s="112"/>
      <c r="Y275" s="112"/>
      <c r="Z275" s="112"/>
    </row>
    <row r="276" spans="1:26">
      <c r="A276" s="112"/>
      <c r="B276" s="112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</row>
    <row r="277" spans="1:26">
      <c r="A277" s="112"/>
      <c r="B277" s="112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</row>
    <row r="278" spans="1:26">
      <c r="A278" s="112"/>
      <c r="B278" s="112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12"/>
      <c r="W278" s="112"/>
      <c r="X278" s="112"/>
      <c r="Y278" s="112"/>
      <c r="Z278" s="112"/>
    </row>
    <row r="279" spans="1:26">
      <c r="A279" s="112"/>
      <c r="B279" s="112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12"/>
      <c r="W279" s="112"/>
      <c r="X279" s="112"/>
      <c r="Y279" s="112"/>
      <c r="Z279" s="112"/>
    </row>
    <row r="280" spans="1:26">
      <c r="A280" s="112"/>
      <c r="B280" s="112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</row>
    <row r="281" spans="1:26">
      <c r="A281" s="112"/>
      <c r="B281" s="112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</row>
    <row r="282" spans="1:26">
      <c r="A282" s="112"/>
      <c r="B282" s="112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12"/>
      <c r="W282" s="112"/>
      <c r="X282" s="112"/>
      <c r="Y282" s="112"/>
      <c r="Z282" s="112"/>
    </row>
    <row r="283" spans="1:26">
      <c r="A283" s="112"/>
      <c r="B283" s="112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12"/>
      <c r="W283" s="112"/>
      <c r="X283" s="112"/>
      <c r="Y283" s="112"/>
      <c r="Z283" s="112"/>
    </row>
    <row r="284" spans="1:26">
      <c r="A284" s="112"/>
      <c r="B284" s="112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12"/>
      <c r="W284" s="112"/>
      <c r="X284" s="112"/>
      <c r="Y284" s="112"/>
      <c r="Z284" s="112"/>
    </row>
    <row r="285" spans="1:26">
      <c r="A285" s="112"/>
      <c r="B285" s="112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12"/>
      <c r="W285" s="112"/>
      <c r="X285" s="112"/>
      <c r="Y285" s="112"/>
      <c r="Z285" s="112"/>
    </row>
    <row r="286" spans="1:26">
      <c r="A286" s="112"/>
      <c r="B286" s="112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2"/>
      <c r="Q286" s="112"/>
      <c r="R286" s="112"/>
      <c r="S286" s="112"/>
      <c r="T286" s="112"/>
      <c r="U286" s="112"/>
      <c r="V286" s="112"/>
      <c r="W286" s="112"/>
      <c r="X286" s="112"/>
      <c r="Y286" s="112"/>
      <c r="Z286" s="112"/>
    </row>
    <row r="287" spans="1:26">
      <c r="A287" s="112"/>
      <c r="B287" s="112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2"/>
      <c r="Q287" s="112"/>
      <c r="R287" s="112"/>
      <c r="S287" s="112"/>
      <c r="T287" s="112"/>
      <c r="U287" s="112"/>
      <c r="V287" s="112"/>
      <c r="W287" s="112"/>
      <c r="X287" s="112"/>
      <c r="Y287" s="112"/>
      <c r="Z287" s="112"/>
    </row>
    <row r="288" spans="1:26">
      <c r="A288" s="112"/>
      <c r="B288" s="112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2"/>
      <c r="Q288" s="112"/>
      <c r="R288" s="112"/>
      <c r="S288" s="112"/>
      <c r="T288" s="112"/>
      <c r="U288" s="112"/>
      <c r="V288" s="112"/>
      <c r="W288" s="112"/>
      <c r="X288" s="112"/>
      <c r="Y288" s="112"/>
      <c r="Z288" s="112"/>
    </row>
    <row r="289" spans="1:26">
      <c r="A289" s="112"/>
      <c r="B289" s="112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2"/>
      <c r="Q289" s="112"/>
      <c r="R289" s="112"/>
      <c r="S289" s="112"/>
      <c r="T289" s="112"/>
      <c r="U289" s="112"/>
      <c r="V289" s="112"/>
      <c r="W289" s="112"/>
      <c r="X289" s="112"/>
      <c r="Y289" s="112"/>
      <c r="Z289" s="112"/>
    </row>
    <row r="290" spans="1:26">
      <c r="A290" s="112"/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2"/>
      <c r="Y290" s="112"/>
      <c r="Z290" s="112"/>
    </row>
    <row r="291" spans="1:26">
      <c r="A291" s="112"/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2"/>
      <c r="Q291" s="112"/>
      <c r="R291" s="112"/>
      <c r="S291" s="112"/>
      <c r="T291" s="112"/>
      <c r="U291" s="112"/>
      <c r="V291" s="112"/>
      <c r="W291" s="112"/>
      <c r="X291" s="112"/>
      <c r="Y291" s="112"/>
      <c r="Z291" s="112"/>
    </row>
    <row r="292" spans="1:26">
      <c r="A292" s="112"/>
      <c r="B292" s="112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2"/>
      <c r="Q292" s="112"/>
      <c r="R292" s="112"/>
      <c r="S292" s="112"/>
      <c r="T292" s="112"/>
      <c r="U292" s="112"/>
      <c r="V292" s="112"/>
      <c r="W292" s="112"/>
      <c r="X292" s="112"/>
      <c r="Y292" s="112"/>
      <c r="Z292" s="112"/>
    </row>
    <row r="293" spans="1:26">
      <c r="A293" s="112"/>
      <c r="B293" s="112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2"/>
      <c r="Q293" s="112"/>
      <c r="R293" s="112"/>
      <c r="S293" s="112"/>
      <c r="T293" s="112"/>
      <c r="U293" s="112"/>
      <c r="V293" s="112"/>
      <c r="W293" s="112"/>
      <c r="X293" s="112"/>
      <c r="Y293" s="112"/>
      <c r="Z293" s="112"/>
    </row>
    <row r="294" spans="1:26">
      <c r="A294" s="112"/>
      <c r="B294" s="112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2"/>
      <c r="Q294" s="112"/>
      <c r="R294" s="112"/>
      <c r="S294" s="112"/>
      <c r="T294" s="112"/>
      <c r="U294" s="112"/>
      <c r="V294" s="112"/>
      <c r="W294" s="112"/>
      <c r="X294" s="112"/>
      <c r="Y294" s="112"/>
      <c r="Z294" s="112"/>
    </row>
    <row r="295" spans="1:26">
      <c r="A295" s="112"/>
      <c r="B295" s="112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2"/>
      <c r="Q295" s="112"/>
      <c r="R295" s="112"/>
      <c r="S295" s="112"/>
      <c r="T295" s="112"/>
      <c r="U295" s="112"/>
      <c r="V295" s="112"/>
      <c r="W295" s="112"/>
      <c r="X295" s="112"/>
      <c r="Y295" s="112"/>
      <c r="Z295" s="112"/>
    </row>
    <row r="296" spans="1:26">
      <c r="A296" s="112"/>
      <c r="B296" s="112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2"/>
      <c r="Q296" s="112"/>
      <c r="R296" s="112"/>
      <c r="S296" s="112"/>
      <c r="T296" s="112"/>
      <c r="U296" s="112"/>
      <c r="V296" s="112"/>
      <c r="W296" s="112"/>
      <c r="X296" s="112"/>
      <c r="Y296" s="112"/>
      <c r="Z296" s="112"/>
    </row>
    <row r="297" spans="1:26">
      <c r="A297" s="112"/>
      <c r="B297" s="112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2"/>
      <c r="Q297" s="112"/>
      <c r="R297" s="112"/>
      <c r="S297" s="112"/>
      <c r="T297" s="112"/>
      <c r="U297" s="112"/>
      <c r="V297" s="112"/>
      <c r="W297" s="112"/>
      <c r="X297" s="112"/>
      <c r="Y297" s="112"/>
      <c r="Z297" s="112"/>
    </row>
    <row r="298" spans="1:26">
      <c r="A298" s="112"/>
      <c r="B298" s="112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2"/>
      <c r="Q298" s="112"/>
      <c r="R298" s="112"/>
      <c r="S298" s="112"/>
      <c r="T298" s="112"/>
      <c r="U298" s="112"/>
      <c r="V298" s="112"/>
      <c r="W298" s="112"/>
      <c r="X298" s="112"/>
      <c r="Y298" s="112"/>
      <c r="Z298" s="112"/>
    </row>
    <row r="299" spans="1:26">
      <c r="A299" s="112"/>
      <c r="B299" s="112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2"/>
      <c r="W299" s="112"/>
      <c r="X299" s="112"/>
      <c r="Y299" s="112"/>
      <c r="Z299" s="112"/>
    </row>
    <row r="300" spans="1:26">
      <c r="A300" s="112"/>
      <c r="B300" s="112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2"/>
      <c r="U300" s="112"/>
      <c r="V300" s="112"/>
      <c r="W300" s="112"/>
      <c r="X300" s="112"/>
      <c r="Y300" s="112"/>
      <c r="Z300" s="112"/>
    </row>
    <row r="301" spans="1:26">
      <c r="A301" s="112"/>
      <c r="B301" s="112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2"/>
      <c r="Q301" s="112"/>
      <c r="R301" s="112"/>
      <c r="S301" s="112"/>
      <c r="T301" s="112"/>
      <c r="U301" s="112"/>
      <c r="V301" s="112"/>
      <c r="W301" s="112"/>
      <c r="X301" s="112"/>
      <c r="Y301" s="112"/>
      <c r="Z301" s="112"/>
    </row>
    <row r="302" spans="1:26">
      <c r="A302" s="112"/>
      <c r="B302" s="112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2"/>
      <c r="Q302" s="112"/>
      <c r="R302" s="112"/>
      <c r="S302" s="112"/>
      <c r="T302" s="112"/>
      <c r="U302" s="112"/>
      <c r="V302" s="112"/>
      <c r="W302" s="112"/>
      <c r="X302" s="112"/>
      <c r="Y302" s="112"/>
      <c r="Z302" s="112"/>
    </row>
    <row r="303" spans="1:26">
      <c r="A303" s="112"/>
      <c r="B303" s="112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2"/>
      <c r="Q303" s="112"/>
      <c r="R303" s="112"/>
      <c r="S303" s="112"/>
      <c r="T303" s="112"/>
      <c r="U303" s="112"/>
      <c r="V303" s="112"/>
      <c r="W303" s="112"/>
      <c r="X303" s="112"/>
      <c r="Y303" s="112"/>
      <c r="Z303" s="112"/>
    </row>
    <row r="304" spans="1:26">
      <c r="A304" s="112"/>
      <c r="B304" s="112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2"/>
      <c r="Q304" s="112"/>
      <c r="R304" s="112"/>
      <c r="S304" s="112"/>
      <c r="T304" s="112"/>
      <c r="U304" s="112"/>
      <c r="V304" s="112"/>
      <c r="W304" s="112"/>
      <c r="X304" s="112"/>
      <c r="Y304" s="112"/>
      <c r="Z304" s="112"/>
    </row>
    <row r="305" spans="1:26">
      <c r="A305" s="112"/>
      <c r="B305" s="112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2"/>
      <c r="Q305" s="112"/>
      <c r="R305" s="112"/>
      <c r="S305" s="112"/>
      <c r="T305" s="112"/>
      <c r="U305" s="112"/>
      <c r="V305" s="112"/>
      <c r="W305" s="112"/>
      <c r="X305" s="112"/>
      <c r="Y305" s="112"/>
      <c r="Z305" s="112"/>
    </row>
    <row r="306" spans="1:26">
      <c r="A306" s="112"/>
      <c r="B306" s="112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2"/>
      <c r="Q306" s="112"/>
      <c r="R306" s="112"/>
      <c r="S306" s="112"/>
      <c r="T306" s="112"/>
      <c r="U306" s="112"/>
      <c r="V306" s="112"/>
      <c r="W306" s="112"/>
      <c r="X306" s="112"/>
      <c r="Y306" s="112"/>
      <c r="Z306" s="112"/>
    </row>
    <row r="307" spans="1:26">
      <c r="A307" s="112"/>
      <c r="B307" s="112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2"/>
      <c r="Q307" s="112"/>
      <c r="R307" s="112"/>
      <c r="S307" s="112"/>
      <c r="T307" s="112"/>
      <c r="U307" s="112"/>
      <c r="V307" s="112"/>
      <c r="W307" s="112"/>
      <c r="X307" s="112"/>
      <c r="Y307" s="112"/>
      <c r="Z307" s="112"/>
    </row>
    <row r="308" spans="1:26">
      <c r="A308" s="112"/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12"/>
      <c r="V308" s="112"/>
      <c r="W308" s="112"/>
      <c r="X308" s="112"/>
      <c r="Y308" s="112"/>
      <c r="Z308" s="112"/>
    </row>
    <row r="309" spans="1:26">
      <c r="A309" s="112"/>
      <c r="B309" s="112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</row>
    <row r="310" spans="1:26">
      <c r="A310" s="112"/>
      <c r="B310" s="112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2"/>
      <c r="Q310" s="112"/>
      <c r="R310" s="112"/>
      <c r="S310" s="112"/>
      <c r="T310" s="112"/>
      <c r="U310" s="112"/>
      <c r="V310" s="112"/>
      <c r="W310" s="112"/>
      <c r="X310" s="112"/>
      <c r="Y310" s="112"/>
      <c r="Z310" s="112"/>
    </row>
    <row r="311" spans="1:26">
      <c r="A311" s="112"/>
      <c r="B311" s="112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2"/>
      <c r="Q311" s="112"/>
      <c r="R311" s="112"/>
      <c r="S311" s="112"/>
      <c r="T311" s="112"/>
      <c r="U311" s="112"/>
      <c r="V311" s="112"/>
      <c r="W311" s="112"/>
      <c r="X311" s="112"/>
      <c r="Y311" s="112"/>
      <c r="Z311" s="112"/>
    </row>
    <row r="312" spans="1:26">
      <c r="A312" s="112"/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2"/>
      <c r="Z312" s="112"/>
    </row>
    <row r="313" spans="1:26">
      <c r="A313" s="112"/>
      <c r="B313" s="112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2"/>
      <c r="Q313" s="112"/>
      <c r="R313" s="112"/>
      <c r="S313" s="112"/>
      <c r="T313" s="112"/>
      <c r="U313" s="112"/>
      <c r="V313" s="112"/>
      <c r="W313" s="112"/>
      <c r="X313" s="112"/>
      <c r="Y313" s="112"/>
      <c r="Z313" s="112"/>
    </row>
    <row r="314" spans="1:26">
      <c r="A314" s="112"/>
      <c r="B314" s="112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2"/>
      <c r="Q314" s="112"/>
      <c r="R314" s="112"/>
      <c r="S314" s="112"/>
      <c r="T314" s="112"/>
      <c r="U314" s="112"/>
      <c r="V314" s="112"/>
      <c r="W314" s="112"/>
      <c r="X314" s="112"/>
      <c r="Y314" s="112"/>
      <c r="Z314" s="112"/>
    </row>
    <row r="315" spans="1:26">
      <c r="A315" s="112"/>
      <c r="B315" s="112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2"/>
      <c r="Q315" s="112"/>
      <c r="R315" s="112"/>
      <c r="S315" s="112"/>
      <c r="T315" s="112"/>
      <c r="U315" s="112"/>
      <c r="V315" s="112"/>
      <c r="W315" s="112"/>
      <c r="X315" s="112"/>
      <c r="Y315" s="112"/>
      <c r="Z315" s="112"/>
    </row>
    <row r="316" spans="1:26">
      <c r="A316" s="112"/>
      <c r="B316" s="112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2"/>
      <c r="Q316" s="112"/>
      <c r="R316" s="112"/>
      <c r="S316" s="112"/>
      <c r="T316" s="112"/>
      <c r="U316" s="112"/>
      <c r="V316" s="112"/>
      <c r="W316" s="112"/>
      <c r="X316" s="112"/>
      <c r="Y316" s="112"/>
      <c r="Z316" s="112"/>
    </row>
    <row r="317" spans="1:26">
      <c r="A317" s="112"/>
      <c r="B317" s="112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2"/>
      <c r="Q317" s="112"/>
      <c r="R317" s="112"/>
      <c r="S317" s="112"/>
      <c r="T317" s="112"/>
      <c r="U317" s="112"/>
      <c r="V317" s="112"/>
      <c r="W317" s="112"/>
      <c r="X317" s="112"/>
      <c r="Y317" s="112"/>
      <c r="Z317" s="112"/>
    </row>
    <row r="318" spans="1:26">
      <c r="A318" s="112"/>
      <c r="B318" s="112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2"/>
      <c r="U318" s="112"/>
      <c r="V318" s="112"/>
      <c r="W318" s="112"/>
      <c r="X318" s="112"/>
      <c r="Y318" s="112"/>
      <c r="Z318" s="112"/>
    </row>
    <row r="319" spans="1:26">
      <c r="A319" s="112"/>
      <c r="B319" s="112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2"/>
      <c r="Q319" s="112"/>
      <c r="R319" s="112"/>
      <c r="S319" s="112"/>
      <c r="T319" s="112"/>
      <c r="U319" s="112"/>
      <c r="V319" s="112"/>
      <c r="W319" s="112"/>
      <c r="X319" s="112"/>
      <c r="Y319" s="112"/>
      <c r="Z319" s="112"/>
    </row>
    <row r="320" spans="1:26">
      <c r="A320" s="112"/>
      <c r="B320" s="112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2"/>
      <c r="Q320" s="112"/>
      <c r="R320" s="112"/>
      <c r="S320" s="112"/>
      <c r="T320" s="112"/>
      <c r="U320" s="112"/>
      <c r="V320" s="112"/>
      <c r="W320" s="112"/>
      <c r="X320" s="112"/>
      <c r="Y320" s="112"/>
      <c r="Z320" s="112"/>
    </row>
    <row r="321" spans="1:26">
      <c r="A321" s="112"/>
      <c r="B321" s="112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2"/>
      <c r="Q321" s="112"/>
      <c r="R321" s="112"/>
      <c r="S321" s="112"/>
      <c r="T321" s="112"/>
      <c r="U321" s="112"/>
      <c r="V321" s="112"/>
      <c r="W321" s="112"/>
      <c r="X321" s="112"/>
      <c r="Y321" s="112"/>
      <c r="Z321" s="112"/>
    </row>
    <row r="322" spans="1:26">
      <c r="A322" s="112"/>
      <c r="B322" s="112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2"/>
      <c r="Q322" s="112"/>
      <c r="R322" s="112"/>
      <c r="S322" s="112"/>
      <c r="T322" s="112"/>
      <c r="U322" s="112"/>
      <c r="V322" s="112"/>
      <c r="W322" s="112"/>
      <c r="X322" s="112"/>
      <c r="Y322" s="112"/>
      <c r="Z322" s="112"/>
    </row>
    <row r="323" spans="1:26">
      <c r="A323" s="112"/>
      <c r="B323" s="112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2"/>
      <c r="Q323" s="112"/>
      <c r="R323" s="112"/>
      <c r="S323" s="112"/>
      <c r="T323" s="112"/>
      <c r="U323" s="112"/>
      <c r="V323" s="112"/>
      <c r="W323" s="112"/>
      <c r="X323" s="112"/>
      <c r="Y323" s="112"/>
      <c r="Z323" s="112"/>
    </row>
    <row r="324" spans="1:26">
      <c r="A324" s="112"/>
      <c r="B324" s="112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2"/>
      <c r="Q324" s="112"/>
      <c r="R324" s="112"/>
      <c r="S324" s="112"/>
      <c r="T324" s="112"/>
      <c r="U324" s="112"/>
      <c r="V324" s="112"/>
      <c r="W324" s="112"/>
      <c r="X324" s="112"/>
      <c r="Y324" s="112"/>
      <c r="Z324" s="112"/>
    </row>
    <row r="325" spans="1:26">
      <c r="A325" s="112"/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2"/>
      <c r="Q325" s="112"/>
      <c r="R325" s="112"/>
      <c r="S325" s="112"/>
      <c r="T325" s="112"/>
      <c r="U325" s="112"/>
      <c r="V325" s="112"/>
      <c r="W325" s="112"/>
      <c r="X325" s="112"/>
      <c r="Y325" s="112"/>
      <c r="Z325" s="112"/>
    </row>
    <row r="326" spans="1:26">
      <c r="A326" s="112"/>
      <c r="B326" s="112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112"/>
    </row>
    <row r="327" spans="1:26">
      <c r="A327" s="112"/>
      <c r="B327" s="112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2"/>
      <c r="Q327" s="112"/>
      <c r="R327" s="112"/>
      <c r="S327" s="112"/>
      <c r="T327" s="112"/>
      <c r="U327" s="112"/>
      <c r="V327" s="112"/>
      <c r="W327" s="112"/>
      <c r="X327" s="112"/>
      <c r="Y327" s="112"/>
      <c r="Z327" s="112"/>
    </row>
    <row r="328" spans="1:26">
      <c r="A328" s="112"/>
      <c r="B328" s="112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2"/>
      <c r="Q328" s="112"/>
      <c r="R328" s="112"/>
      <c r="S328" s="112"/>
      <c r="T328" s="112"/>
      <c r="U328" s="112"/>
      <c r="V328" s="112"/>
      <c r="W328" s="112"/>
      <c r="X328" s="112"/>
      <c r="Y328" s="112"/>
      <c r="Z328" s="112"/>
    </row>
    <row r="329" spans="1:26">
      <c r="A329" s="112"/>
      <c r="B329" s="112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2"/>
      <c r="Q329" s="112"/>
      <c r="R329" s="112"/>
      <c r="S329" s="112"/>
      <c r="T329" s="112"/>
      <c r="U329" s="112"/>
      <c r="V329" s="112"/>
      <c r="W329" s="112"/>
      <c r="X329" s="112"/>
      <c r="Y329" s="112"/>
      <c r="Z329" s="112"/>
    </row>
    <row r="330" spans="1:26">
      <c r="A330" s="112"/>
      <c r="B330" s="112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2"/>
      <c r="Q330" s="112"/>
      <c r="R330" s="112"/>
      <c r="S330" s="112"/>
      <c r="T330" s="112"/>
      <c r="U330" s="112"/>
      <c r="V330" s="112"/>
      <c r="W330" s="112"/>
      <c r="X330" s="112"/>
      <c r="Y330" s="112"/>
      <c r="Z330" s="112"/>
    </row>
    <row r="331" spans="1:26">
      <c r="A331" s="112"/>
      <c r="B331" s="112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2"/>
      <c r="Q331" s="112"/>
      <c r="R331" s="112"/>
      <c r="S331" s="112"/>
      <c r="T331" s="112"/>
      <c r="U331" s="112"/>
      <c r="V331" s="112"/>
      <c r="W331" s="112"/>
      <c r="X331" s="112"/>
      <c r="Y331" s="112"/>
      <c r="Z331" s="112"/>
    </row>
    <row r="332" spans="1:26">
      <c r="A332" s="112"/>
      <c r="B332" s="112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12"/>
    </row>
    <row r="333" spans="1:26">
      <c r="A333" s="112"/>
      <c r="B333" s="112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12"/>
    </row>
    <row r="334" spans="1:26">
      <c r="A334" s="112"/>
      <c r="B334" s="112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2"/>
      <c r="Q334" s="112"/>
      <c r="R334" s="112"/>
      <c r="S334" s="112"/>
      <c r="T334" s="112"/>
      <c r="U334" s="112"/>
      <c r="V334" s="112"/>
      <c r="W334" s="112"/>
      <c r="X334" s="112"/>
      <c r="Y334" s="112"/>
      <c r="Z334" s="112"/>
    </row>
    <row r="335" spans="1:26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  <c r="Z335" s="112"/>
    </row>
    <row r="336" spans="1:26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  <c r="Z336" s="112"/>
    </row>
    <row r="337" spans="1:26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  <c r="Z337" s="112"/>
    </row>
    <row r="338" spans="1:26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  <c r="Z338" s="112"/>
    </row>
    <row r="339" spans="1:26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  <c r="Z339" s="112"/>
    </row>
    <row r="340" spans="1:26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</row>
    <row r="341" spans="1:26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  <c r="Z341" s="112"/>
    </row>
    <row r="342" spans="1:26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112"/>
    </row>
    <row r="343" spans="1:26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  <c r="Z343" s="112"/>
    </row>
    <row r="344" spans="1:26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  <c r="Z344" s="112"/>
    </row>
    <row r="345" spans="1:26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  <c r="Z345" s="112"/>
    </row>
    <row r="346" spans="1:26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  <c r="Z346" s="112"/>
    </row>
    <row r="347" spans="1:26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  <c r="Z347" s="112"/>
    </row>
    <row r="348" spans="1:26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12"/>
    </row>
    <row r="349" spans="1:26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12"/>
    </row>
    <row r="350" spans="1:26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  <c r="Z350" s="112"/>
    </row>
    <row r="351" spans="1:26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  <c r="Z351" s="112"/>
    </row>
    <row r="352" spans="1:26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  <c r="Z352" s="112"/>
    </row>
    <row r="353" spans="1:26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  <c r="Z353" s="112"/>
    </row>
    <row r="354" spans="1:26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  <c r="Z354" s="112"/>
    </row>
    <row r="355" spans="1:26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  <c r="Z355" s="112"/>
    </row>
    <row r="356" spans="1:26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  <c r="Z356" s="112"/>
    </row>
    <row r="357" spans="1:26">
      <c r="A357" s="112"/>
      <c r="B357" s="112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2"/>
      <c r="U357" s="112"/>
      <c r="V357" s="112"/>
      <c r="W357" s="112"/>
      <c r="X357" s="112"/>
      <c r="Y357" s="112"/>
      <c r="Z357" s="112"/>
    </row>
    <row r="358" spans="1:26">
      <c r="A358" s="112"/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2"/>
      <c r="Z358" s="112"/>
    </row>
    <row r="359" spans="1:26">
      <c r="A359" s="112"/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2"/>
      <c r="Q359" s="112"/>
      <c r="R359" s="112"/>
      <c r="S359" s="112"/>
      <c r="T359" s="112"/>
      <c r="U359" s="112"/>
      <c r="V359" s="112"/>
      <c r="W359" s="112"/>
      <c r="X359" s="112"/>
      <c r="Y359" s="112"/>
      <c r="Z359" s="112"/>
    </row>
    <row r="360" spans="1:26">
      <c r="A360" s="112"/>
      <c r="B360" s="112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2"/>
      <c r="Q360" s="112"/>
      <c r="R360" s="112"/>
      <c r="S360" s="112"/>
      <c r="T360" s="112"/>
      <c r="U360" s="112"/>
      <c r="V360" s="112"/>
      <c r="W360" s="112"/>
      <c r="X360" s="112"/>
      <c r="Y360" s="112"/>
      <c r="Z360" s="112"/>
    </row>
    <row r="361" spans="1:26">
      <c r="A361" s="112"/>
      <c r="B361" s="112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2"/>
      <c r="Q361" s="112"/>
      <c r="R361" s="112"/>
      <c r="S361" s="112"/>
      <c r="T361" s="112"/>
      <c r="U361" s="112"/>
      <c r="V361" s="112"/>
      <c r="W361" s="112"/>
      <c r="X361" s="112"/>
      <c r="Y361" s="112"/>
      <c r="Z361" s="112"/>
    </row>
    <row r="362" spans="1:26">
      <c r="A362" s="112"/>
      <c r="B362" s="112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2"/>
      <c r="Q362" s="112"/>
      <c r="R362" s="112"/>
      <c r="S362" s="112"/>
      <c r="T362" s="112"/>
      <c r="U362" s="112"/>
      <c r="V362" s="112"/>
      <c r="W362" s="112"/>
      <c r="X362" s="112"/>
      <c r="Y362" s="112"/>
      <c r="Z362" s="112"/>
    </row>
    <row r="363" spans="1:26">
      <c r="A363" s="112"/>
      <c r="B363" s="112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2"/>
      <c r="Q363" s="112"/>
      <c r="R363" s="112"/>
      <c r="S363" s="112"/>
      <c r="T363" s="112"/>
      <c r="U363" s="112"/>
      <c r="V363" s="112"/>
      <c r="W363" s="112"/>
      <c r="X363" s="112"/>
      <c r="Y363" s="112"/>
      <c r="Z363" s="112"/>
    </row>
    <row r="364" spans="1:26">
      <c r="A364" s="112"/>
      <c r="B364" s="112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2"/>
      <c r="Q364" s="112"/>
      <c r="R364" s="112"/>
      <c r="S364" s="112"/>
      <c r="T364" s="112"/>
      <c r="U364" s="112"/>
      <c r="V364" s="112"/>
      <c r="W364" s="112"/>
      <c r="X364" s="112"/>
      <c r="Y364" s="112"/>
      <c r="Z364" s="112"/>
    </row>
    <row r="365" spans="1:26">
      <c r="A365" s="112"/>
      <c r="B365" s="112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2"/>
      <c r="Q365" s="112"/>
      <c r="R365" s="112"/>
      <c r="S365" s="112"/>
      <c r="T365" s="112"/>
      <c r="U365" s="112"/>
      <c r="V365" s="112"/>
      <c r="W365" s="112"/>
      <c r="X365" s="112"/>
      <c r="Y365" s="112"/>
      <c r="Z365" s="112"/>
    </row>
    <row r="366" spans="1:26">
      <c r="A366" s="112"/>
      <c r="B366" s="112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2"/>
      <c r="Q366" s="112"/>
      <c r="R366" s="112"/>
      <c r="S366" s="112"/>
      <c r="T366" s="112"/>
      <c r="U366" s="112"/>
      <c r="V366" s="112"/>
      <c r="W366" s="112"/>
      <c r="X366" s="112"/>
      <c r="Y366" s="112"/>
      <c r="Z366" s="112"/>
    </row>
    <row r="367" spans="1:26">
      <c r="A367" s="112"/>
      <c r="B367" s="112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2"/>
      <c r="Q367" s="112"/>
      <c r="R367" s="112"/>
      <c r="S367" s="112"/>
      <c r="T367" s="112"/>
      <c r="U367" s="112"/>
      <c r="V367" s="112"/>
      <c r="W367" s="112"/>
      <c r="X367" s="112"/>
      <c r="Y367" s="112"/>
      <c r="Z367" s="112"/>
    </row>
    <row r="368" spans="1:26">
      <c r="A368" s="112"/>
      <c r="B368" s="112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2"/>
      <c r="Q368" s="112"/>
      <c r="R368" s="112"/>
      <c r="S368" s="112"/>
      <c r="T368" s="112"/>
      <c r="U368" s="112"/>
      <c r="V368" s="112"/>
      <c r="W368" s="112"/>
      <c r="X368" s="112"/>
      <c r="Y368" s="112"/>
      <c r="Z368" s="112"/>
    </row>
    <row r="369" spans="1:26">
      <c r="A369" s="112"/>
      <c r="B369" s="112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2"/>
      <c r="U369" s="112"/>
      <c r="V369" s="112"/>
      <c r="W369" s="112"/>
      <c r="X369" s="112"/>
      <c r="Y369" s="112"/>
      <c r="Z369" s="112"/>
    </row>
    <row r="370" spans="1:26">
      <c r="A370" s="112"/>
      <c r="B370" s="112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2"/>
      <c r="Q370" s="112"/>
      <c r="R370" s="112"/>
      <c r="S370" s="112"/>
      <c r="T370" s="112"/>
      <c r="U370" s="112"/>
      <c r="V370" s="112"/>
      <c r="W370" s="112"/>
      <c r="X370" s="112"/>
      <c r="Y370" s="112"/>
      <c r="Z370" s="112"/>
    </row>
    <row r="371" spans="1:26">
      <c r="A371" s="112"/>
      <c r="B371" s="112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2"/>
      <c r="Q371" s="112"/>
      <c r="R371" s="112"/>
      <c r="S371" s="112"/>
      <c r="T371" s="112"/>
      <c r="U371" s="112"/>
      <c r="V371" s="112"/>
      <c r="W371" s="112"/>
      <c r="X371" s="112"/>
      <c r="Y371" s="112"/>
      <c r="Z371" s="112"/>
    </row>
    <row r="372" spans="1:26">
      <c r="A372" s="112"/>
      <c r="B372" s="112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2"/>
      <c r="Q372" s="112"/>
      <c r="R372" s="112"/>
      <c r="S372" s="112"/>
      <c r="T372" s="112"/>
      <c r="U372" s="112"/>
      <c r="V372" s="112"/>
      <c r="W372" s="112"/>
      <c r="X372" s="112"/>
      <c r="Y372" s="112"/>
      <c r="Z372" s="112"/>
    </row>
    <row r="373" spans="1:26">
      <c r="A373" s="112"/>
      <c r="B373" s="112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2"/>
      <c r="Q373" s="112"/>
      <c r="R373" s="112"/>
      <c r="S373" s="112"/>
      <c r="T373" s="112"/>
      <c r="U373" s="112"/>
      <c r="V373" s="112"/>
      <c r="W373" s="112"/>
      <c r="X373" s="112"/>
      <c r="Y373" s="112"/>
      <c r="Z373" s="112"/>
    </row>
    <row r="374" spans="1:26">
      <c r="A374" s="112"/>
      <c r="B374" s="112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2"/>
      <c r="Q374" s="112"/>
      <c r="R374" s="112"/>
      <c r="S374" s="112"/>
      <c r="T374" s="112"/>
      <c r="U374" s="112"/>
      <c r="V374" s="112"/>
      <c r="W374" s="112"/>
      <c r="X374" s="112"/>
      <c r="Y374" s="112"/>
      <c r="Z374" s="112"/>
    </row>
    <row r="375" spans="1:26">
      <c r="A375" s="112"/>
      <c r="B375" s="112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2"/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</row>
    <row r="376" spans="1:26">
      <c r="A376" s="112"/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2"/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</row>
    <row r="377" spans="1:26">
      <c r="A377" s="112"/>
      <c r="B377" s="112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2"/>
      <c r="Q377" s="112"/>
      <c r="R377" s="112"/>
      <c r="S377" s="112"/>
      <c r="T377" s="112"/>
      <c r="U377" s="112"/>
      <c r="V377" s="112"/>
      <c r="W377" s="112"/>
      <c r="X377" s="112"/>
      <c r="Y377" s="112"/>
      <c r="Z377" s="112"/>
    </row>
    <row r="378" spans="1:26">
      <c r="A378" s="112"/>
      <c r="B378" s="112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2"/>
      <c r="Y378" s="112"/>
      <c r="Z378" s="112"/>
    </row>
    <row r="379" spans="1:26">
      <c r="A379" s="112"/>
      <c r="B379" s="112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</row>
    <row r="380" spans="1:26">
      <c r="A380" s="112"/>
      <c r="B380" s="112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2"/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</row>
    <row r="381" spans="1:26">
      <c r="A381" s="112"/>
      <c r="B381" s="112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2"/>
      <c r="U381" s="112"/>
      <c r="V381" s="112"/>
      <c r="W381" s="112"/>
      <c r="X381" s="112"/>
      <c r="Y381" s="112"/>
      <c r="Z381" s="112"/>
    </row>
    <row r="382" spans="1:26">
      <c r="A382" s="112"/>
      <c r="B382" s="112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2"/>
      <c r="Z382" s="112"/>
    </row>
    <row r="383" spans="1:26">
      <c r="A383" s="112"/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2"/>
      <c r="Z383" s="112"/>
    </row>
    <row r="384" spans="1:26">
      <c r="A384" s="112"/>
      <c r="B384" s="112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</row>
    <row r="385" spans="1:26">
      <c r="A385" s="112"/>
      <c r="B385" s="112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</row>
    <row r="386" spans="1:26">
      <c r="A386" s="112"/>
      <c r="B386" s="112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</row>
    <row r="387" spans="1:26">
      <c r="A387" s="112"/>
      <c r="B387" s="112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2"/>
      <c r="Y387" s="112"/>
      <c r="Z387" s="112"/>
    </row>
    <row r="388" spans="1:26">
      <c r="A388" s="112"/>
      <c r="B388" s="112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</row>
    <row r="389" spans="1:26">
      <c r="A389" s="112"/>
      <c r="B389" s="112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</row>
    <row r="390" spans="1:26">
      <c r="A390" s="112"/>
      <c r="B390" s="112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</row>
    <row r="391" spans="1:26">
      <c r="A391" s="112"/>
      <c r="B391" s="112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</row>
    <row r="392" spans="1:26">
      <c r="A392" s="112"/>
      <c r="B392" s="112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2"/>
      <c r="Q392" s="112"/>
      <c r="R392" s="112"/>
      <c r="S392" s="112"/>
      <c r="T392" s="112"/>
      <c r="U392" s="112"/>
      <c r="V392" s="112"/>
      <c r="W392" s="112"/>
      <c r="X392" s="112"/>
      <c r="Y392" s="112"/>
      <c r="Z392" s="112"/>
    </row>
    <row r="393" spans="1:26">
      <c r="A393" s="112"/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2"/>
      <c r="Z393" s="112"/>
    </row>
    <row r="394" spans="1:26">
      <c r="A394" s="112"/>
      <c r="B394" s="112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2"/>
      <c r="Q394" s="112"/>
      <c r="R394" s="112"/>
      <c r="S394" s="112"/>
      <c r="T394" s="112"/>
      <c r="U394" s="112"/>
      <c r="V394" s="112"/>
      <c r="W394" s="112"/>
      <c r="X394" s="112"/>
      <c r="Y394" s="112"/>
      <c r="Z394" s="112"/>
    </row>
    <row r="395" spans="1:26">
      <c r="A395" s="112"/>
      <c r="B395" s="112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2"/>
      <c r="Q395" s="112"/>
      <c r="R395" s="112"/>
      <c r="S395" s="112"/>
      <c r="T395" s="112"/>
      <c r="U395" s="112"/>
      <c r="V395" s="112"/>
      <c r="W395" s="112"/>
      <c r="X395" s="112"/>
      <c r="Y395" s="112"/>
      <c r="Z395" s="112"/>
    </row>
    <row r="396" spans="1:26">
      <c r="A396" s="112"/>
      <c r="B396" s="112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2"/>
      <c r="Q396" s="112"/>
      <c r="R396" s="112"/>
      <c r="S396" s="112"/>
      <c r="T396" s="112"/>
      <c r="U396" s="112"/>
      <c r="V396" s="112"/>
      <c r="W396" s="112"/>
      <c r="X396" s="112"/>
      <c r="Y396" s="112"/>
      <c r="Z396" s="112"/>
    </row>
    <row r="397" spans="1:26">
      <c r="A397" s="112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2"/>
      <c r="Q397" s="112"/>
      <c r="R397" s="112"/>
      <c r="S397" s="112"/>
      <c r="T397" s="112"/>
      <c r="U397" s="112"/>
      <c r="V397" s="112"/>
      <c r="W397" s="112"/>
      <c r="X397" s="112"/>
      <c r="Y397" s="112"/>
      <c r="Z397" s="112"/>
    </row>
    <row r="398" spans="1:26">
      <c r="A398" s="112"/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2"/>
      <c r="Z398" s="112"/>
    </row>
    <row r="399" spans="1:26">
      <c r="A399" s="112"/>
      <c r="B399" s="112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2"/>
      <c r="Q399" s="112"/>
      <c r="R399" s="112"/>
      <c r="S399" s="112"/>
      <c r="T399" s="112"/>
      <c r="U399" s="112"/>
      <c r="V399" s="112"/>
      <c r="W399" s="112"/>
      <c r="X399" s="112"/>
      <c r="Y399" s="112"/>
      <c r="Z399" s="112"/>
    </row>
    <row r="400" spans="1:26">
      <c r="A400" s="112"/>
      <c r="B400" s="112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2"/>
      <c r="Q400" s="112"/>
      <c r="R400" s="112"/>
      <c r="S400" s="112"/>
      <c r="T400" s="112"/>
      <c r="U400" s="112"/>
      <c r="V400" s="112"/>
      <c r="W400" s="112"/>
      <c r="X400" s="112"/>
      <c r="Y400" s="112"/>
      <c r="Z400" s="112"/>
    </row>
    <row r="401" spans="1:26">
      <c r="A401" s="112"/>
      <c r="B401" s="112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2"/>
      <c r="Q401" s="112"/>
      <c r="R401" s="112"/>
      <c r="S401" s="112"/>
      <c r="T401" s="112"/>
      <c r="U401" s="112"/>
      <c r="V401" s="112"/>
      <c r="W401" s="112"/>
      <c r="X401" s="112"/>
      <c r="Y401" s="112"/>
      <c r="Z401" s="112"/>
    </row>
    <row r="402" spans="1:26">
      <c r="A402" s="112"/>
      <c r="B402" s="112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2"/>
      <c r="Q402" s="112"/>
      <c r="R402" s="112"/>
      <c r="S402" s="112"/>
      <c r="T402" s="112"/>
      <c r="U402" s="112"/>
      <c r="V402" s="112"/>
      <c r="W402" s="112"/>
      <c r="X402" s="112"/>
      <c r="Y402" s="112"/>
      <c r="Z402" s="112"/>
    </row>
    <row r="403" spans="1:26">
      <c r="A403" s="112"/>
      <c r="B403" s="112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2"/>
      <c r="Q403" s="112"/>
      <c r="R403" s="112"/>
      <c r="S403" s="112"/>
      <c r="T403" s="112"/>
      <c r="U403" s="112"/>
      <c r="V403" s="112"/>
      <c r="W403" s="112"/>
      <c r="X403" s="112"/>
      <c r="Y403" s="112"/>
      <c r="Z403" s="112"/>
    </row>
    <row r="404" spans="1:26">
      <c r="A404" s="112"/>
      <c r="B404" s="112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2"/>
      <c r="Q404" s="112"/>
      <c r="R404" s="112"/>
      <c r="S404" s="112"/>
      <c r="T404" s="112"/>
      <c r="U404" s="112"/>
      <c r="V404" s="112"/>
      <c r="W404" s="112"/>
      <c r="X404" s="112"/>
      <c r="Y404" s="112"/>
      <c r="Z404" s="112"/>
    </row>
    <row r="405" spans="1:26">
      <c r="A405" s="112"/>
      <c r="B405" s="112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2"/>
      <c r="Q405" s="112"/>
      <c r="R405" s="112"/>
      <c r="S405" s="112"/>
      <c r="T405" s="112"/>
      <c r="U405" s="112"/>
      <c r="V405" s="112"/>
      <c r="W405" s="112"/>
      <c r="X405" s="112"/>
      <c r="Y405" s="112"/>
      <c r="Z405" s="112"/>
    </row>
    <row r="406" spans="1:26">
      <c r="A406" s="112"/>
      <c r="B406" s="112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2"/>
      <c r="Q406" s="112"/>
      <c r="R406" s="112"/>
      <c r="S406" s="112"/>
      <c r="T406" s="112"/>
      <c r="U406" s="112"/>
      <c r="V406" s="112"/>
      <c r="W406" s="112"/>
      <c r="X406" s="112"/>
      <c r="Y406" s="112"/>
      <c r="Z406" s="112"/>
    </row>
    <row r="407" spans="1:26">
      <c r="A407" s="112"/>
      <c r="B407" s="112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2"/>
      <c r="Q407" s="112"/>
      <c r="R407" s="112"/>
      <c r="S407" s="112"/>
      <c r="T407" s="112"/>
      <c r="U407" s="112"/>
      <c r="V407" s="112"/>
      <c r="W407" s="112"/>
      <c r="X407" s="112"/>
      <c r="Y407" s="112"/>
      <c r="Z407" s="112"/>
    </row>
    <row r="408" spans="1:26">
      <c r="A408" s="112"/>
      <c r="B408" s="112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</row>
    <row r="409" spans="1:26">
      <c r="A409" s="112"/>
      <c r="B409" s="112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2"/>
      <c r="Q409" s="112"/>
      <c r="R409" s="112"/>
      <c r="S409" s="112"/>
      <c r="T409" s="112"/>
      <c r="U409" s="112"/>
      <c r="V409" s="112"/>
      <c r="W409" s="112"/>
      <c r="X409" s="112"/>
      <c r="Y409" s="112"/>
      <c r="Z409" s="112"/>
    </row>
    <row r="410" spans="1:26">
      <c r="A410" s="112"/>
      <c r="B410" s="112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2"/>
      <c r="Q410" s="112"/>
      <c r="R410" s="112"/>
      <c r="S410" s="112"/>
      <c r="T410" s="112"/>
      <c r="U410" s="112"/>
      <c r="V410" s="112"/>
      <c r="W410" s="112"/>
      <c r="X410" s="112"/>
      <c r="Y410" s="112"/>
      <c r="Z410" s="112"/>
    </row>
    <row r="411" spans="1:26">
      <c r="A411" s="112"/>
      <c r="B411" s="112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</row>
    <row r="412" spans="1:26">
      <c r="A412" s="112"/>
      <c r="B412" s="112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2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</row>
    <row r="413" spans="1:26">
      <c r="A413" s="112"/>
      <c r="B413" s="112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2"/>
      <c r="Q413" s="112"/>
      <c r="R413" s="112"/>
      <c r="S413" s="112"/>
      <c r="T413" s="112"/>
      <c r="U413" s="112"/>
      <c r="V413" s="112"/>
      <c r="W413" s="112"/>
      <c r="X413" s="112"/>
      <c r="Y413" s="112"/>
      <c r="Z413" s="112"/>
    </row>
    <row r="414" spans="1:26">
      <c r="A414" s="112"/>
      <c r="B414" s="112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</row>
    <row r="415" spans="1:26">
      <c r="A415" s="112"/>
      <c r="B415" s="112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2"/>
      <c r="Q415" s="112"/>
      <c r="R415" s="112"/>
      <c r="S415" s="112"/>
      <c r="T415" s="112"/>
      <c r="U415" s="112"/>
      <c r="V415" s="112"/>
      <c r="W415" s="112"/>
      <c r="X415" s="112"/>
      <c r="Y415" s="112"/>
      <c r="Z415" s="112"/>
    </row>
    <row r="416" spans="1:26">
      <c r="A416" s="112"/>
      <c r="B416" s="112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</row>
    <row r="417" spans="1:26">
      <c r="A417" s="112"/>
      <c r="B417" s="112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</row>
    <row r="418" spans="1:26">
      <c r="A418" s="112"/>
      <c r="B418" s="112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2"/>
      <c r="Q418" s="112"/>
      <c r="R418" s="112"/>
      <c r="S418" s="112"/>
      <c r="T418" s="112"/>
      <c r="U418" s="112"/>
      <c r="V418" s="112"/>
      <c r="W418" s="112"/>
      <c r="X418" s="112"/>
      <c r="Y418" s="112"/>
      <c r="Z418" s="112"/>
    </row>
    <row r="419" spans="1:26">
      <c r="A419" s="112"/>
      <c r="B419" s="112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2"/>
      <c r="Q419" s="112"/>
      <c r="R419" s="112"/>
      <c r="S419" s="112"/>
      <c r="T419" s="112"/>
      <c r="U419" s="112"/>
      <c r="V419" s="112"/>
      <c r="W419" s="112"/>
      <c r="X419" s="112"/>
      <c r="Y419" s="112"/>
      <c r="Z419" s="112"/>
    </row>
    <row r="420" spans="1:26">
      <c r="A420" s="112"/>
      <c r="B420" s="112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2"/>
      <c r="Q420" s="112"/>
      <c r="R420" s="112"/>
      <c r="S420" s="112"/>
      <c r="T420" s="112"/>
      <c r="U420" s="112"/>
      <c r="V420" s="112"/>
      <c r="W420" s="112"/>
      <c r="X420" s="112"/>
      <c r="Y420" s="112"/>
      <c r="Z420" s="112"/>
    </row>
    <row r="421" spans="1:26">
      <c r="A421" s="112"/>
      <c r="B421" s="112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2"/>
      <c r="Q421" s="112"/>
      <c r="R421" s="112"/>
      <c r="S421" s="112"/>
      <c r="T421" s="112"/>
      <c r="U421" s="112"/>
      <c r="V421" s="112"/>
      <c r="W421" s="112"/>
      <c r="X421" s="112"/>
      <c r="Y421" s="112"/>
      <c r="Z421" s="112"/>
    </row>
    <row r="422" spans="1:26">
      <c r="A422" s="112"/>
      <c r="B422" s="112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</row>
    <row r="423" spans="1:26">
      <c r="A423" s="112"/>
      <c r="B423" s="112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</row>
    <row r="424" spans="1:26">
      <c r="A424" s="112"/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</row>
    <row r="425" spans="1:26">
      <c r="A425" s="112"/>
      <c r="B425" s="112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</row>
    <row r="426" spans="1:26">
      <c r="A426" s="112"/>
      <c r="B426" s="112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2"/>
      <c r="Q426" s="112"/>
      <c r="R426" s="112"/>
      <c r="S426" s="112"/>
      <c r="T426" s="112"/>
      <c r="U426" s="112"/>
      <c r="V426" s="112"/>
      <c r="W426" s="112"/>
      <c r="X426" s="112"/>
      <c r="Y426" s="112"/>
      <c r="Z426" s="112"/>
    </row>
    <row r="427" spans="1:26">
      <c r="A427" s="112"/>
      <c r="B427" s="112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2"/>
      <c r="Q427" s="112"/>
      <c r="R427" s="112"/>
      <c r="S427" s="112"/>
      <c r="T427" s="112"/>
      <c r="U427" s="112"/>
      <c r="V427" s="112"/>
      <c r="W427" s="112"/>
      <c r="X427" s="112"/>
      <c r="Y427" s="112"/>
      <c r="Z427" s="112"/>
    </row>
    <row r="428" spans="1:26">
      <c r="A428" s="112"/>
      <c r="B428" s="112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2"/>
      <c r="Q428" s="112"/>
      <c r="R428" s="112"/>
      <c r="S428" s="112"/>
      <c r="T428" s="112"/>
      <c r="U428" s="112"/>
      <c r="V428" s="112"/>
      <c r="W428" s="112"/>
      <c r="X428" s="112"/>
      <c r="Y428" s="112"/>
      <c r="Z428" s="112"/>
    </row>
    <row r="429" spans="1:26">
      <c r="A429" s="112"/>
      <c r="B429" s="112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2"/>
      <c r="Q429" s="112"/>
      <c r="R429" s="112"/>
      <c r="S429" s="112"/>
      <c r="T429" s="112"/>
      <c r="U429" s="112"/>
      <c r="V429" s="112"/>
      <c r="W429" s="112"/>
      <c r="X429" s="112"/>
      <c r="Y429" s="112"/>
      <c r="Z429" s="112"/>
    </row>
    <row r="430" spans="1:26">
      <c r="A430" s="112"/>
      <c r="B430" s="112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2"/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</row>
    <row r="431" spans="1:26">
      <c r="A431" s="112"/>
      <c r="B431" s="112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2"/>
      <c r="Q431" s="112"/>
      <c r="R431" s="112"/>
      <c r="S431" s="112"/>
      <c r="T431" s="112"/>
      <c r="U431" s="112"/>
      <c r="V431" s="112"/>
      <c r="W431" s="112"/>
      <c r="X431" s="112"/>
      <c r="Y431" s="112"/>
      <c r="Z431" s="112"/>
    </row>
    <row r="432" spans="1:26">
      <c r="A432" s="112"/>
      <c r="B432" s="112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</row>
    <row r="433" spans="1:26">
      <c r="A433" s="112"/>
      <c r="B433" s="112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</row>
    <row r="434" spans="1:26">
      <c r="A434" s="112"/>
      <c r="B434" s="112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2"/>
      <c r="Q434" s="112"/>
      <c r="R434" s="112"/>
      <c r="S434" s="112"/>
      <c r="T434" s="112"/>
      <c r="U434" s="112"/>
      <c r="V434" s="112"/>
      <c r="W434" s="112"/>
      <c r="X434" s="112"/>
      <c r="Y434" s="112"/>
      <c r="Z434" s="112"/>
    </row>
    <row r="435" spans="1:26">
      <c r="A435" s="112"/>
      <c r="B435" s="112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2"/>
      <c r="Q435" s="112"/>
      <c r="R435" s="112"/>
      <c r="S435" s="112"/>
      <c r="T435" s="112"/>
      <c r="U435" s="112"/>
      <c r="V435" s="112"/>
      <c r="W435" s="112"/>
      <c r="X435" s="112"/>
      <c r="Y435" s="112"/>
      <c r="Z435" s="112"/>
    </row>
    <row r="436" spans="1:26">
      <c r="A436" s="112"/>
      <c r="B436" s="112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</row>
    <row r="437" spans="1:26">
      <c r="A437" s="112"/>
      <c r="B437" s="112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2"/>
      <c r="Q437" s="112"/>
      <c r="R437" s="112"/>
      <c r="S437" s="112"/>
      <c r="T437" s="112"/>
      <c r="U437" s="112"/>
      <c r="V437" s="112"/>
      <c r="W437" s="112"/>
      <c r="X437" s="112"/>
      <c r="Y437" s="112"/>
      <c r="Z437" s="112"/>
    </row>
    <row r="438" spans="1:26">
      <c r="A438" s="112"/>
      <c r="B438" s="112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2"/>
      <c r="Q438" s="112"/>
      <c r="R438" s="112"/>
      <c r="S438" s="112"/>
      <c r="T438" s="112"/>
      <c r="U438" s="112"/>
      <c r="V438" s="112"/>
      <c r="W438" s="112"/>
      <c r="X438" s="112"/>
      <c r="Y438" s="112"/>
      <c r="Z438" s="112"/>
    </row>
    <row r="439" spans="1:26">
      <c r="A439" s="112"/>
      <c r="B439" s="112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</row>
    <row r="440" spans="1:26">
      <c r="A440" s="112"/>
      <c r="B440" s="112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2"/>
      <c r="Q440" s="112"/>
      <c r="R440" s="112"/>
      <c r="S440" s="112"/>
      <c r="T440" s="112"/>
      <c r="U440" s="112"/>
      <c r="V440" s="112"/>
      <c r="W440" s="112"/>
      <c r="X440" s="112"/>
      <c r="Y440" s="112"/>
      <c r="Z440" s="112"/>
    </row>
    <row r="441" spans="1:26">
      <c r="A441" s="112"/>
      <c r="B441" s="112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</row>
    <row r="442" spans="1:26">
      <c r="A442" s="112"/>
      <c r="B442" s="112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</row>
    <row r="443" spans="1:26">
      <c r="A443" s="112"/>
      <c r="B443" s="112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2"/>
      <c r="Q443" s="112"/>
      <c r="R443" s="112"/>
      <c r="S443" s="112"/>
      <c r="T443" s="112"/>
      <c r="U443" s="112"/>
      <c r="V443" s="112"/>
      <c r="W443" s="112"/>
      <c r="X443" s="112"/>
      <c r="Y443" s="112"/>
      <c r="Z443" s="112"/>
    </row>
    <row r="444" spans="1:26">
      <c r="A444" s="112"/>
      <c r="B444" s="112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2"/>
      <c r="Q444" s="112"/>
      <c r="R444" s="112"/>
      <c r="S444" s="112"/>
      <c r="T444" s="112"/>
      <c r="U444" s="112"/>
      <c r="V444" s="112"/>
      <c r="W444" s="112"/>
      <c r="X444" s="112"/>
      <c r="Y444" s="112"/>
      <c r="Z444" s="112"/>
    </row>
    <row r="445" spans="1:26">
      <c r="A445" s="112"/>
      <c r="B445" s="112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</row>
    <row r="446" spans="1:26">
      <c r="A446" s="112"/>
      <c r="B446" s="112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2"/>
      <c r="Q446" s="112"/>
      <c r="R446" s="112"/>
      <c r="S446" s="112"/>
      <c r="T446" s="112"/>
      <c r="U446" s="112"/>
      <c r="V446" s="112"/>
      <c r="W446" s="112"/>
      <c r="X446" s="112"/>
      <c r="Y446" s="112"/>
      <c r="Z446" s="112"/>
    </row>
    <row r="447" spans="1:26">
      <c r="A447" s="112"/>
      <c r="B447" s="112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2"/>
      <c r="Q447" s="112"/>
      <c r="R447" s="112"/>
      <c r="S447" s="112"/>
      <c r="T447" s="112"/>
      <c r="U447" s="112"/>
      <c r="V447" s="112"/>
      <c r="W447" s="112"/>
      <c r="X447" s="112"/>
      <c r="Y447" s="112"/>
      <c r="Z447" s="112"/>
    </row>
    <row r="448" spans="1:26">
      <c r="A448" s="112"/>
      <c r="B448" s="112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</row>
    <row r="449" spans="1:26">
      <c r="A449" s="112"/>
      <c r="B449" s="112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</row>
    <row r="450" spans="1:26">
      <c r="A450" s="112"/>
      <c r="B450" s="112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2"/>
      <c r="Q450" s="112"/>
      <c r="R450" s="112"/>
      <c r="S450" s="112"/>
      <c r="T450" s="112"/>
      <c r="U450" s="112"/>
      <c r="V450" s="112"/>
      <c r="W450" s="112"/>
      <c r="X450" s="112"/>
      <c r="Y450" s="112"/>
      <c r="Z450" s="112"/>
    </row>
    <row r="451" spans="1:26">
      <c r="A451" s="112"/>
      <c r="B451" s="112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2"/>
      <c r="Q451" s="112"/>
      <c r="R451" s="112"/>
      <c r="S451" s="112"/>
      <c r="T451" s="112"/>
      <c r="U451" s="112"/>
      <c r="V451" s="112"/>
      <c r="W451" s="112"/>
      <c r="X451" s="112"/>
      <c r="Y451" s="112"/>
      <c r="Z451" s="112"/>
    </row>
    <row r="452" spans="1:26">
      <c r="A452" s="112"/>
      <c r="B452" s="112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2"/>
      <c r="Q452" s="112"/>
      <c r="R452" s="112"/>
      <c r="S452" s="112"/>
      <c r="T452" s="112"/>
      <c r="U452" s="112"/>
      <c r="V452" s="112"/>
      <c r="W452" s="112"/>
      <c r="X452" s="112"/>
      <c r="Y452" s="112"/>
      <c r="Z452" s="112"/>
    </row>
    <row r="453" spans="1:26">
      <c r="A453" s="112"/>
      <c r="B453" s="112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</row>
    <row r="454" spans="1:26">
      <c r="A454" s="112"/>
      <c r="B454" s="112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2"/>
      <c r="Q454" s="112"/>
      <c r="R454" s="112"/>
      <c r="S454" s="112"/>
      <c r="T454" s="112"/>
      <c r="U454" s="112"/>
      <c r="V454" s="112"/>
      <c r="W454" s="112"/>
      <c r="X454" s="112"/>
      <c r="Y454" s="112"/>
      <c r="Z454" s="112"/>
    </row>
    <row r="455" spans="1:26">
      <c r="A455" s="112"/>
      <c r="B455" s="112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2"/>
      <c r="Q455" s="112"/>
      <c r="R455" s="112"/>
      <c r="S455" s="112"/>
      <c r="T455" s="112"/>
      <c r="U455" s="112"/>
      <c r="V455" s="112"/>
      <c r="W455" s="112"/>
      <c r="X455" s="112"/>
      <c r="Y455" s="112"/>
      <c r="Z455" s="112"/>
    </row>
    <row r="456" spans="1:26">
      <c r="A456" s="112"/>
      <c r="B456" s="112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2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</row>
    <row r="457" spans="1:26">
      <c r="A457" s="112"/>
      <c r="B457" s="112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2"/>
      <c r="Q457" s="112"/>
      <c r="R457" s="112"/>
      <c r="S457" s="112"/>
      <c r="T457" s="112"/>
      <c r="U457" s="112"/>
      <c r="V457" s="112"/>
      <c r="W457" s="112"/>
      <c r="X457" s="112"/>
      <c r="Y457" s="112"/>
      <c r="Z457" s="112"/>
    </row>
    <row r="458" spans="1:26">
      <c r="A458" s="112"/>
      <c r="B458" s="112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2"/>
      <c r="Q458" s="112"/>
      <c r="R458" s="112"/>
      <c r="S458" s="112"/>
      <c r="T458" s="112"/>
      <c r="U458" s="112"/>
      <c r="V458" s="112"/>
      <c r="W458" s="112"/>
      <c r="X458" s="112"/>
      <c r="Y458" s="112"/>
      <c r="Z458" s="112"/>
    </row>
    <row r="459" spans="1:26">
      <c r="A459" s="112"/>
      <c r="B459" s="112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</row>
    <row r="460" spans="1:26">
      <c r="A460" s="112"/>
      <c r="B460" s="112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2"/>
      <c r="Q460" s="112"/>
      <c r="R460" s="112"/>
      <c r="S460" s="112"/>
      <c r="T460" s="112"/>
      <c r="U460" s="112"/>
      <c r="V460" s="112"/>
      <c r="W460" s="112"/>
      <c r="X460" s="112"/>
      <c r="Y460" s="112"/>
      <c r="Z460" s="112"/>
    </row>
    <row r="461" spans="1:26">
      <c r="A461" s="112"/>
      <c r="B461" s="112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</row>
    <row r="462" spans="1:26">
      <c r="A462" s="112"/>
      <c r="B462" s="112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2"/>
      <c r="Q462" s="112"/>
      <c r="R462" s="112"/>
      <c r="S462" s="112"/>
      <c r="T462" s="112"/>
      <c r="U462" s="112"/>
      <c r="V462" s="112"/>
      <c r="W462" s="112"/>
      <c r="X462" s="112"/>
      <c r="Y462" s="112"/>
      <c r="Z462" s="112"/>
    </row>
    <row r="463" spans="1:26">
      <c r="A463" s="112"/>
      <c r="B463" s="112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2"/>
      <c r="Q463" s="112"/>
      <c r="R463" s="112"/>
      <c r="S463" s="112"/>
      <c r="T463" s="112"/>
      <c r="U463" s="112"/>
      <c r="V463" s="112"/>
      <c r="W463" s="112"/>
      <c r="X463" s="112"/>
      <c r="Y463" s="112"/>
      <c r="Z463" s="112"/>
    </row>
    <row r="464" spans="1:26">
      <c r="A464" s="112"/>
      <c r="B464" s="112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2"/>
      <c r="R464" s="112"/>
      <c r="S464" s="112"/>
      <c r="T464" s="112"/>
      <c r="U464" s="112"/>
      <c r="V464" s="112"/>
      <c r="W464" s="112"/>
      <c r="X464" s="112"/>
      <c r="Y464" s="112"/>
      <c r="Z464" s="112"/>
    </row>
    <row r="465" spans="1:26">
      <c r="A465" s="112"/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2"/>
      <c r="Q465" s="112"/>
      <c r="R465" s="112"/>
      <c r="S465" s="112"/>
      <c r="T465" s="112"/>
      <c r="U465" s="112"/>
      <c r="V465" s="112"/>
      <c r="W465" s="112"/>
      <c r="X465" s="112"/>
      <c r="Y465" s="112"/>
      <c r="Z465" s="112"/>
    </row>
    <row r="466" spans="1:26">
      <c r="A466" s="112"/>
      <c r="B466" s="112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2"/>
      <c r="Q466" s="112"/>
      <c r="R466" s="112"/>
      <c r="S466" s="112"/>
      <c r="T466" s="112"/>
      <c r="U466" s="112"/>
      <c r="V466" s="112"/>
      <c r="W466" s="112"/>
      <c r="X466" s="112"/>
      <c r="Y466" s="112"/>
      <c r="Z466" s="112"/>
    </row>
    <row r="467" spans="1:26">
      <c r="A467" s="112"/>
      <c r="B467" s="112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</row>
    <row r="468" spans="1:26">
      <c r="A468" s="112"/>
      <c r="B468" s="112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2"/>
      <c r="Q468" s="112"/>
      <c r="R468" s="112"/>
      <c r="S468" s="112"/>
      <c r="T468" s="112"/>
      <c r="U468" s="112"/>
      <c r="V468" s="112"/>
      <c r="W468" s="112"/>
      <c r="X468" s="112"/>
      <c r="Y468" s="112"/>
      <c r="Z468" s="112"/>
    </row>
    <row r="469" spans="1:26">
      <c r="A469" s="112"/>
      <c r="B469" s="112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</row>
    <row r="470" spans="1:26">
      <c r="A470" s="112"/>
      <c r="B470" s="112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2"/>
      <c r="Q470" s="112"/>
      <c r="R470" s="112"/>
      <c r="S470" s="112"/>
      <c r="T470" s="112"/>
      <c r="U470" s="112"/>
      <c r="V470" s="112"/>
      <c r="W470" s="112"/>
      <c r="X470" s="112"/>
      <c r="Y470" s="112"/>
      <c r="Z470" s="112"/>
    </row>
    <row r="471" spans="1:26">
      <c r="A471" s="112"/>
      <c r="B471" s="112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2"/>
      <c r="Q471" s="112"/>
      <c r="R471" s="112"/>
      <c r="S471" s="112"/>
      <c r="T471" s="112"/>
      <c r="U471" s="112"/>
      <c r="V471" s="112"/>
      <c r="W471" s="112"/>
      <c r="X471" s="112"/>
      <c r="Y471" s="112"/>
      <c r="Z471" s="112"/>
    </row>
    <row r="472" spans="1:26">
      <c r="A472" s="112"/>
      <c r="B472" s="112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2"/>
      <c r="Q472" s="112"/>
      <c r="R472" s="112"/>
      <c r="S472" s="112"/>
      <c r="T472" s="112"/>
      <c r="U472" s="112"/>
      <c r="V472" s="112"/>
      <c r="W472" s="112"/>
      <c r="X472" s="112"/>
      <c r="Y472" s="112"/>
      <c r="Z472" s="112"/>
    </row>
    <row r="473" spans="1:26">
      <c r="A473" s="112"/>
      <c r="B473" s="112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2"/>
      <c r="Q473" s="112"/>
      <c r="R473" s="112"/>
      <c r="S473" s="112"/>
      <c r="T473" s="112"/>
      <c r="U473" s="112"/>
      <c r="V473" s="112"/>
      <c r="W473" s="112"/>
      <c r="X473" s="112"/>
      <c r="Y473" s="112"/>
      <c r="Z473" s="112"/>
    </row>
    <row r="474" spans="1:26">
      <c r="A474" s="112"/>
      <c r="B474" s="112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2"/>
      <c r="Q474" s="112"/>
      <c r="R474" s="112"/>
      <c r="S474" s="112"/>
      <c r="T474" s="112"/>
      <c r="U474" s="112"/>
      <c r="V474" s="112"/>
      <c r="W474" s="112"/>
      <c r="X474" s="112"/>
      <c r="Y474" s="112"/>
      <c r="Z474" s="112"/>
    </row>
    <row r="475" spans="1:26">
      <c r="A475" s="112"/>
      <c r="B475" s="112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</row>
    <row r="476" spans="1:26">
      <c r="A476" s="112"/>
      <c r="B476" s="112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</row>
    <row r="477" spans="1:26">
      <c r="A477" s="112"/>
      <c r="B477" s="112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</row>
    <row r="478" spans="1:26">
      <c r="A478" s="112"/>
      <c r="B478" s="112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2"/>
      <c r="Q478" s="112"/>
      <c r="R478" s="112"/>
      <c r="S478" s="112"/>
      <c r="T478" s="112"/>
      <c r="U478" s="112"/>
      <c r="V478" s="112"/>
      <c r="W478" s="112"/>
      <c r="X478" s="112"/>
      <c r="Y478" s="112"/>
      <c r="Z478" s="112"/>
    </row>
    <row r="479" spans="1:26">
      <c r="A479" s="112"/>
      <c r="B479" s="112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2"/>
      <c r="Q479" s="112"/>
      <c r="R479" s="112"/>
      <c r="S479" s="112"/>
      <c r="T479" s="112"/>
      <c r="U479" s="112"/>
      <c r="V479" s="112"/>
      <c r="W479" s="112"/>
      <c r="X479" s="112"/>
      <c r="Y479" s="112"/>
      <c r="Z479" s="112"/>
    </row>
    <row r="480" spans="1:26">
      <c r="A480" s="112"/>
      <c r="B480" s="112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</row>
    <row r="481" spans="1:26">
      <c r="A481" s="112"/>
      <c r="B481" s="112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2"/>
      <c r="Q481" s="112"/>
      <c r="R481" s="112"/>
      <c r="S481" s="112"/>
      <c r="T481" s="112"/>
      <c r="U481" s="112"/>
      <c r="V481" s="112"/>
      <c r="W481" s="112"/>
      <c r="X481" s="112"/>
      <c r="Y481" s="112"/>
      <c r="Z481" s="112"/>
    </row>
    <row r="482" spans="1:26">
      <c r="A482" s="112"/>
      <c r="B482" s="112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2"/>
      <c r="Q482" s="112"/>
      <c r="R482" s="112"/>
      <c r="S482" s="112"/>
      <c r="T482" s="112"/>
      <c r="U482" s="112"/>
      <c r="V482" s="112"/>
      <c r="W482" s="112"/>
      <c r="X482" s="112"/>
      <c r="Y482" s="112"/>
      <c r="Z482" s="112"/>
    </row>
    <row r="483" spans="1:26">
      <c r="A483" s="112"/>
      <c r="B483" s="112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2"/>
      <c r="R483" s="112"/>
      <c r="S483" s="112"/>
      <c r="T483" s="112"/>
      <c r="U483" s="112"/>
      <c r="V483" s="112"/>
      <c r="W483" s="112"/>
      <c r="X483" s="112"/>
      <c r="Y483" s="112"/>
      <c r="Z483" s="112"/>
    </row>
    <row r="484" spans="1:26">
      <c r="A484" s="112"/>
      <c r="B484" s="112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</row>
    <row r="485" spans="1:26">
      <c r="A485" s="112"/>
      <c r="B485" s="112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</row>
    <row r="486" spans="1:26">
      <c r="A486" s="112"/>
      <c r="B486" s="112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2"/>
      <c r="Q486" s="112"/>
      <c r="R486" s="112"/>
      <c r="S486" s="112"/>
      <c r="T486" s="112"/>
      <c r="U486" s="112"/>
      <c r="V486" s="112"/>
      <c r="W486" s="112"/>
      <c r="X486" s="112"/>
      <c r="Y486" s="112"/>
      <c r="Z486" s="112"/>
    </row>
    <row r="487" spans="1:26">
      <c r="A487" s="112"/>
      <c r="B487" s="112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2"/>
      <c r="Q487" s="112"/>
      <c r="R487" s="112"/>
      <c r="S487" s="112"/>
      <c r="T487" s="112"/>
      <c r="U487" s="112"/>
      <c r="V487" s="112"/>
      <c r="W487" s="112"/>
      <c r="X487" s="112"/>
      <c r="Y487" s="112"/>
      <c r="Z487" s="112"/>
    </row>
    <row r="488" spans="1:26">
      <c r="A488" s="112"/>
      <c r="B488" s="112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2"/>
      <c r="Q488" s="112"/>
      <c r="R488" s="112"/>
      <c r="S488" s="112"/>
      <c r="T488" s="112"/>
      <c r="U488" s="112"/>
      <c r="V488" s="112"/>
      <c r="W488" s="112"/>
      <c r="X488" s="112"/>
      <c r="Y488" s="112"/>
      <c r="Z488" s="112"/>
    </row>
    <row r="489" spans="1:26">
      <c r="A489" s="112"/>
      <c r="B489" s="112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2"/>
      <c r="Q489" s="112"/>
      <c r="R489" s="112"/>
      <c r="S489" s="112"/>
      <c r="T489" s="112"/>
      <c r="U489" s="112"/>
      <c r="V489" s="112"/>
      <c r="W489" s="112"/>
      <c r="X489" s="112"/>
      <c r="Y489" s="112"/>
      <c r="Z489" s="112"/>
    </row>
    <row r="490" spans="1:26">
      <c r="A490" s="112"/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2"/>
      <c r="Q490" s="112"/>
      <c r="R490" s="112"/>
      <c r="S490" s="112"/>
      <c r="T490" s="112"/>
      <c r="U490" s="112"/>
      <c r="V490" s="112"/>
      <c r="W490" s="112"/>
      <c r="X490" s="112"/>
      <c r="Y490" s="112"/>
      <c r="Z490" s="112"/>
    </row>
    <row r="491" spans="1:26">
      <c r="A491" s="112"/>
      <c r="B491" s="112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2"/>
      <c r="Q491" s="112"/>
      <c r="R491" s="112"/>
      <c r="S491" s="112"/>
      <c r="T491" s="112"/>
      <c r="U491" s="112"/>
      <c r="V491" s="112"/>
      <c r="W491" s="112"/>
      <c r="X491" s="112"/>
      <c r="Y491" s="112"/>
      <c r="Z491" s="112"/>
    </row>
    <row r="492" spans="1:26">
      <c r="A492" s="112"/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</row>
    <row r="493" spans="1:26">
      <c r="A493" s="112"/>
      <c r="B493" s="112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112"/>
      <c r="U493" s="112"/>
      <c r="V493" s="112"/>
      <c r="W493" s="112"/>
      <c r="X493" s="112"/>
      <c r="Y493" s="112"/>
      <c r="Z493" s="112"/>
    </row>
    <row r="494" spans="1:26">
      <c r="A494" s="112"/>
      <c r="B494" s="112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</row>
    <row r="495" spans="1:26">
      <c r="A495" s="112"/>
      <c r="B495" s="112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2"/>
      <c r="Q495" s="112"/>
      <c r="R495" s="112"/>
      <c r="S495" s="112"/>
      <c r="T495" s="112"/>
      <c r="U495" s="112"/>
      <c r="V495" s="112"/>
      <c r="W495" s="112"/>
      <c r="X495" s="112"/>
      <c r="Y495" s="112"/>
      <c r="Z495" s="112"/>
    </row>
    <row r="496" spans="1:26">
      <c r="A496" s="112"/>
      <c r="B496" s="112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2"/>
      <c r="Q496" s="112"/>
      <c r="R496" s="112"/>
      <c r="S496" s="112"/>
      <c r="T496" s="112"/>
      <c r="U496" s="112"/>
      <c r="V496" s="112"/>
      <c r="W496" s="112"/>
      <c r="X496" s="112"/>
      <c r="Y496" s="112"/>
      <c r="Z496" s="112"/>
    </row>
    <row r="497" spans="1:26">
      <c r="A497" s="112"/>
      <c r="B497" s="112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</row>
    <row r="498" spans="1:26">
      <c r="A498" s="112"/>
      <c r="B498" s="112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2"/>
      <c r="Q498" s="112"/>
      <c r="R498" s="112"/>
      <c r="S498" s="112"/>
      <c r="T498" s="112"/>
      <c r="U498" s="112"/>
      <c r="V498" s="112"/>
      <c r="W498" s="112"/>
      <c r="X498" s="112"/>
      <c r="Y498" s="112"/>
      <c r="Z498" s="112"/>
    </row>
    <row r="499" spans="1:26">
      <c r="A499" s="112"/>
      <c r="B499" s="112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</row>
    <row r="500" spans="1:26">
      <c r="A500" s="112"/>
      <c r="B500" s="112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</row>
    <row r="501" spans="1:26">
      <c r="A501" s="112"/>
      <c r="B501" s="112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2"/>
      <c r="Q501" s="112"/>
      <c r="R501" s="112"/>
      <c r="S501" s="112"/>
      <c r="T501" s="112"/>
      <c r="U501" s="112"/>
      <c r="V501" s="112"/>
      <c r="W501" s="112"/>
      <c r="X501" s="112"/>
      <c r="Y501" s="112"/>
      <c r="Z501" s="112"/>
    </row>
    <row r="502" spans="1:26">
      <c r="A502" s="112"/>
      <c r="B502" s="112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2"/>
      <c r="Q502" s="112"/>
      <c r="R502" s="112"/>
      <c r="S502" s="112"/>
      <c r="T502" s="112"/>
      <c r="U502" s="112"/>
      <c r="V502" s="112"/>
      <c r="W502" s="112"/>
      <c r="X502" s="112"/>
      <c r="Y502" s="112"/>
      <c r="Z502" s="112"/>
    </row>
    <row r="503" spans="1:26">
      <c r="A503" s="112"/>
      <c r="B503" s="112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2"/>
      <c r="Q503" s="112"/>
      <c r="R503" s="112"/>
      <c r="S503" s="112"/>
      <c r="T503" s="112"/>
      <c r="U503" s="112"/>
      <c r="V503" s="112"/>
      <c r="W503" s="112"/>
      <c r="X503" s="112"/>
      <c r="Y503" s="112"/>
      <c r="Z503" s="112"/>
    </row>
    <row r="504" spans="1:26">
      <c r="A504" s="112"/>
      <c r="B504" s="112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</row>
    <row r="505" spans="1:26">
      <c r="A505" s="112"/>
      <c r="B505" s="112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</row>
    <row r="506" spans="1:26">
      <c r="A506" s="112"/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2"/>
      <c r="Q506" s="112"/>
      <c r="R506" s="112"/>
      <c r="S506" s="112"/>
      <c r="T506" s="112"/>
      <c r="U506" s="112"/>
      <c r="V506" s="112"/>
      <c r="W506" s="112"/>
      <c r="X506" s="112"/>
      <c r="Y506" s="112"/>
      <c r="Z506" s="112"/>
    </row>
    <row r="507" spans="1:26">
      <c r="A507" s="112"/>
      <c r="B507" s="112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</row>
    <row r="508" spans="1:26">
      <c r="A508" s="112"/>
      <c r="B508" s="112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</row>
    <row r="509" spans="1:26">
      <c r="A509" s="112"/>
      <c r="B509" s="112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</row>
    <row r="510" spans="1:26">
      <c r="A510" s="112"/>
      <c r="B510" s="112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</row>
    <row r="511" spans="1:26">
      <c r="A511" s="112"/>
      <c r="B511" s="112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2"/>
      <c r="Q511" s="112"/>
      <c r="R511" s="112"/>
      <c r="S511" s="112"/>
      <c r="T511" s="112"/>
      <c r="U511" s="112"/>
      <c r="V511" s="112"/>
      <c r="W511" s="112"/>
      <c r="X511" s="112"/>
      <c r="Y511" s="112"/>
      <c r="Z511" s="112"/>
    </row>
    <row r="512" spans="1:26">
      <c r="A512" s="112"/>
      <c r="B512" s="112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</row>
    <row r="513" spans="1:26">
      <c r="A513" s="112"/>
      <c r="B513" s="112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</row>
    <row r="514" spans="1:26">
      <c r="A514" s="112"/>
      <c r="B514" s="112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2"/>
      <c r="Q514" s="112"/>
      <c r="R514" s="112"/>
      <c r="S514" s="112"/>
      <c r="T514" s="112"/>
      <c r="U514" s="112"/>
      <c r="V514" s="112"/>
      <c r="W514" s="112"/>
      <c r="X514" s="112"/>
      <c r="Y514" s="112"/>
      <c r="Z514" s="112"/>
    </row>
    <row r="515" spans="1:26">
      <c r="A515" s="112"/>
      <c r="B515" s="112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2"/>
      <c r="Q515" s="112"/>
      <c r="R515" s="112"/>
      <c r="S515" s="112"/>
      <c r="T515" s="112"/>
      <c r="U515" s="112"/>
      <c r="V515" s="112"/>
      <c r="W515" s="112"/>
      <c r="X515" s="112"/>
      <c r="Y515" s="112"/>
      <c r="Z515" s="112"/>
    </row>
    <row r="516" spans="1:26">
      <c r="A516" s="112"/>
      <c r="B516" s="112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</row>
    <row r="517" spans="1:26">
      <c r="A517" s="112"/>
      <c r="B517" s="112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2"/>
      <c r="Q517" s="112"/>
      <c r="R517" s="112"/>
      <c r="S517" s="112"/>
      <c r="T517" s="112"/>
      <c r="U517" s="112"/>
      <c r="V517" s="112"/>
      <c r="W517" s="112"/>
      <c r="X517" s="112"/>
      <c r="Y517" s="112"/>
      <c r="Z517" s="112"/>
    </row>
    <row r="518" spans="1:26">
      <c r="A518" s="112"/>
      <c r="B518" s="112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2"/>
      <c r="Q518" s="112"/>
      <c r="R518" s="112"/>
      <c r="S518" s="112"/>
      <c r="T518" s="112"/>
      <c r="U518" s="112"/>
      <c r="V518" s="112"/>
      <c r="W518" s="112"/>
      <c r="X518" s="112"/>
      <c r="Y518" s="112"/>
      <c r="Z518" s="112"/>
    </row>
    <row r="519" spans="1:26">
      <c r="A519" s="112"/>
      <c r="B519" s="112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2"/>
      <c r="Z519" s="112"/>
    </row>
    <row r="520" spans="1:26">
      <c r="A520" s="112"/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</row>
    <row r="521" spans="1:26">
      <c r="A521" s="112"/>
      <c r="B521" s="112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2"/>
      <c r="Q521" s="112"/>
      <c r="R521" s="112"/>
      <c r="S521" s="112"/>
      <c r="T521" s="112"/>
      <c r="U521" s="112"/>
      <c r="V521" s="112"/>
      <c r="W521" s="112"/>
      <c r="X521" s="112"/>
      <c r="Y521" s="112"/>
      <c r="Z521" s="112"/>
    </row>
    <row r="522" spans="1:26">
      <c r="A522" s="112"/>
      <c r="B522" s="112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2"/>
      <c r="Q522" s="112"/>
      <c r="R522" s="112"/>
      <c r="S522" s="112"/>
      <c r="T522" s="112"/>
      <c r="U522" s="112"/>
      <c r="V522" s="112"/>
      <c r="W522" s="112"/>
      <c r="X522" s="112"/>
      <c r="Y522" s="112"/>
      <c r="Z522" s="112"/>
    </row>
    <row r="523" spans="1:26">
      <c r="A523" s="112"/>
      <c r="B523" s="112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2"/>
      <c r="Q523" s="112"/>
      <c r="R523" s="112"/>
      <c r="S523" s="112"/>
      <c r="T523" s="112"/>
      <c r="U523" s="112"/>
      <c r="V523" s="112"/>
      <c r="W523" s="112"/>
      <c r="X523" s="112"/>
      <c r="Y523" s="112"/>
      <c r="Z523" s="112"/>
    </row>
    <row r="524" spans="1:26">
      <c r="A524" s="112"/>
      <c r="B524" s="112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</row>
    <row r="525" spans="1:26">
      <c r="A525" s="112"/>
      <c r="B525" s="112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2"/>
      <c r="Q525" s="112"/>
      <c r="R525" s="112"/>
      <c r="S525" s="112"/>
      <c r="T525" s="112"/>
      <c r="U525" s="112"/>
      <c r="V525" s="112"/>
      <c r="W525" s="112"/>
      <c r="X525" s="112"/>
      <c r="Y525" s="112"/>
      <c r="Z525" s="112"/>
    </row>
    <row r="526" spans="1:26">
      <c r="A526" s="112"/>
      <c r="B526" s="112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</row>
    <row r="527" spans="1:26">
      <c r="A527" s="112"/>
      <c r="B527" s="112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2"/>
      <c r="Q527" s="112"/>
      <c r="R527" s="112"/>
      <c r="S527" s="112"/>
      <c r="T527" s="112"/>
      <c r="U527" s="112"/>
      <c r="V527" s="112"/>
      <c r="W527" s="112"/>
      <c r="X527" s="112"/>
      <c r="Y527" s="112"/>
      <c r="Z527" s="112"/>
    </row>
    <row r="528" spans="1:26">
      <c r="A528" s="112"/>
      <c r="B528" s="112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2"/>
      <c r="Q528" s="112"/>
      <c r="R528" s="112"/>
      <c r="S528" s="112"/>
      <c r="T528" s="112"/>
      <c r="U528" s="112"/>
      <c r="V528" s="112"/>
      <c r="W528" s="112"/>
      <c r="X528" s="112"/>
      <c r="Y528" s="112"/>
      <c r="Z528" s="112"/>
    </row>
    <row r="529" spans="1:26">
      <c r="A529" s="112"/>
      <c r="B529" s="112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2"/>
      <c r="Q529" s="112"/>
      <c r="R529" s="112"/>
      <c r="S529" s="112"/>
      <c r="T529" s="112"/>
      <c r="U529" s="112"/>
      <c r="V529" s="112"/>
      <c r="W529" s="112"/>
      <c r="X529" s="112"/>
      <c r="Y529" s="112"/>
      <c r="Z529" s="112"/>
    </row>
    <row r="530" spans="1:26">
      <c r="A530" s="112"/>
      <c r="B530" s="112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2"/>
      <c r="Q530" s="112"/>
      <c r="R530" s="112"/>
      <c r="S530" s="112"/>
      <c r="T530" s="112"/>
      <c r="U530" s="112"/>
      <c r="V530" s="112"/>
      <c r="W530" s="112"/>
      <c r="X530" s="112"/>
      <c r="Y530" s="112"/>
      <c r="Z530" s="112"/>
    </row>
    <row r="531" spans="1:26">
      <c r="A531" s="112"/>
      <c r="B531" s="112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2"/>
      <c r="Q531" s="112"/>
      <c r="R531" s="112"/>
      <c r="S531" s="112"/>
      <c r="T531" s="112"/>
      <c r="U531" s="112"/>
      <c r="V531" s="112"/>
      <c r="W531" s="112"/>
      <c r="X531" s="112"/>
      <c r="Y531" s="112"/>
      <c r="Z531" s="112"/>
    </row>
    <row r="532" spans="1:26">
      <c r="A532" s="112"/>
      <c r="B532" s="112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</row>
    <row r="533" spans="1:26">
      <c r="A533" s="112"/>
      <c r="B533" s="112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2"/>
      <c r="Q533" s="112"/>
      <c r="R533" s="112"/>
      <c r="S533" s="112"/>
      <c r="T533" s="112"/>
      <c r="U533" s="112"/>
      <c r="V533" s="112"/>
      <c r="W533" s="112"/>
      <c r="X533" s="112"/>
      <c r="Y533" s="112"/>
      <c r="Z533" s="112"/>
    </row>
    <row r="534" spans="1:26">
      <c r="A534" s="112"/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2"/>
      <c r="Q534" s="112"/>
      <c r="R534" s="112"/>
      <c r="S534" s="112"/>
      <c r="T534" s="112"/>
      <c r="U534" s="112"/>
      <c r="V534" s="112"/>
      <c r="W534" s="112"/>
      <c r="X534" s="112"/>
      <c r="Y534" s="112"/>
      <c r="Z534" s="112"/>
    </row>
    <row r="535" spans="1:26">
      <c r="A535" s="112"/>
      <c r="B535" s="112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</row>
    <row r="536" spans="1:26">
      <c r="A536" s="112"/>
      <c r="B536" s="112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112"/>
      <c r="S536" s="112"/>
      <c r="T536" s="112"/>
      <c r="U536" s="112"/>
      <c r="V536" s="112"/>
      <c r="W536" s="112"/>
      <c r="X536" s="112"/>
      <c r="Y536" s="112"/>
      <c r="Z536" s="112"/>
    </row>
    <row r="537" spans="1:26">
      <c r="A537" s="112"/>
      <c r="B537" s="112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</row>
    <row r="538" spans="1:26">
      <c r="A538" s="112"/>
      <c r="B538" s="112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2"/>
      <c r="Q538" s="112"/>
      <c r="R538" s="112"/>
      <c r="S538" s="112"/>
      <c r="T538" s="112"/>
      <c r="U538" s="112"/>
      <c r="V538" s="112"/>
      <c r="W538" s="112"/>
      <c r="X538" s="112"/>
      <c r="Y538" s="112"/>
      <c r="Z538" s="112"/>
    </row>
    <row r="539" spans="1:26">
      <c r="A539" s="112"/>
      <c r="B539" s="112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112"/>
      <c r="R539" s="112"/>
      <c r="S539" s="112"/>
      <c r="T539" s="112"/>
      <c r="U539" s="112"/>
      <c r="V539" s="112"/>
      <c r="W539" s="112"/>
      <c r="X539" s="112"/>
      <c r="Y539" s="112"/>
      <c r="Z539" s="112"/>
    </row>
    <row r="540" spans="1:26">
      <c r="A540" s="112"/>
      <c r="B540" s="112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2"/>
      <c r="Q540" s="112"/>
      <c r="R540" s="112"/>
      <c r="S540" s="112"/>
      <c r="T540" s="112"/>
      <c r="U540" s="112"/>
      <c r="V540" s="112"/>
      <c r="W540" s="112"/>
      <c r="X540" s="112"/>
      <c r="Y540" s="112"/>
      <c r="Z540" s="112"/>
    </row>
    <row r="541" spans="1:26">
      <c r="A541" s="112"/>
      <c r="B541" s="112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2"/>
      <c r="Q541" s="112"/>
      <c r="R541" s="112"/>
      <c r="S541" s="112"/>
      <c r="T541" s="112"/>
      <c r="U541" s="112"/>
      <c r="V541" s="112"/>
      <c r="W541" s="112"/>
      <c r="X541" s="112"/>
      <c r="Y541" s="112"/>
      <c r="Z541" s="112"/>
    </row>
    <row r="542" spans="1:26">
      <c r="A542" s="112"/>
      <c r="B542" s="112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2"/>
      <c r="Q542" s="112"/>
      <c r="R542" s="112"/>
      <c r="S542" s="112"/>
      <c r="T542" s="112"/>
      <c r="U542" s="112"/>
      <c r="V542" s="112"/>
      <c r="W542" s="112"/>
      <c r="X542" s="112"/>
      <c r="Y542" s="112"/>
      <c r="Z542" s="112"/>
    </row>
    <row r="543" spans="1:26">
      <c r="A543" s="112"/>
      <c r="B543" s="112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2"/>
      <c r="Q543" s="112"/>
      <c r="R543" s="112"/>
      <c r="S543" s="112"/>
      <c r="T543" s="112"/>
      <c r="U543" s="112"/>
      <c r="V543" s="112"/>
      <c r="W543" s="112"/>
      <c r="X543" s="112"/>
      <c r="Y543" s="112"/>
      <c r="Z543" s="112"/>
    </row>
    <row r="544" spans="1:26">
      <c r="A544" s="112"/>
      <c r="B544" s="112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2"/>
      <c r="Q544" s="112"/>
      <c r="R544" s="112"/>
      <c r="S544" s="112"/>
      <c r="T544" s="112"/>
      <c r="U544" s="112"/>
      <c r="V544" s="112"/>
      <c r="W544" s="112"/>
      <c r="X544" s="112"/>
      <c r="Y544" s="112"/>
      <c r="Z544" s="112"/>
    </row>
    <row r="545" spans="1:26">
      <c r="A545" s="112"/>
      <c r="B545" s="112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2"/>
      <c r="Q545" s="112"/>
      <c r="R545" s="112"/>
      <c r="S545" s="112"/>
      <c r="T545" s="112"/>
      <c r="U545" s="112"/>
      <c r="V545" s="112"/>
      <c r="W545" s="112"/>
      <c r="X545" s="112"/>
      <c r="Y545" s="112"/>
      <c r="Z545" s="112"/>
    </row>
    <row r="546" spans="1:26">
      <c r="A546" s="112"/>
      <c r="B546" s="112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2"/>
      <c r="Q546" s="112"/>
      <c r="R546" s="112"/>
      <c r="S546" s="112"/>
      <c r="T546" s="112"/>
      <c r="U546" s="112"/>
      <c r="V546" s="112"/>
      <c r="W546" s="112"/>
      <c r="X546" s="112"/>
      <c r="Y546" s="112"/>
      <c r="Z546" s="112"/>
    </row>
    <row r="547" spans="1:26">
      <c r="A547" s="112"/>
      <c r="B547" s="112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2"/>
      <c r="Q547" s="112"/>
      <c r="R547" s="112"/>
      <c r="S547" s="112"/>
      <c r="T547" s="112"/>
      <c r="U547" s="112"/>
      <c r="V547" s="112"/>
      <c r="W547" s="112"/>
      <c r="X547" s="112"/>
      <c r="Y547" s="112"/>
      <c r="Z547" s="112"/>
    </row>
    <row r="548" spans="1:26">
      <c r="A548" s="112"/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2"/>
      <c r="Q548" s="112"/>
      <c r="R548" s="112"/>
      <c r="S548" s="112"/>
      <c r="T548" s="112"/>
      <c r="U548" s="112"/>
      <c r="V548" s="112"/>
      <c r="W548" s="112"/>
      <c r="X548" s="112"/>
      <c r="Y548" s="112"/>
      <c r="Z548" s="112"/>
    </row>
    <row r="549" spans="1:26">
      <c r="A549" s="112"/>
      <c r="B549" s="112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</row>
    <row r="550" spans="1:26">
      <c r="A550" s="112"/>
      <c r="B550" s="112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2"/>
      <c r="Q550" s="112"/>
      <c r="R550" s="112"/>
      <c r="S550" s="112"/>
      <c r="T550" s="112"/>
      <c r="U550" s="112"/>
      <c r="V550" s="112"/>
      <c r="W550" s="112"/>
      <c r="X550" s="112"/>
      <c r="Y550" s="112"/>
      <c r="Z550" s="112"/>
    </row>
    <row r="551" spans="1:26">
      <c r="A551" s="112"/>
      <c r="B551" s="112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2"/>
      <c r="Q551" s="112"/>
      <c r="R551" s="112"/>
      <c r="S551" s="112"/>
      <c r="T551" s="112"/>
      <c r="U551" s="112"/>
      <c r="V551" s="112"/>
      <c r="W551" s="112"/>
      <c r="X551" s="112"/>
      <c r="Y551" s="112"/>
      <c r="Z551" s="112"/>
    </row>
    <row r="552" spans="1:26">
      <c r="A552" s="112"/>
      <c r="B552" s="112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2"/>
      <c r="Q552" s="112"/>
      <c r="R552" s="112"/>
      <c r="S552" s="112"/>
      <c r="T552" s="112"/>
      <c r="U552" s="112"/>
      <c r="V552" s="112"/>
      <c r="W552" s="112"/>
      <c r="X552" s="112"/>
      <c r="Y552" s="112"/>
      <c r="Z552" s="112"/>
    </row>
    <row r="553" spans="1:26">
      <c r="A553" s="112"/>
      <c r="B553" s="112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</row>
    <row r="554" spans="1:26">
      <c r="A554" s="112"/>
      <c r="B554" s="112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2"/>
      <c r="Q554" s="112"/>
      <c r="R554" s="112"/>
      <c r="S554" s="112"/>
      <c r="T554" s="112"/>
      <c r="U554" s="112"/>
      <c r="V554" s="112"/>
      <c r="W554" s="112"/>
      <c r="X554" s="112"/>
      <c r="Y554" s="112"/>
      <c r="Z554" s="112"/>
    </row>
    <row r="555" spans="1:26">
      <c r="A555" s="112"/>
      <c r="B555" s="112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2"/>
      <c r="Q555" s="112"/>
      <c r="R555" s="112"/>
      <c r="S555" s="112"/>
      <c r="T555" s="112"/>
      <c r="U555" s="112"/>
      <c r="V555" s="112"/>
      <c r="W555" s="112"/>
      <c r="X555" s="112"/>
      <c r="Y555" s="112"/>
      <c r="Z555" s="112"/>
    </row>
    <row r="556" spans="1:26">
      <c r="A556" s="112"/>
      <c r="B556" s="112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</row>
    <row r="557" spans="1:26">
      <c r="A557" s="112"/>
      <c r="B557" s="112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2"/>
      <c r="Q557" s="112"/>
      <c r="R557" s="112"/>
      <c r="S557" s="112"/>
      <c r="T557" s="112"/>
      <c r="U557" s="112"/>
      <c r="V557" s="112"/>
      <c r="W557" s="112"/>
      <c r="X557" s="112"/>
      <c r="Y557" s="112"/>
      <c r="Z557" s="112"/>
    </row>
    <row r="558" spans="1:26">
      <c r="A558" s="112"/>
      <c r="B558" s="112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2"/>
      <c r="Q558" s="112"/>
      <c r="R558" s="112"/>
      <c r="S558" s="112"/>
      <c r="T558" s="112"/>
      <c r="U558" s="112"/>
      <c r="V558" s="112"/>
      <c r="W558" s="112"/>
      <c r="X558" s="112"/>
      <c r="Y558" s="112"/>
      <c r="Z558" s="112"/>
    </row>
    <row r="559" spans="1:26">
      <c r="A559" s="112"/>
      <c r="B559" s="112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</row>
    <row r="560" spans="1:26">
      <c r="A560" s="112"/>
      <c r="B560" s="112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</row>
    <row r="561" spans="1:26">
      <c r="A561" s="112"/>
      <c r="B561" s="112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</row>
    <row r="562" spans="1:26">
      <c r="A562" s="112"/>
      <c r="B562" s="112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</row>
    <row r="563" spans="1:26">
      <c r="A563" s="112"/>
      <c r="B563" s="112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</row>
    <row r="564" spans="1:26">
      <c r="A564" s="112"/>
      <c r="B564" s="112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</row>
    <row r="565" spans="1:26">
      <c r="A565" s="112"/>
      <c r="B565" s="112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</row>
    <row r="566" spans="1:26">
      <c r="A566" s="112"/>
      <c r="B566" s="112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</row>
    <row r="567" spans="1:26">
      <c r="A567" s="112"/>
      <c r="B567" s="112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</row>
    <row r="568" spans="1:26">
      <c r="A568" s="112"/>
      <c r="B568" s="112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</row>
    <row r="569" spans="1:26">
      <c r="A569" s="112"/>
      <c r="B569" s="112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2"/>
      <c r="Q569" s="112"/>
      <c r="R569" s="112"/>
      <c r="S569" s="112"/>
      <c r="T569" s="112"/>
      <c r="U569" s="112"/>
      <c r="V569" s="112"/>
      <c r="W569" s="112"/>
      <c r="X569" s="112"/>
      <c r="Y569" s="112"/>
      <c r="Z569" s="112"/>
    </row>
    <row r="570" spans="1:26">
      <c r="A570" s="112"/>
      <c r="B570" s="112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2"/>
      <c r="Q570" s="112"/>
      <c r="R570" s="112"/>
      <c r="S570" s="112"/>
      <c r="T570" s="112"/>
      <c r="U570" s="112"/>
      <c r="V570" s="112"/>
      <c r="W570" s="112"/>
      <c r="X570" s="112"/>
      <c r="Y570" s="112"/>
      <c r="Z570" s="112"/>
    </row>
    <row r="571" spans="1:26">
      <c r="A571" s="112"/>
      <c r="B571" s="112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</row>
    <row r="572" spans="1:26">
      <c r="A572" s="112"/>
      <c r="B572" s="112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</row>
    <row r="573" spans="1:26">
      <c r="A573" s="112"/>
      <c r="B573" s="112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2"/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</row>
    <row r="574" spans="1:26">
      <c r="A574" s="112"/>
      <c r="B574" s="112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2"/>
      <c r="Q574" s="112"/>
      <c r="R574" s="112"/>
      <c r="S574" s="112"/>
      <c r="T574" s="112"/>
      <c r="U574" s="112"/>
      <c r="V574" s="112"/>
      <c r="W574" s="112"/>
      <c r="X574" s="112"/>
      <c r="Y574" s="112"/>
      <c r="Z574" s="112"/>
    </row>
    <row r="575" spans="1:26">
      <c r="A575" s="112"/>
      <c r="B575" s="112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2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</row>
    <row r="576" spans="1:26">
      <c r="A576" s="112"/>
      <c r="B576" s="112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2"/>
      <c r="Q576" s="112"/>
      <c r="R576" s="112"/>
      <c r="S576" s="112"/>
      <c r="T576" s="112"/>
      <c r="U576" s="112"/>
      <c r="V576" s="112"/>
      <c r="W576" s="112"/>
      <c r="X576" s="112"/>
      <c r="Y576" s="112"/>
      <c r="Z576" s="112"/>
    </row>
    <row r="577" spans="1:26">
      <c r="A577" s="112"/>
      <c r="B577" s="112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2"/>
      <c r="Q577" s="112"/>
      <c r="R577" s="112"/>
      <c r="S577" s="112"/>
      <c r="T577" s="112"/>
      <c r="U577" s="112"/>
      <c r="V577" s="112"/>
      <c r="W577" s="112"/>
      <c r="X577" s="112"/>
      <c r="Y577" s="112"/>
      <c r="Z577" s="112"/>
    </row>
    <row r="578" spans="1:26">
      <c r="A578" s="112"/>
      <c r="B578" s="112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</row>
    <row r="579" spans="1:26">
      <c r="A579" s="112"/>
      <c r="B579" s="112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2"/>
      <c r="Q579" s="112"/>
      <c r="R579" s="112"/>
      <c r="S579" s="112"/>
      <c r="T579" s="112"/>
      <c r="U579" s="112"/>
      <c r="V579" s="112"/>
      <c r="W579" s="112"/>
      <c r="X579" s="112"/>
      <c r="Y579" s="112"/>
      <c r="Z579" s="112"/>
    </row>
    <row r="580" spans="1:26">
      <c r="A580" s="112"/>
      <c r="B580" s="112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</row>
    <row r="581" spans="1:26">
      <c r="A581" s="112"/>
      <c r="B581" s="112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</row>
    <row r="582" spans="1:26">
      <c r="A582" s="112"/>
      <c r="B582" s="112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</row>
    <row r="583" spans="1:26">
      <c r="A583" s="112"/>
      <c r="B583" s="112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</row>
    <row r="584" spans="1:26">
      <c r="A584" s="112"/>
      <c r="B584" s="112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2"/>
      <c r="Q584" s="112"/>
      <c r="R584" s="112"/>
      <c r="S584" s="112"/>
      <c r="T584" s="112"/>
      <c r="U584" s="112"/>
      <c r="V584" s="112"/>
      <c r="W584" s="112"/>
      <c r="X584" s="112"/>
      <c r="Y584" s="112"/>
      <c r="Z584" s="112"/>
    </row>
    <row r="585" spans="1:26">
      <c r="A585" s="112"/>
      <c r="B585" s="112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2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</row>
    <row r="586" spans="1:26">
      <c r="A586" s="112"/>
      <c r="B586" s="112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</row>
    <row r="587" spans="1:26">
      <c r="A587" s="112"/>
      <c r="B587" s="112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2"/>
      <c r="Q587" s="112"/>
      <c r="R587" s="112"/>
      <c r="S587" s="112"/>
      <c r="T587" s="112"/>
      <c r="U587" s="112"/>
      <c r="V587" s="112"/>
      <c r="W587" s="112"/>
      <c r="X587" s="112"/>
      <c r="Y587" s="112"/>
      <c r="Z587" s="112"/>
    </row>
    <row r="588" spans="1:26">
      <c r="A588" s="112"/>
      <c r="B588" s="112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2"/>
      <c r="Q588" s="112"/>
      <c r="R588" s="112"/>
      <c r="S588" s="112"/>
      <c r="T588" s="112"/>
      <c r="U588" s="112"/>
      <c r="V588" s="112"/>
      <c r="W588" s="112"/>
      <c r="X588" s="112"/>
      <c r="Y588" s="112"/>
      <c r="Z588" s="112"/>
    </row>
    <row r="589" spans="1:26">
      <c r="A589" s="112"/>
      <c r="B589" s="112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2"/>
      <c r="Q589" s="112"/>
      <c r="R589" s="112"/>
      <c r="S589" s="112"/>
      <c r="T589" s="112"/>
      <c r="U589" s="112"/>
      <c r="V589" s="112"/>
      <c r="W589" s="112"/>
      <c r="X589" s="112"/>
      <c r="Y589" s="112"/>
      <c r="Z589" s="112"/>
    </row>
    <row r="590" spans="1:26">
      <c r="A590" s="112"/>
      <c r="B590" s="112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</row>
    <row r="591" spans="1:26">
      <c r="A591" s="112"/>
      <c r="B591" s="112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112"/>
      <c r="R591" s="112"/>
      <c r="S591" s="112"/>
      <c r="T591" s="112"/>
      <c r="U591" s="112"/>
      <c r="V591" s="112"/>
      <c r="W591" s="112"/>
      <c r="X591" s="112"/>
      <c r="Y591" s="112"/>
      <c r="Z591" s="112"/>
    </row>
    <row r="592" spans="1:26">
      <c r="A592" s="112"/>
      <c r="B592" s="112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2"/>
      <c r="Q592" s="112"/>
      <c r="R592" s="112"/>
      <c r="S592" s="112"/>
      <c r="T592" s="112"/>
      <c r="U592" s="112"/>
      <c r="V592" s="112"/>
      <c r="W592" s="112"/>
      <c r="X592" s="112"/>
      <c r="Y592" s="112"/>
      <c r="Z592" s="112"/>
    </row>
    <row r="593" spans="1:26">
      <c r="A593" s="112"/>
      <c r="B593" s="112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2"/>
      <c r="Q593" s="112"/>
      <c r="R593" s="112"/>
      <c r="S593" s="112"/>
      <c r="T593" s="112"/>
      <c r="U593" s="112"/>
      <c r="V593" s="112"/>
      <c r="W593" s="112"/>
      <c r="X593" s="112"/>
      <c r="Y593" s="112"/>
      <c r="Z593" s="112"/>
    </row>
    <row r="594" spans="1:26">
      <c r="A594" s="112"/>
      <c r="B594" s="112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2"/>
      <c r="Q594" s="112"/>
      <c r="R594" s="112"/>
      <c r="S594" s="112"/>
      <c r="T594" s="112"/>
      <c r="U594" s="112"/>
      <c r="V594" s="112"/>
      <c r="W594" s="112"/>
      <c r="X594" s="112"/>
      <c r="Y594" s="112"/>
      <c r="Z594" s="112"/>
    </row>
    <row r="595" spans="1:26">
      <c r="A595" s="112"/>
      <c r="B595" s="112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2"/>
      <c r="Q595" s="112"/>
      <c r="R595" s="112"/>
      <c r="S595" s="112"/>
      <c r="T595" s="112"/>
      <c r="U595" s="112"/>
      <c r="V595" s="112"/>
      <c r="W595" s="112"/>
      <c r="X595" s="112"/>
      <c r="Y595" s="112"/>
      <c r="Z595" s="112"/>
    </row>
    <row r="596" spans="1:26">
      <c r="A596" s="112"/>
      <c r="B596" s="112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</row>
    <row r="597" spans="1:26">
      <c r="A597" s="112"/>
      <c r="B597" s="112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2"/>
      <c r="Q597" s="112"/>
      <c r="R597" s="112"/>
      <c r="S597" s="112"/>
      <c r="T597" s="112"/>
      <c r="U597" s="112"/>
      <c r="V597" s="112"/>
      <c r="W597" s="112"/>
      <c r="X597" s="112"/>
      <c r="Y597" s="112"/>
      <c r="Z597" s="112"/>
    </row>
    <row r="598" spans="1:26">
      <c r="A598" s="112"/>
      <c r="B598" s="112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</row>
    <row r="599" spans="1:26">
      <c r="A599" s="112"/>
      <c r="B599" s="112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2"/>
      <c r="Q599" s="112"/>
      <c r="R599" s="112"/>
      <c r="S599" s="112"/>
      <c r="T599" s="112"/>
      <c r="U599" s="112"/>
      <c r="V599" s="112"/>
      <c r="W599" s="112"/>
      <c r="X599" s="112"/>
      <c r="Y599" s="112"/>
      <c r="Z599" s="112"/>
    </row>
    <row r="600" spans="1:26">
      <c r="A600" s="112"/>
      <c r="B600" s="112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</row>
    <row r="601" spans="1:26">
      <c r="A601" s="112"/>
      <c r="B601" s="112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2"/>
      <c r="Q601" s="112"/>
      <c r="R601" s="112"/>
      <c r="S601" s="112"/>
      <c r="T601" s="112"/>
      <c r="U601" s="112"/>
      <c r="V601" s="112"/>
      <c r="W601" s="112"/>
      <c r="X601" s="112"/>
      <c r="Y601" s="112"/>
      <c r="Z601" s="112"/>
    </row>
    <row r="602" spans="1:26">
      <c r="A602" s="112"/>
      <c r="B602" s="112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2"/>
      <c r="Q602" s="112"/>
      <c r="R602" s="112"/>
      <c r="S602" s="112"/>
      <c r="T602" s="112"/>
      <c r="U602" s="112"/>
      <c r="V602" s="112"/>
      <c r="W602" s="112"/>
      <c r="X602" s="112"/>
      <c r="Y602" s="112"/>
      <c r="Z602" s="112"/>
    </row>
    <row r="603" spans="1:26">
      <c r="A603" s="112"/>
      <c r="B603" s="112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2"/>
      <c r="Q603" s="112"/>
      <c r="R603" s="112"/>
      <c r="S603" s="112"/>
      <c r="T603" s="112"/>
      <c r="U603" s="112"/>
      <c r="V603" s="112"/>
      <c r="W603" s="112"/>
      <c r="X603" s="112"/>
      <c r="Y603" s="112"/>
      <c r="Z603" s="112"/>
    </row>
    <row r="604" spans="1:26">
      <c r="A604" s="112"/>
      <c r="B604" s="112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2"/>
      <c r="Q604" s="112"/>
      <c r="R604" s="112"/>
      <c r="S604" s="112"/>
      <c r="T604" s="112"/>
      <c r="U604" s="112"/>
      <c r="V604" s="112"/>
      <c r="W604" s="112"/>
      <c r="X604" s="112"/>
      <c r="Y604" s="112"/>
      <c r="Z604" s="112"/>
    </row>
    <row r="605" spans="1:26">
      <c r="A605" s="112"/>
      <c r="B605" s="112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2"/>
      <c r="Q605" s="112"/>
      <c r="R605" s="112"/>
      <c r="S605" s="112"/>
      <c r="T605" s="112"/>
      <c r="U605" s="112"/>
      <c r="V605" s="112"/>
      <c r="W605" s="112"/>
      <c r="X605" s="112"/>
      <c r="Y605" s="112"/>
      <c r="Z605" s="112"/>
    </row>
    <row r="606" spans="1:26">
      <c r="A606" s="112"/>
      <c r="B606" s="112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2"/>
      <c r="Q606" s="112"/>
      <c r="R606" s="112"/>
      <c r="S606" s="112"/>
      <c r="T606" s="112"/>
      <c r="U606" s="112"/>
      <c r="V606" s="112"/>
      <c r="W606" s="112"/>
      <c r="X606" s="112"/>
      <c r="Y606" s="112"/>
      <c r="Z606" s="112"/>
    </row>
    <row r="607" spans="1:26">
      <c r="A607" s="112"/>
      <c r="B607" s="112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</row>
    <row r="608" spans="1:26">
      <c r="A608" s="112"/>
      <c r="B608" s="112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2"/>
      <c r="Q608" s="112"/>
      <c r="R608" s="112"/>
      <c r="S608" s="112"/>
      <c r="T608" s="112"/>
      <c r="U608" s="112"/>
      <c r="V608" s="112"/>
      <c r="W608" s="112"/>
      <c r="X608" s="112"/>
      <c r="Y608" s="112"/>
      <c r="Z608" s="112"/>
    </row>
    <row r="609" spans="1:26">
      <c r="A609" s="112"/>
      <c r="B609" s="112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2"/>
      <c r="Q609" s="112"/>
      <c r="R609" s="112"/>
      <c r="S609" s="112"/>
      <c r="T609" s="112"/>
      <c r="U609" s="112"/>
      <c r="V609" s="112"/>
      <c r="W609" s="112"/>
      <c r="X609" s="112"/>
      <c r="Y609" s="112"/>
      <c r="Z609" s="112"/>
    </row>
    <row r="610" spans="1:26">
      <c r="A610" s="112"/>
      <c r="B610" s="112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2"/>
      <c r="Q610" s="112"/>
      <c r="R610" s="112"/>
      <c r="S610" s="112"/>
      <c r="T610" s="112"/>
      <c r="U610" s="112"/>
      <c r="V610" s="112"/>
      <c r="W610" s="112"/>
      <c r="X610" s="112"/>
      <c r="Y610" s="112"/>
      <c r="Z610" s="112"/>
    </row>
    <row r="611" spans="1:26">
      <c r="A611" s="112"/>
      <c r="B611" s="112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2"/>
      <c r="Q611" s="112"/>
      <c r="R611" s="112"/>
      <c r="S611" s="112"/>
      <c r="T611" s="112"/>
      <c r="U611" s="112"/>
      <c r="V611" s="112"/>
      <c r="W611" s="112"/>
      <c r="X611" s="112"/>
      <c r="Y611" s="112"/>
      <c r="Z611" s="112"/>
    </row>
    <row r="612" spans="1:26">
      <c r="A612" s="112"/>
      <c r="B612" s="112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2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</row>
    <row r="613" spans="1:26">
      <c r="A613" s="112"/>
      <c r="B613" s="112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2"/>
      <c r="Q613" s="112"/>
      <c r="R613" s="112"/>
      <c r="S613" s="112"/>
      <c r="T613" s="112"/>
      <c r="U613" s="112"/>
      <c r="V613" s="112"/>
      <c r="W613" s="112"/>
      <c r="X613" s="112"/>
      <c r="Y613" s="112"/>
      <c r="Z613" s="112"/>
    </row>
    <row r="614" spans="1:26">
      <c r="A614" s="112"/>
      <c r="B614" s="112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2"/>
      <c r="Q614" s="112"/>
      <c r="R614" s="112"/>
      <c r="S614" s="112"/>
      <c r="T614" s="112"/>
      <c r="U614" s="112"/>
      <c r="V614" s="112"/>
      <c r="W614" s="112"/>
      <c r="X614" s="112"/>
      <c r="Y614" s="112"/>
      <c r="Z614" s="112"/>
    </row>
    <row r="615" spans="1:26">
      <c r="A615" s="112"/>
      <c r="B615" s="112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2"/>
      <c r="Q615" s="112"/>
      <c r="R615" s="112"/>
      <c r="S615" s="112"/>
      <c r="T615" s="112"/>
      <c r="U615" s="112"/>
      <c r="V615" s="112"/>
      <c r="W615" s="112"/>
      <c r="X615" s="112"/>
      <c r="Y615" s="112"/>
      <c r="Z615" s="112"/>
    </row>
    <row r="616" spans="1:26">
      <c r="A616" s="112"/>
      <c r="B616" s="112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2"/>
      <c r="Q616" s="112"/>
      <c r="R616" s="112"/>
      <c r="S616" s="112"/>
      <c r="T616" s="112"/>
      <c r="U616" s="112"/>
      <c r="V616" s="112"/>
      <c r="W616" s="112"/>
      <c r="X616" s="112"/>
      <c r="Y616" s="112"/>
      <c r="Z616" s="112"/>
    </row>
    <row r="617" spans="1:26">
      <c r="A617" s="112"/>
      <c r="B617" s="112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2"/>
      <c r="Q617" s="112"/>
      <c r="R617" s="112"/>
      <c r="S617" s="112"/>
      <c r="T617" s="112"/>
      <c r="U617" s="112"/>
      <c r="V617" s="112"/>
      <c r="W617" s="112"/>
      <c r="X617" s="112"/>
      <c r="Y617" s="112"/>
      <c r="Z617" s="112"/>
    </row>
    <row r="618" spans="1:26">
      <c r="A618" s="112"/>
      <c r="B618" s="112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2"/>
      <c r="Q618" s="112"/>
      <c r="R618" s="112"/>
      <c r="S618" s="112"/>
      <c r="T618" s="112"/>
      <c r="U618" s="112"/>
      <c r="V618" s="112"/>
      <c r="W618" s="112"/>
      <c r="X618" s="112"/>
      <c r="Y618" s="112"/>
      <c r="Z618" s="112"/>
    </row>
    <row r="619" spans="1:26">
      <c r="A619" s="112"/>
      <c r="B619" s="112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2"/>
      <c r="Q619" s="112"/>
      <c r="R619" s="112"/>
      <c r="S619" s="112"/>
      <c r="T619" s="112"/>
      <c r="U619" s="112"/>
      <c r="V619" s="112"/>
      <c r="W619" s="112"/>
      <c r="X619" s="112"/>
      <c r="Y619" s="112"/>
      <c r="Z619" s="112"/>
    </row>
    <row r="620" spans="1:26">
      <c r="A620" s="112"/>
      <c r="B620" s="112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2"/>
      <c r="Q620" s="112"/>
      <c r="R620" s="112"/>
      <c r="S620" s="112"/>
      <c r="T620" s="112"/>
      <c r="U620" s="112"/>
      <c r="V620" s="112"/>
      <c r="W620" s="112"/>
      <c r="X620" s="112"/>
      <c r="Y620" s="112"/>
      <c r="Z620" s="112"/>
    </row>
    <row r="621" spans="1:26">
      <c r="A621" s="112"/>
      <c r="B621" s="112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2"/>
      <c r="Q621" s="112"/>
      <c r="R621" s="112"/>
      <c r="S621" s="112"/>
      <c r="T621" s="112"/>
      <c r="U621" s="112"/>
      <c r="V621" s="112"/>
      <c r="W621" s="112"/>
      <c r="X621" s="112"/>
      <c r="Y621" s="112"/>
      <c r="Z621" s="112"/>
    </row>
    <row r="622" spans="1:26">
      <c r="A622" s="112"/>
      <c r="B622" s="112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2"/>
      <c r="Q622" s="112"/>
      <c r="R622" s="112"/>
      <c r="S622" s="112"/>
      <c r="T622" s="112"/>
      <c r="U622" s="112"/>
      <c r="V622" s="112"/>
      <c r="W622" s="112"/>
      <c r="X622" s="112"/>
      <c r="Y622" s="112"/>
      <c r="Z622" s="112"/>
    </row>
    <row r="623" spans="1:26">
      <c r="A623" s="112"/>
      <c r="B623" s="112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2"/>
      <c r="Q623" s="112"/>
      <c r="R623" s="112"/>
      <c r="S623" s="112"/>
      <c r="T623" s="112"/>
      <c r="U623" s="112"/>
      <c r="V623" s="112"/>
      <c r="W623" s="112"/>
      <c r="X623" s="112"/>
      <c r="Y623" s="112"/>
      <c r="Z623" s="112"/>
    </row>
    <row r="624" spans="1:26">
      <c r="A624" s="112"/>
      <c r="B624" s="112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2"/>
      <c r="Q624" s="112"/>
      <c r="R624" s="112"/>
      <c r="S624" s="112"/>
      <c r="T624" s="112"/>
      <c r="U624" s="112"/>
      <c r="V624" s="112"/>
      <c r="W624" s="112"/>
      <c r="X624" s="112"/>
      <c r="Y624" s="112"/>
      <c r="Z624" s="112"/>
    </row>
    <row r="625" spans="1:26">
      <c r="A625" s="112"/>
      <c r="B625" s="112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2"/>
      <c r="Q625" s="112"/>
      <c r="R625" s="112"/>
      <c r="S625" s="112"/>
      <c r="T625" s="112"/>
      <c r="U625" s="112"/>
      <c r="V625" s="112"/>
      <c r="W625" s="112"/>
      <c r="X625" s="112"/>
      <c r="Y625" s="112"/>
      <c r="Z625" s="112"/>
    </row>
    <row r="626" spans="1:26">
      <c r="A626" s="112"/>
      <c r="B626" s="112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2"/>
      <c r="Q626" s="112"/>
      <c r="R626" s="112"/>
      <c r="S626" s="112"/>
      <c r="T626" s="112"/>
      <c r="U626" s="112"/>
      <c r="V626" s="112"/>
      <c r="W626" s="112"/>
      <c r="X626" s="112"/>
      <c r="Y626" s="112"/>
      <c r="Z626" s="112"/>
    </row>
    <row r="627" spans="1:26">
      <c r="A627" s="112"/>
      <c r="B627" s="112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2"/>
      <c r="Q627" s="112"/>
      <c r="R627" s="112"/>
      <c r="S627" s="112"/>
      <c r="T627" s="112"/>
      <c r="U627" s="112"/>
      <c r="V627" s="112"/>
      <c r="W627" s="112"/>
      <c r="X627" s="112"/>
      <c r="Y627" s="112"/>
      <c r="Z627" s="112"/>
    </row>
    <row r="628" spans="1:26">
      <c r="A628" s="112"/>
      <c r="B628" s="112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2"/>
      <c r="Q628" s="112"/>
      <c r="R628" s="112"/>
      <c r="S628" s="112"/>
      <c r="T628" s="112"/>
      <c r="U628" s="112"/>
      <c r="V628" s="112"/>
      <c r="W628" s="112"/>
      <c r="X628" s="112"/>
      <c r="Y628" s="112"/>
      <c r="Z628" s="112"/>
    </row>
    <row r="629" spans="1:26">
      <c r="A629" s="112"/>
      <c r="B629" s="112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2"/>
      <c r="Q629" s="112"/>
      <c r="R629" s="112"/>
      <c r="S629" s="112"/>
      <c r="T629" s="112"/>
      <c r="U629" s="112"/>
      <c r="V629" s="112"/>
      <c r="W629" s="112"/>
      <c r="X629" s="112"/>
      <c r="Y629" s="112"/>
      <c r="Z629" s="112"/>
    </row>
    <row r="630" spans="1:26">
      <c r="A630" s="112"/>
      <c r="B630" s="112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2"/>
      <c r="Q630" s="112"/>
      <c r="R630" s="112"/>
      <c r="S630" s="112"/>
      <c r="T630" s="112"/>
      <c r="U630" s="112"/>
      <c r="V630" s="112"/>
      <c r="W630" s="112"/>
      <c r="X630" s="112"/>
      <c r="Y630" s="112"/>
      <c r="Z630" s="112"/>
    </row>
    <row r="631" spans="1:26">
      <c r="A631" s="112"/>
      <c r="B631" s="112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2"/>
      <c r="Q631" s="112"/>
      <c r="R631" s="112"/>
      <c r="S631" s="112"/>
      <c r="T631" s="112"/>
      <c r="U631" s="112"/>
      <c r="V631" s="112"/>
      <c r="W631" s="112"/>
      <c r="X631" s="112"/>
      <c r="Y631" s="112"/>
      <c r="Z631" s="112"/>
    </row>
    <row r="632" spans="1:26">
      <c r="A632" s="112"/>
      <c r="B632" s="112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</row>
    <row r="633" spans="1:26">
      <c r="A633" s="112"/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2"/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</row>
    <row r="634" spans="1:26">
      <c r="A634" s="112"/>
      <c r="B634" s="112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/>
      <c r="S634" s="112"/>
      <c r="T634" s="112"/>
      <c r="U634" s="112"/>
      <c r="V634" s="112"/>
      <c r="W634" s="112"/>
      <c r="X634" s="112"/>
      <c r="Y634" s="112"/>
      <c r="Z634" s="112"/>
    </row>
    <row r="635" spans="1:26">
      <c r="A635" s="112"/>
      <c r="B635" s="112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2"/>
      <c r="Q635" s="112"/>
      <c r="R635" s="112"/>
      <c r="S635" s="112"/>
      <c r="T635" s="112"/>
      <c r="U635" s="112"/>
      <c r="V635" s="112"/>
      <c r="W635" s="112"/>
      <c r="X635" s="112"/>
      <c r="Y635" s="112"/>
      <c r="Z635" s="112"/>
    </row>
    <row r="636" spans="1:26">
      <c r="A636" s="112"/>
      <c r="B636" s="112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2"/>
      <c r="Q636" s="112"/>
      <c r="R636" s="112"/>
      <c r="S636" s="112"/>
      <c r="T636" s="112"/>
      <c r="U636" s="112"/>
      <c r="V636" s="112"/>
      <c r="W636" s="112"/>
      <c r="X636" s="112"/>
      <c r="Y636" s="112"/>
      <c r="Z636" s="112"/>
    </row>
    <row r="637" spans="1:26">
      <c r="A637" s="112"/>
      <c r="B637" s="112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2"/>
      <c r="Q637" s="112"/>
      <c r="R637" s="112"/>
      <c r="S637" s="112"/>
      <c r="T637" s="112"/>
      <c r="U637" s="112"/>
      <c r="V637" s="112"/>
      <c r="W637" s="112"/>
      <c r="X637" s="112"/>
      <c r="Y637" s="112"/>
      <c r="Z637" s="112"/>
    </row>
    <row r="638" spans="1:26">
      <c r="A638" s="112"/>
      <c r="B638" s="112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2"/>
      <c r="Q638" s="112"/>
      <c r="R638" s="112"/>
      <c r="S638" s="112"/>
      <c r="T638" s="112"/>
      <c r="U638" s="112"/>
      <c r="V638" s="112"/>
      <c r="W638" s="112"/>
      <c r="X638" s="112"/>
      <c r="Y638" s="112"/>
      <c r="Z638" s="112"/>
    </row>
    <row r="639" spans="1:26">
      <c r="A639" s="112"/>
      <c r="B639" s="112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2"/>
      <c r="Q639" s="112"/>
      <c r="R639" s="112"/>
      <c r="S639" s="112"/>
      <c r="T639" s="112"/>
      <c r="U639" s="112"/>
      <c r="V639" s="112"/>
      <c r="W639" s="112"/>
      <c r="X639" s="112"/>
      <c r="Y639" s="112"/>
      <c r="Z639" s="112"/>
    </row>
    <row r="640" spans="1:26">
      <c r="A640" s="112"/>
      <c r="B640" s="112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12"/>
      <c r="Y640" s="112"/>
      <c r="Z640" s="112"/>
    </row>
    <row r="641" spans="1:26">
      <c r="A641" s="112"/>
      <c r="B641" s="112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12"/>
      <c r="Y641" s="112"/>
      <c r="Z641" s="112"/>
    </row>
    <row r="642" spans="1:26">
      <c r="A642" s="112"/>
      <c r="B642" s="112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2"/>
      <c r="Q642" s="112"/>
      <c r="R642" s="112"/>
      <c r="S642" s="112"/>
      <c r="T642" s="112"/>
      <c r="U642" s="112"/>
      <c r="V642" s="112"/>
      <c r="W642" s="112"/>
      <c r="X642" s="112"/>
      <c r="Y642" s="112"/>
      <c r="Z642" s="112"/>
    </row>
    <row r="643" spans="1:26">
      <c r="A643" s="112"/>
      <c r="B643" s="112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2"/>
      <c r="Q643" s="112"/>
      <c r="R643" s="112"/>
      <c r="S643" s="112"/>
      <c r="T643" s="112"/>
      <c r="U643" s="112"/>
      <c r="V643" s="112"/>
      <c r="W643" s="112"/>
      <c r="X643" s="112"/>
      <c r="Y643" s="112"/>
      <c r="Z643" s="112"/>
    </row>
    <row r="644" spans="1:26">
      <c r="A644" s="112"/>
      <c r="B644" s="112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2"/>
      <c r="Q644" s="112"/>
      <c r="R644" s="112"/>
      <c r="S644" s="112"/>
      <c r="T644" s="112"/>
      <c r="U644" s="112"/>
      <c r="V644" s="112"/>
      <c r="W644" s="112"/>
      <c r="X644" s="112"/>
      <c r="Y644" s="112"/>
      <c r="Z644" s="112"/>
    </row>
    <row r="645" spans="1:26">
      <c r="A645" s="112"/>
      <c r="B645" s="112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2"/>
      <c r="Q645" s="112"/>
      <c r="R645" s="112"/>
      <c r="S645" s="112"/>
      <c r="T645" s="112"/>
      <c r="U645" s="112"/>
      <c r="V645" s="112"/>
      <c r="W645" s="112"/>
      <c r="X645" s="112"/>
      <c r="Y645" s="112"/>
      <c r="Z645" s="112"/>
    </row>
    <row r="646" spans="1:26">
      <c r="A646" s="112"/>
      <c r="B646" s="112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2"/>
      <c r="Q646" s="112"/>
      <c r="R646" s="112"/>
      <c r="S646" s="112"/>
      <c r="T646" s="112"/>
      <c r="U646" s="112"/>
      <c r="V646" s="112"/>
      <c r="W646" s="112"/>
      <c r="X646" s="112"/>
      <c r="Y646" s="112"/>
      <c r="Z646" s="112"/>
    </row>
    <row r="647" spans="1:26">
      <c r="A647" s="112"/>
      <c r="B647" s="112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2"/>
      <c r="Q647" s="112"/>
      <c r="R647" s="112"/>
      <c r="S647" s="112"/>
      <c r="T647" s="112"/>
      <c r="U647" s="112"/>
      <c r="V647" s="112"/>
      <c r="W647" s="112"/>
      <c r="X647" s="112"/>
      <c r="Y647" s="112"/>
      <c r="Z647" s="112"/>
    </row>
    <row r="648" spans="1:26">
      <c r="A648" s="112"/>
      <c r="B648" s="112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2"/>
      <c r="Q648" s="112"/>
      <c r="R648" s="112"/>
      <c r="S648" s="112"/>
      <c r="T648" s="112"/>
      <c r="U648" s="112"/>
      <c r="V648" s="112"/>
      <c r="W648" s="112"/>
      <c r="X648" s="112"/>
      <c r="Y648" s="112"/>
      <c r="Z648" s="112"/>
    </row>
    <row r="649" spans="1:26">
      <c r="A649" s="112"/>
      <c r="B649" s="112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2"/>
      <c r="Q649" s="112"/>
      <c r="R649" s="112"/>
      <c r="S649" s="112"/>
      <c r="T649" s="112"/>
      <c r="U649" s="112"/>
      <c r="V649" s="112"/>
      <c r="W649" s="112"/>
      <c r="X649" s="112"/>
      <c r="Y649" s="112"/>
      <c r="Z649" s="112"/>
    </row>
    <row r="650" spans="1:26">
      <c r="A650" s="112"/>
      <c r="B650" s="112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2"/>
      <c r="Q650" s="112"/>
      <c r="R650" s="112"/>
      <c r="S650" s="112"/>
      <c r="T650" s="112"/>
      <c r="U650" s="112"/>
      <c r="V650" s="112"/>
      <c r="W650" s="112"/>
      <c r="X650" s="112"/>
      <c r="Y650" s="112"/>
      <c r="Z650" s="112"/>
    </row>
    <row r="651" spans="1:26">
      <c r="A651" s="112"/>
      <c r="B651" s="112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2"/>
      <c r="Q651" s="112"/>
      <c r="R651" s="112"/>
      <c r="S651" s="112"/>
      <c r="T651" s="112"/>
      <c r="U651" s="112"/>
      <c r="V651" s="112"/>
      <c r="W651" s="112"/>
      <c r="X651" s="112"/>
      <c r="Y651" s="112"/>
      <c r="Z651" s="112"/>
    </row>
    <row r="652" spans="1:26">
      <c r="A652" s="112"/>
      <c r="B652" s="112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2"/>
      <c r="Q652" s="112"/>
      <c r="R652" s="112"/>
      <c r="S652" s="112"/>
      <c r="T652" s="112"/>
      <c r="U652" s="112"/>
      <c r="V652" s="112"/>
      <c r="W652" s="112"/>
      <c r="X652" s="112"/>
      <c r="Y652" s="112"/>
      <c r="Z652" s="112"/>
    </row>
    <row r="653" spans="1:26">
      <c r="A653" s="112"/>
      <c r="B653" s="112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2"/>
      <c r="Q653" s="112"/>
      <c r="R653" s="112"/>
      <c r="S653" s="112"/>
      <c r="T653" s="112"/>
      <c r="U653" s="112"/>
      <c r="V653" s="112"/>
      <c r="W653" s="112"/>
      <c r="X653" s="112"/>
      <c r="Y653" s="112"/>
      <c r="Z653" s="112"/>
    </row>
    <row r="654" spans="1:26">
      <c r="A654" s="112"/>
      <c r="B654" s="112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2"/>
      <c r="Q654" s="112"/>
      <c r="R654" s="112"/>
      <c r="S654" s="112"/>
      <c r="T654" s="112"/>
      <c r="U654" s="112"/>
      <c r="V654" s="112"/>
      <c r="W654" s="112"/>
      <c r="X654" s="112"/>
      <c r="Y654" s="112"/>
      <c r="Z654" s="112"/>
    </row>
    <row r="655" spans="1:26">
      <c r="A655" s="112"/>
      <c r="B655" s="112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2"/>
      <c r="Q655" s="112"/>
      <c r="R655" s="112"/>
      <c r="S655" s="112"/>
      <c r="T655" s="112"/>
      <c r="U655" s="112"/>
      <c r="V655" s="112"/>
      <c r="W655" s="112"/>
      <c r="X655" s="112"/>
      <c r="Y655" s="112"/>
      <c r="Z655" s="112"/>
    </row>
    <row r="656" spans="1:26">
      <c r="A656" s="112"/>
      <c r="B656" s="112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2"/>
      <c r="Q656" s="112"/>
      <c r="R656" s="112"/>
      <c r="S656" s="112"/>
      <c r="T656" s="112"/>
      <c r="U656" s="112"/>
      <c r="V656" s="112"/>
      <c r="W656" s="112"/>
      <c r="X656" s="112"/>
      <c r="Y656" s="112"/>
      <c r="Z656" s="112"/>
    </row>
    <row r="657" spans="1:26">
      <c r="A657" s="112"/>
      <c r="B657" s="112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2"/>
      <c r="Q657" s="112"/>
      <c r="R657" s="112"/>
      <c r="S657" s="112"/>
      <c r="T657" s="112"/>
      <c r="U657" s="112"/>
      <c r="V657" s="112"/>
      <c r="W657" s="112"/>
      <c r="X657" s="112"/>
      <c r="Y657" s="112"/>
      <c r="Z657" s="112"/>
    </row>
    <row r="658" spans="1:26">
      <c r="A658" s="112"/>
      <c r="B658" s="112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2"/>
      <c r="Q658" s="112"/>
      <c r="R658" s="112"/>
      <c r="S658" s="112"/>
      <c r="T658" s="112"/>
      <c r="U658" s="112"/>
      <c r="V658" s="112"/>
      <c r="W658" s="112"/>
      <c r="X658" s="112"/>
      <c r="Y658" s="112"/>
      <c r="Z658" s="112"/>
    </row>
    <row r="659" spans="1:26">
      <c r="A659" s="112"/>
      <c r="B659" s="112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2"/>
      <c r="Q659" s="112"/>
      <c r="R659" s="112"/>
      <c r="S659" s="112"/>
      <c r="T659" s="112"/>
      <c r="U659" s="112"/>
      <c r="V659" s="112"/>
      <c r="W659" s="112"/>
      <c r="X659" s="112"/>
      <c r="Y659" s="112"/>
      <c r="Z659" s="112"/>
    </row>
    <row r="660" spans="1:26">
      <c r="A660" s="112"/>
      <c r="B660" s="112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2"/>
      <c r="Q660" s="112"/>
      <c r="R660" s="112"/>
      <c r="S660" s="112"/>
      <c r="T660" s="112"/>
      <c r="U660" s="112"/>
      <c r="V660" s="112"/>
      <c r="W660" s="112"/>
      <c r="X660" s="112"/>
      <c r="Y660" s="112"/>
      <c r="Z660" s="112"/>
    </row>
    <row r="661" spans="1:26">
      <c r="A661" s="112"/>
      <c r="B661" s="112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2"/>
      <c r="Q661" s="112"/>
      <c r="R661" s="112"/>
      <c r="S661" s="112"/>
      <c r="T661" s="112"/>
      <c r="U661" s="112"/>
      <c r="V661" s="112"/>
      <c r="W661" s="112"/>
      <c r="X661" s="112"/>
      <c r="Y661" s="112"/>
      <c r="Z661" s="112"/>
    </row>
    <row r="662" spans="1:26">
      <c r="A662" s="112"/>
      <c r="B662" s="112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2"/>
      <c r="Q662" s="112"/>
      <c r="R662" s="112"/>
      <c r="S662" s="112"/>
      <c r="T662" s="112"/>
      <c r="U662" s="112"/>
      <c r="V662" s="112"/>
      <c r="W662" s="112"/>
      <c r="X662" s="112"/>
      <c r="Y662" s="112"/>
      <c r="Z662" s="112"/>
    </row>
    <row r="663" spans="1:26">
      <c r="A663" s="112"/>
      <c r="B663" s="112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2"/>
      <c r="Q663" s="112"/>
      <c r="R663" s="112"/>
      <c r="S663" s="112"/>
      <c r="T663" s="112"/>
      <c r="U663" s="112"/>
      <c r="V663" s="112"/>
      <c r="W663" s="112"/>
      <c r="X663" s="112"/>
      <c r="Y663" s="112"/>
      <c r="Z663" s="112"/>
    </row>
    <row r="664" spans="1:26">
      <c r="A664" s="112"/>
      <c r="B664" s="112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2"/>
      <c r="Q664" s="112"/>
      <c r="R664" s="112"/>
      <c r="S664" s="112"/>
      <c r="T664" s="112"/>
      <c r="U664" s="112"/>
      <c r="V664" s="112"/>
      <c r="W664" s="112"/>
      <c r="X664" s="112"/>
      <c r="Y664" s="112"/>
      <c r="Z664" s="112"/>
    </row>
    <row r="665" spans="1:26">
      <c r="A665" s="112"/>
      <c r="B665" s="112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</row>
    <row r="666" spans="1:26">
      <c r="A666" s="112"/>
      <c r="B666" s="112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2"/>
      <c r="Q666" s="112"/>
      <c r="R666" s="112"/>
      <c r="S666" s="112"/>
      <c r="T666" s="112"/>
      <c r="U666" s="112"/>
      <c r="V666" s="112"/>
      <c r="W666" s="112"/>
      <c r="X666" s="112"/>
      <c r="Y666" s="112"/>
      <c r="Z666" s="112"/>
    </row>
    <row r="667" spans="1:26">
      <c r="A667" s="112"/>
      <c r="B667" s="112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2"/>
      <c r="Q667" s="112"/>
      <c r="R667" s="112"/>
      <c r="S667" s="112"/>
      <c r="T667" s="112"/>
      <c r="U667" s="112"/>
      <c r="V667" s="112"/>
      <c r="W667" s="112"/>
      <c r="X667" s="112"/>
      <c r="Y667" s="112"/>
      <c r="Z667" s="112"/>
    </row>
    <row r="668" spans="1:26">
      <c r="A668" s="112"/>
      <c r="B668" s="112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2"/>
      <c r="Q668" s="112"/>
      <c r="R668" s="112"/>
      <c r="S668" s="112"/>
      <c r="T668" s="112"/>
      <c r="U668" s="112"/>
      <c r="V668" s="112"/>
      <c r="W668" s="112"/>
      <c r="X668" s="112"/>
      <c r="Y668" s="112"/>
      <c r="Z668" s="112"/>
    </row>
    <row r="669" spans="1:26">
      <c r="A669" s="112"/>
      <c r="B669" s="112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2"/>
      <c r="Q669" s="112"/>
      <c r="R669" s="112"/>
      <c r="S669" s="112"/>
      <c r="T669" s="112"/>
      <c r="U669" s="112"/>
      <c r="V669" s="112"/>
      <c r="W669" s="112"/>
      <c r="X669" s="112"/>
      <c r="Y669" s="112"/>
      <c r="Z669" s="112"/>
    </row>
    <row r="670" spans="1:26">
      <c r="A670" s="112"/>
      <c r="B670" s="112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2"/>
      <c r="Q670" s="112"/>
      <c r="R670" s="112"/>
      <c r="S670" s="112"/>
      <c r="T670" s="112"/>
      <c r="U670" s="112"/>
      <c r="V670" s="112"/>
      <c r="W670" s="112"/>
      <c r="X670" s="112"/>
      <c r="Y670" s="112"/>
      <c r="Z670" s="112"/>
    </row>
    <row r="671" spans="1:26">
      <c r="A671" s="112"/>
      <c r="B671" s="112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2"/>
      <c r="Q671" s="112"/>
      <c r="R671" s="112"/>
      <c r="S671" s="112"/>
      <c r="T671" s="112"/>
      <c r="U671" s="112"/>
      <c r="V671" s="112"/>
      <c r="W671" s="112"/>
      <c r="X671" s="112"/>
      <c r="Y671" s="112"/>
      <c r="Z671" s="112"/>
    </row>
    <row r="672" spans="1:26">
      <c r="A672" s="112"/>
      <c r="B672" s="112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2"/>
      <c r="Q672" s="112"/>
      <c r="R672" s="112"/>
      <c r="S672" s="112"/>
      <c r="T672" s="112"/>
      <c r="U672" s="112"/>
      <c r="V672" s="112"/>
      <c r="W672" s="112"/>
      <c r="X672" s="112"/>
      <c r="Y672" s="112"/>
      <c r="Z672" s="112"/>
    </row>
    <row r="673" spans="1:26">
      <c r="A673" s="112"/>
      <c r="B673" s="112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2"/>
      <c r="Q673" s="112"/>
      <c r="R673" s="112"/>
      <c r="S673" s="112"/>
      <c r="T673" s="112"/>
      <c r="U673" s="112"/>
      <c r="V673" s="112"/>
      <c r="W673" s="112"/>
      <c r="X673" s="112"/>
      <c r="Y673" s="112"/>
      <c r="Z673" s="112"/>
    </row>
    <row r="674" spans="1:26">
      <c r="A674" s="112"/>
      <c r="B674" s="112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2"/>
      <c r="Q674" s="112"/>
      <c r="R674" s="112"/>
      <c r="S674" s="112"/>
      <c r="T674" s="112"/>
      <c r="U674" s="112"/>
      <c r="V674" s="112"/>
      <c r="W674" s="112"/>
      <c r="X674" s="112"/>
      <c r="Y674" s="112"/>
      <c r="Z674" s="112"/>
    </row>
    <row r="675" spans="1:26">
      <c r="A675" s="112"/>
      <c r="B675" s="112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2"/>
      <c r="Q675" s="112"/>
      <c r="R675" s="112"/>
      <c r="S675" s="112"/>
      <c r="T675" s="112"/>
      <c r="U675" s="112"/>
      <c r="V675" s="112"/>
      <c r="W675" s="112"/>
      <c r="X675" s="112"/>
      <c r="Y675" s="112"/>
      <c r="Z675" s="112"/>
    </row>
    <row r="676" spans="1:26">
      <c r="A676" s="112"/>
      <c r="B676" s="112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2"/>
      <c r="Q676" s="112"/>
      <c r="R676" s="112"/>
      <c r="S676" s="112"/>
      <c r="T676" s="112"/>
      <c r="U676" s="112"/>
      <c r="V676" s="112"/>
      <c r="W676" s="112"/>
      <c r="X676" s="112"/>
      <c r="Y676" s="112"/>
      <c r="Z676" s="112"/>
    </row>
    <row r="677" spans="1:26">
      <c r="A677" s="112"/>
      <c r="B677" s="112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2"/>
      <c r="Q677" s="112"/>
      <c r="R677" s="112"/>
      <c r="S677" s="112"/>
      <c r="T677" s="112"/>
      <c r="U677" s="112"/>
      <c r="V677" s="112"/>
      <c r="W677" s="112"/>
      <c r="X677" s="112"/>
      <c r="Y677" s="112"/>
      <c r="Z677" s="112"/>
    </row>
    <row r="678" spans="1:26">
      <c r="A678" s="112"/>
      <c r="B678" s="112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2"/>
      <c r="Q678" s="112"/>
      <c r="R678" s="112"/>
      <c r="S678" s="112"/>
      <c r="T678" s="112"/>
      <c r="U678" s="112"/>
      <c r="V678" s="112"/>
      <c r="W678" s="112"/>
      <c r="X678" s="112"/>
      <c r="Y678" s="112"/>
      <c r="Z678" s="112"/>
    </row>
    <row r="679" spans="1:26">
      <c r="A679" s="112"/>
      <c r="B679" s="112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2"/>
      <c r="Q679" s="112"/>
      <c r="R679" s="112"/>
      <c r="S679" s="112"/>
      <c r="T679" s="112"/>
      <c r="U679" s="112"/>
      <c r="V679" s="112"/>
      <c r="W679" s="112"/>
      <c r="X679" s="112"/>
      <c r="Y679" s="112"/>
      <c r="Z679" s="112"/>
    </row>
    <row r="680" spans="1:26">
      <c r="A680" s="112"/>
      <c r="B680" s="112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2"/>
      <c r="Q680" s="112"/>
      <c r="R680" s="112"/>
      <c r="S680" s="112"/>
      <c r="T680" s="112"/>
      <c r="U680" s="112"/>
      <c r="V680" s="112"/>
      <c r="W680" s="112"/>
      <c r="X680" s="112"/>
      <c r="Y680" s="112"/>
      <c r="Z680" s="112"/>
    </row>
    <row r="681" spans="1:26">
      <c r="A681" s="112"/>
      <c r="B681" s="112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2"/>
      <c r="Q681" s="112"/>
      <c r="R681" s="112"/>
      <c r="S681" s="112"/>
      <c r="T681" s="112"/>
      <c r="U681" s="112"/>
      <c r="V681" s="112"/>
      <c r="W681" s="112"/>
      <c r="X681" s="112"/>
      <c r="Y681" s="112"/>
      <c r="Z681" s="112"/>
    </row>
    <row r="682" spans="1:26">
      <c r="A682" s="112"/>
      <c r="B682" s="112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2"/>
      <c r="Q682" s="112"/>
      <c r="R682" s="112"/>
      <c r="S682" s="112"/>
      <c r="T682" s="112"/>
      <c r="U682" s="112"/>
      <c r="V682" s="112"/>
      <c r="W682" s="112"/>
      <c r="X682" s="112"/>
      <c r="Y682" s="112"/>
      <c r="Z682" s="112"/>
    </row>
    <row r="683" spans="1:26">
      <c r="A683" s="112"/>
      <c r="B683" s="112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2"/>
      <c r="Q683" s="112"/>
      <c r="R683" s="112"/>
      <c r="S683" s="112"/>
      <c r="T683" s="112"/>
      <c r="U683" s="112"/>
      <c r="V683" s="112"/>
      <c r="W683" s="112"/>
      <c r="X683" s="112"/>
      <c r="Y683" s="112"/>
      <c r="Z683" s="112"/>
    </row>
    <row r="684" spans="1:26">
      <c r="A684" s="112"/>
      <c r="B684" s="112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2"/>
      <c r="Q684" s="112"/>
      <c r="R684" s="112"/>
      <c r="S684" s="112"/>
      <c r="T684" s="112"/>
      <c r="U684" s="112"/>
      <c r="V684" s="112"/>
      <c r="W684" s="112"/>
      <c r="X684" s="112"/>
      <c r="Y684" s="112"/>
      <c r="Z684" s="112"/>
    </row>
    <row r="685" spans="1:26">
      <c r="A685" s="112"/>
      <c r="B685" s="112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2"/>
      <c r="Q685" s="112"/>
      <c r="R685" s="112"/>
      <c r="S685" s="112"/>
      <c r="T685" s="112"/>
      <c r="U685" s="112"/>
      <c r="V685" s="112"/>
      <c r="W685" s="112"/>
      <c r="X685" s="112"/>
      <c r="Y685" s="112"/>
      <c r="Z685" s="112"/>
    </row>
    <row r="686" spans="1:26">
      <c r="A686" s="112"/>
      <c r="B686" s="112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2"/>
      <c r="Q686" s="112"/>
      <c r="R686" s="112"/>
      <c r="S686" s="112"/>
      <c r="T686" s="112"/>
      <c r="U686" s="112"/>
      <c r="V686" s="112"/>
      <c r="W686" s="112"/>
      <c r="X686" s="112"/>
      <c r="Y686" s="112"/>
      <c r="Z686" s="112"/>
    </row>
    <row r="687" spans="1:26">
      <c r="A687" s="112"/>
      <c r="B687" s="112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2"/>
      <c r="Q687" s="112"/>
      <c r="R687" s="112"/>
      <c r="S687" s="112"/>
      <c r="T687" s="112"/>
      <c r="U687" s="112"/>
      <c r="V687" s="112"/>
      <c r="W687" s="112"/>
      <c r="X687" s="112"/>
      <c r="Y687" s="112"/>
      <c r="Z687" s="112"/>
    </row>
    <row r="688" spans="1:26">
      <c r="A688" s="112"/>
      <c r="B688" s="112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2"/>
      <c r="Q688" s="112"/>
      <c r="R688" s="112"/>
      <c r="S688" s="112"/>
      <c r="T688" s="112"/>
      <c r="U688" s="112"/>
      <c r="V688" s="112"/>
      <c r="W688" s="112"/>
      <c r="X688" s="112"/>
      <c r="Y688" s="112"/>
      <c r="Z688" s="112"/>
    </row>
    <row r="689" spans="1:26">
      <c r="A689" s="112"/>
      <c r="B689" s="112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2"/>
      <c r="Q689" s="112"/>
      <c r="R689" s="112"/>
      <c r="S689" s="112"/>
      <c r="T689" s="112"/>
      <c r="U689" s="112"/>
      <c r="V689" s="112"/>
      <c r="W689" s="112"/>
      <c r="X689" s="112"/>
      <c r="Y689" s="112"/>
      <c r="Z689" s="112"/>
    </row>
    <row r="690" spans="1:26">
      <c r="A690" s="112"/>
      <c r="B690" s="112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2"/>
      <c r="Q690" s="112"/>
      <c r="R690" s="112"/>
      <c r="S690" s="112"/>
      <c r="T690" s="112"/>
      <c r="U690" s="112"/>
      <c r="V690" s="112"/>
      <c r="W690" s="112"/>
      <c r="X690" s="112"/>
      <c r="Y690" s="112"/>
      <c r="Z690" s="112"/>
    </row>
    <row r="691" spans="1:26">
      <c r="A691" s="112"/>
      <c r="B691" s="112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2"/>
      <c r="Q691" s="112"/>
      <c r="R691" s="112"/>
      <c r="S691" s="112"/>
      <c r="T691" s="112"/>
      <c r="U691" s="112"/>
      <c r="V691" s="112"/>
      <c r="W691" s="112"/>
      <c r="X691" s="112"/>
      <c r="Y691" s="112"/>
      <c r="Z691" s="112"/>
    </row>
    <row r="692" spans="1:26">
      <c r="A692" s="112"/>
      <c r="B692" s="112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2"/>
      <c r="Q692" s="112"/>
      <c r="R692" s="112"/>
      <c r="S692" s="112"/>
      <c r="T692" s="112"/>
      <c r="U692" s="112"/>
      <c r="V692" s="112"/>
      <c r="W692" s="112"/>
      <c r="X692" s="112"/>
      <c r="Y692" s="112"/>
      <c r="Z692" s="112"/>
    </row>
    <row r="693" spans="1:26">
      <c r="A693" s="112"/>
      <c r="B693" s="112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2"/>
      <c r="Q693" s="112"/>
      <c r="R693" s="112"/>
      <c r="S693" s="112"/>
      <c r="T693" s="112"/>
      <c r="U693" s="112"/>
      <c r="V693" s="112"/>
      <c r="W693" s="112"/>
      <c r="X693" s="112"/>
      <c r="Y693" s="112"/>
      <c r="Z693" s="112"/>
    </row>
    <row r="694" spans="1:26">
      <c r="A694" s="112"/>
      <c r="B694" s="112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2"/>
      <c r="Q694" s="112"/>
      <c r="R694" s="112"/>
      <c r="S694" s="112"/>
      <c r="T694" s="112"/>
      <c r="U694" s="112"/>
      <c r="V694" s="112"/>
      <c r="W694" s="112"/>
      <c r="X694" s="112"/>
      <c r="Y694" s="112"/>
      <c r="Z694" s="112"/>
    </row>
    <row r="695" spans="1:26">
      <c r="A695" s="112"/>
      <c r="B695" s="112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2"/>
      <c r="Q695" s="112"/>
      <c r="R695" s="112"/>
      <c r="S695" s="112"/>
      <c r="T695" s="112"/>
      <c r="U695" s="112"/>
      <c r="V695" s="112"/>
      <c r="W695" s="112"/>
      <c r="X695" s="112"/>
      <c r="Y695" s="112"/>
      <c r="Z695" s="112"/>
    </row>
    <row r="696" spans="1:26">
      <c r="A696" s="112"/>
      <c r="B696" s="112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2"/>
      <c r="Q696" s="112"/>
      <c r="R696" s="112"/>
      <c r="S696" s="112"/>
      <c r="T696" s="112"/>
      <c r="U696" s="112"/>
      <c r="V696" s="112"/>
      <c r="W696" s="112"/>
      <c r="X696" s="112"/>
      <c r="Y696" s="112"/>
      <c r="Z696" s="112"/>
    </row>
    <row r="697" spans="1:26">
      <c r="A697" s="112"/>
      <c r="B697" s="112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2"/>
      <c r="Q697" s="112"/>
      <c r="R697" s="112"/>
      <c r="S697" s="112"/>
      <c r="T697" s="112"/>
      <c r="U697" s="112"/>
      <c r="V697" s="112"/>
      <c r="W697" s="112"/>
      <c r="X697" s="112"/>
      <c r="Y697" s="112"/>
      <c r="Z697" s="112"/>
    </row>
    <row r="698" spans="1:26">
      <c r="A698" s="112"/>
      <c r="B698" s="112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2"/>
      <c r="Q698" s="112"/>
      <c r="R698" s="112"/>
      <c r="S698" s="112"/>
      <c r="T698" s="112"/>
      <c r="U698" s="112"/>
      <c r="V698" s="112"/>
      <c r="W698" s="112"/>
      <c r="X698" s="112"/>
      <c r="Y698" s="112"/>
      <c r="Z698" s="112"/>
    </row>
    <row r="699" spans="1:26">
      <c r="A699" s="112"/>
      <c r="B699" s="112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2"/>
      <c r="Q699" s="112"/>
      <c r="R699" s="112"/>
      <c r="S699" s="112"/>
      <c r="T699" s="112"/>
      <c r="U699" s="112"/>
      <c r="V699" s="112"/>
      <c r="W699" s="112"/>
      <c r="X699" s="112"/>
      <c r="Y699" s="112"/>
      <c r="Z699" s="112"/>
    </row>
    <row r="700" spans="1:26">
      <c r="A700" s="112"/>
      <c r="B700" s="112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2"/>
      <c r="Q700" s="112"/>
      <c r="R700" s="112"/>
      <c r="S700" s="112"/>
      <c r="T700" s="112"/>
      <c r="U700" s="112"/>
      <c r="V700" s="112"/>
      <c r="W700" s="112"/>
      <c r="X700" s="112"/>
      <c r="Y700" s="112"/>
      <c r="Z700" s="112"/>
    </row>
    <row r="701" spans="1:26">
      <c r="A701" s="112"/>
      <c r="B701" s="112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2"/>
      <c r="Q701" s="112"/>
      <c r="R701" s="112"/>
      <c r="S701" s="112"/>
      <c r="T701" s="112"/>
      <c r="U701" s="112"/>
      <c r="V701" s="112"/>
      <c r="W701" s="112"/>
      <c r="X701" s="112"/>
      <c r="Y701" s="112"/>
      <c r="Z701" s="112"/>
    </row>
    <row r="702" spans="1:26">
      <c r="A702" s="112"/>
      <c r="B702" s="112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2"/>
      <c r="Q702" s="112"/>
      <c r="R702" s="112"/>
      <c r="S702" s="112"/>
      <c r="T702" s="112"/>
      <c r="U702" s="112"/>
      <c r="V702" s="112"/>
      <c r="W702" s="112"/>
      <c r="X702" s="112"/>
      <c r="Y702" s="112"/>
      <c r="Z702" s="112"/>
    </row>
    <row r="703" spans="1:26">
      <c r="A703" s="112"/>
      <c r="B703" s="112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2"/>
      <c r="Q703" s="112"/>
      <c r="R703" s="112"/>
      <c r="S703" s="112"/>
      <c r="T703" s="112"/>
      <c r="U703" s="112"/>
      <c r="V703" s="112"/>
      <c r="W703" s="112"/>
      <c r="X703" s="112"/>
      <c r="Y703" s="112"/>
      <c r="Z703" s="112"/>
    </row>
    <row r="704" spans="1:26">
      <c r="A704" s="112"/>
      <c r="B704" s="112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2"/>
      <c r="Q704" s="112"/>
      <c r="R704" s="112"/>
      <c r="S704" s="112"/>
      <c r="T704" s="112"/>
      <c r="U704" s="112"/>
      <c r="V704" s="112"/>
      <c r="W704" s="112"/>
      <c r="X704" s="112"/>
      <c r="Y704" s="112"/>
      <c r="Z704" s="112"/>
    </row>
    <row r="705" spans="1:26">
      <c r="A705" s="112"/>
      <c r="B705" s="112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2"/>
      <c r="Q705" s="112"/>
      <c r="R705" s="112"/>
      <c r="S705" s="112"/>
      <c r="T705" s="112"/>
      <c r="U705" s="112"/>
      <c r="V705" s="112"/>
      <c r="W705" s="112"/>
      <c r="X705" s="112"/>
      <c r="Y705" s="112"/>
      <c r="Z705" s="112"/>
    </row>
    <row r="706" spans="1:26">
      <c r="A706" s="112"/>
      <c r="B706" s="112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2"/>
      <c r="Q706" s="112"/>
      <c r="R706" s="112"/>
      <c r="S706" s="112"/>
      <c r="T706" s="112"/>
      <c r="U706" s="112"/>
      <c r="V706" s="112"/>
      <c r="W706" s="112"/>
      <c r="X706" s="112"/>
      <c r="Y706" s="112"/>
      <c r="Z706" s="112"/>
    </row>
    <row r="707" spans="1:26">
      <c r="A707" s="112"/>
      <c r="B707" s="112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2"/>
      <c r="Q707" s="112"/>
      <c r="R707" s="112"/>
      <c r="S707" s="112"/>
      <c r="T707" s="112"/>
      <c r="U707" s="112"/>
      <c r="V707" s="112"/>
      <c r="W707" s="112"/>
      <c r="X707" s="112"/>
      <c r="Y707" s="112"/>
      <c r="Z707" s="112"/>
    </row>
    <row r="708" spans="1:26">
      <c r="A708" s="112"/>
      <c r="B708" s="112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2"/>
      <c r="Q708" s="112"/>
      <c r="R708" s="112"/>
      <c r="S708" s="112"/>
      <c r="T708" s="112"/>
      <c r="U708" s="112"/>
      <c r="V708" s="112"/>
      <c r="W708" s="112"/>
      <c r="X708" s="112"/>
      <c r="Y708" s="112"/>
      <c r="Z708" s="112"/>
    </row>
    <row r="709" spans="1:26">
      <c r="A709" s="112"/>
      <c r="B709" s="112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2"/>
      <c r="Q709" s="112"/>
      <c r="R709" s="112"/>
      <c r="S709" s="112"/>
      <c r="T709" s="112"/>
      <c r="U709" s="112"/>
      <c r="V709" s="112"/>
      <c r="W709" s="112"/>
      <c r="X709" s="112"/>
      <c r="Y709" s="112"/>
      <c r="Z709" s="112"/>
    </row>
    <row r="710" spans="1:26">
      <c r="A710" s="112"/>
      <c r="B710" s="112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2"/>
      <c r="Q710" s="112"/>
      <c r="R710" s="112"/>
      <c r="S710" s="112"/>
      <c r="T710" s="112"/>
      <c r="U710" s="112"/>
      <c r="V710" s="112"/>
      <c r="W710" s="112"/>
      <c r="X710" s="112"/>
      <c r="Y710" s="112"/>
      <c r="Z710" s="112"/>
    </row>
    <row r="711" spans="1:26">
      <c r="A711" s="112"/>
      <c r="B711" s="112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2"/>
      <c r="Q711" s="112"/>
      <c r="R711" s="112"/>
      <c r="S711" s="112"/>
      <c r="T711" s="112"/>
      <c r="U711" s="112"/>
      <c r="V711" s="112"/>
      <c r="W711" s="112"/>
      <c r="X711" s="112"/>
      <c r="Y711" s="112"/>
      <c r="Z711" s="112"/>
    </row>
    <row r="712" spans="1:26">
      <c r="A712" s="112"/>
      <c r="B712" s="112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2"/>
      <c r="Q712" s="112"/>
      <c r="R712" s="112"/>
      <c r="S712" s="112"/>
      <c r="T712" s="112"/>
      <c r="U712" s="112"/>
      <c r="V712" s="112"/>
      <c r="W712" s="112"/>
      <c r="X712" s="112"/>
      <c r="Y712" s="112"/>
      <c r="Z712" s="112"/>
    </row>
    <row r="713" spans="1:26">
      <c r="A713" s="112"/>
      <c r="B713" s="112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2"/>
      <c r="Q713" s="112"/>
      <c r="R713" s="112"/>
      <c r="S713" s="112"/>
      <c r="T713" s="112"/>
      <c r="U713" s="112"/>
      <c r="V713" s="112"/>
      <c r="W713" s="112"/>
      <c r="X713" s="112"/>
      <c r="Y713" s="112"/>
      <c r="Z713" s="112"/>
    </row>
    <row r="714" spans="1:26">
      <c r="A714" s="112"/>
      <c r="B714" s="112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2"/>
      <c r="Q714" s="112"/>
      <c r="R714" s="112"/>
      <c r="S714" s="112"/>
      <c r="T714" s="112"/>
      <c r="U714" s="112"/>
      <c r="V714" s="112"/>
      <c r="W714" s="112"/>
      <c r="X714" s="112"/>
      <c r="Y714" s="112"/>
      <c r="Z714" s="112"/>
    </row>
    <row r="715" spans="1:26">
      <c r="A715" s="112"/>
      <c r="B715" s="112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2"/>
      <c r="Q715" s="112"/>
      <c r="R715" s="112"/>
      <c r="S715" s="112"/>
      <c r="T715" s="112"/>
      <c r="U715" s="112"/>
      <c r="V715" s="112"/>
      <c r="W715" s="112"/>
      <c r="X715" s="112"/>
      <c r="Y715" s="112"/>
      <c r="Z715" s="112"/>
    </row>
    <row r="716" spans="1:26">
      <c r="A716" s="112"/>
      <c r="B716" s="112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2"/>
      <c r="Q716" s="112"/>
      <c r="R716" s="112"/>
      <c r="S716" s="112"/>
      <c r="T716" s="112"/>
      <c r="U716" s="112"/>
      <c r="V716" s="112"/>
      <c r="W716" s="112"/>
      <c r="X716" s="112"/>
      <c r="Y716" s="112"/>
      <c r="Z716" s="112"/>
    </row>
    <row r="717" spans="1:26">
      <c r="A717" s="112"/>
      <c r="B717" s="112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2"/>
      <c r="Q717" s="112"/>
      <c r="R717" s="112"/>
      <c r="S717" s="112"/>
      <c r="T717" s="112"/>
      <c r="U717" s="112"/>
      <c r="V717" s="112"/>
      <c r="W717" s="112"/>
      <c r="X717" s="112"/>
      <c r="Y717" s="112"/>
      <c r="Z717" s="112"/>
    </row>
    <row r="718" spans="1:26">
      <c r="A718" s="112"/>
      <c r="B718" s="112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2"/>
      <c r="Q718" s="112"/>
      <c r="R718" s="112"/>
      <c r="S718" s="112"/>
      <c r="T718" s="112"/>
      <c r="U718" s="112"/>
      <c r="V718" s="112"/>
      <c r="W718" s="112"/>
      <c r="X718" s="112"/>
      <c r="Y718" s="112"/>
      <c r="Z718" s="112"/>
    </row>
    <row r="719" spans="1:26">
      <c r="A719" s="112"/>
      <c r="B719" s="112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2"/>
      <c r="Q719" s="112"/>
      <c r="R719" s="112"/>
      <c r="S719" s="112"/>
      <c r="T719" s="112"/>
      <c r="U719" s="112"/>
      <c r="V719" s="112"/>
      <c r="W719" s="112"/>
      <c r="X719" s="112"/>
      <c r="Y719" s="112"/>
      <c r="Z719" s="112"/>
    </row>
    <row r="720" spans="1:26">
      <c r="A720" s="112"/>
      <c r="B720" s="112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2"/>
      <c r="Q720" s="112"/>
      <c r="R720" s="112"/>
      <c r="S720" s="112"/>
      <c r="T720" s="112"/>
      <c r="U720" s="112"/>
      <c r="V720" s="112"/>
      <c r="W720" s="112"/>
      <c r="X720" s="112"/>
      <c r="Y720" s="112"/>
      <c r="Z720" s="112"/>
    </row>
    <row r="721" spans="1:26">
      <c r="A721" s="112"/>
      <c r="B721" s="112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2"/>
      <c r="Q721" s="112"/>
      <c r="R721" s="112"/>
      <c r="S721" s="112"/>
      <c r="T721" s="112"/>
      <c r="U721" s="112"/>
      <c r="V721" s="112"/>
      <c r="W721" s="112"/>
      <c r="X721" s="112"/>
      <c r="Y721" s="112"/>
      <c r="Z721" s="112"/>
    </row>
    <row r="722" spans="1:26">
      <c r="A722" s="112"/>
      <c r="B722" s="112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2"/>
      <c r="Q722" s="112"/>
      <c r="R722" s="112"/>
      <c r="S722" s="112"/>
      <c r="T722" s="112"/>
      <c r="U722" s="112"/>
      <c r="V722" s="112"/>
      <c r="W722" s="112"/>
      <c r="X722" s="112"/>
      <c r="Y722" s="112"/>
      <c r="Z722" s="112"/>
    </row>
    <row r="723" spans="1:26">
      <c r="A723" s="112"/>
      <c r="B723" s="112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2"/>
      <c r="Q723" s="112"/>
      <c r="R723" s="112"/>
      <c r="S723" s="112"/>
      <c r="T723" s="112"/>
      <c r="U723" s="112"/>
      <c r="V723" s="112"/>
      <c r="W723" s="112"/>
      <c r="X723" s="112"/>
      <c r="Y723" s="112"/>
      <c r="Z723" s="112"/>
    </row>
    <row r="724" spans="1:26">
      <c r="A724" s="112"/>
      <c r="B724" s="112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2"/>
      <c r="Q724" s="112"/>
      <c r="R724" s="112"/>
      <c r="S724" s="112"/>
      <c r="T724" s="112"/>
      <c r="U724" s="112"/>
      <c r="V724" s="112"/>
      <c r="W724" s="112"/>
      <c r="X724" s="112"/>
      <c r="Y724" s="112"/>
      <c r="Z724" s="112"/>
    </row>
    <row r="725" spans="1:26">
      <c r="A725" s="112"/>
      <c r="B725" s="112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2"/>
      <c r="Q725" s="112"/>
      <c r="R725" s="112"/>
      <c r="S725" s="112"/>
      <c r="T725" s="112"/>
      <c r="U725" s="112"/>
      <c r="V725" s="112"/>
      <c r="W725" s="112"/>
      <c r="X725" s="112"/>
      <c r="Y725" s="112"/>
      <c r="Z725" s="112"/>
    </row>
    <row r="726" spans="1:26">
      <c r="A726" s="112"/>
      <c r="B726" s="112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2"/>
      <c r="Q726" s="112"/>
      <c r="R726" s="112"/>
      <c r="S726" s="112"/>
      <c r="T726" s="112"/>
      <c r="U726" s="112"/>
      <c r="V726" s="112"/>
      <c r="W726" s="112"/>
      <c r="X726" s="112"/>
      <c r="Y726" s="112"/>
      <c r="Z726" s="112"/>
    </row>
    <row r="727" spans="1:26">
      <c r="A727" s="112"/>
      <c r="B727" s="112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2"/>
      <c r="Q727" s="112"/>
      <c r="R727" s="112"/>
      <c r="S727" s="112"/>
      <c r="T727" s="112"/>
      <c r="U727" s="112"/>
      <c r="V727" s="112"/>
      <c r="W727" s="112"/>
      <c r="X727" s="112"/>
      <c r="Y727" s="112"/>
      <c r="Z727" s="112"/>
    </row>
    <row r="728" spans="1:26">
      <c r="A728" s="112"/>
      <c r="B728" s="112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2"/>
      <c r="Q728" s="112"/>
      <c r="R728" s="112"/>
      <c r="S728" s="112"/>
      <c r="T728" s="112"/>
      <c r="U728" s="112"/>
      <c r="V728" s="112"/>
      <c r="W728" s="112"/>
      <c r="X728" s="112"/>
      <c r="Y728" s="112"/>
      <c r="Z728" s="112"/>
    </row>
    <row r="729" spans="1:26">
      <c r="A729" s="112"/>
      <c r="B729" s="112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2"/>
      <c r="Q729" s="112"/>
      <c r="R729" s="112"/>
      <c r="S729" s="112"/>
      <c r="T729" s="112"/>
      <c r="U729" s="112"/>
      <c r="V729" s="112"/>
      <c r="W729" s="112"/>
      <c r="X729" s="112"/>
      <c r="Y729" s="112"/>
      <c r="Z729" s="112"/>
    </row>
    <row r="730" spans="1:26">
      <c r="A730" s="112"/>
      <c r="B730" s="112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</row>
    <row r="731" spans="1:26">
      <c r="A731" s="112"/>
      <c r="B731" s="112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2"/>
      <c r="Q731" s="112"/>
      <c r="R731" s="112"/>
      <c r="S731" s="112"/>
      <c r="T731" s="112"/>
      <c r="U731" s="112"/>
      <c r="V731" s="112"/>
      <c r="W731" s="112"/>
      <c r="X731" s="112"/>
      <c r="Y731" s="112"/>
      <c r="Z731" s="112"/>
    </row>
    <row r="732" spans="1:26">
      <c r="A732" s="112"/>
      <c r="B732" s="112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2"/>
      <c r="Q732" s="112"/>
      <c r="R732" s="112"/>
      <c r="S732" s="112"/>
      <c r="T732" s="112"/>
      <c r="U732" s="112"/>
      <c r="V732" s="112"/>
      <c r="W732" s="112"/>
      <c r="X732" s="112"/>
      <c r="Y732" s="112"/>
      <c r="Z732" s="112"/>
    </row>
    <row r="733" spans="1:26">
      <c r="A733" s="112"/>
      <c r="B733" s="112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2"/>
      <c r="Q733" s="112"/>
      <c r="R733" s="112"/>
      <c r="S733" s="112"/>
      <c r="T733" s="112"/>
      <c r="U733" s="112"/>
      <c r="V733" s="112"/>
      <c r="W733" s="112"/>
      <c r="X733" s="112"/>
      <c r="Y733" s="112"/>
      <c r="Z733" s="112"/>
    </row>
    <row r="734" spans="1:26">
      <c r="A734" s="112"/>
      <c r="B734" s="112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2"/>
      <c r="Q734" s="112"/>
      <c r="R734" s="112"/>
      <c r="S734" s="112"/>
      <c r="T734" s="112"/>
      <c r="U734" s="112"/>
      <c r="V734" s="112"/>
      <c r="W734" s="112"/>
      <c r="X734" s="112"/>
      <c r="Y734" s="112"/>
      <c r="Z734" s="112"/>
    </row>
    <row r="735" spans="1:26">
      <c r="A735" s="112"/>
      <c r="B735" s="112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2"/>
      <c r="Q735" s="112"/>
      <c r="R735" s="112"/>
      <c r="S735" s="112"/>
      <c r="T735" s="112"/>
      <c r="U735" s="112"/>
      <c r="V735" s="112"/>
      <c r="W735" s="112"/>
      <c r="X735" s="112"/>
      <c r="Y735" s="112"/>
      <c r="Z735" s="112"/>
    </row>
    <row r="736" spans="1:26">
      <c r="A736" s="112"/>
      <c r="B736" s="112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2"/>
      <c r="Q736" s="112"/>
      <c r="R736" s="112"/>
      <c r="S736" s="112"/>
      <c r="T736" s="112"/>
      <c r="U736" s="112"/>
      <c r="V736" s="112"/>
      <c r="W736" s="112"/>
      <c r="X736" s="112"/>
      <c r="Y736" s="112"/>
      <c r="Z736" s="112"/>
    </row>
    <row r="737" spans="1:26">
      <c r="A737" s="112"/>
      <c r="B737" s="112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2"/>
      <c r="Q737" s="112"/>
      <c r="R737" s="112"/>
      <c r="S737" s="112"/>
      <c r="T737" s="112"/>
      <c r="U737" s="112"/>
      <c r="V737" s="112"/>
      <c r="W737" s="112"/>
      <c r="X737" s="112"/>
      <c r="Y737" s="112"/>
      <c r="Z737" s="112"/>
    </row>
    <row r="738" spans="1:26">
      <c r="A738" s="112"/>
      <c r="B738" s="112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2"/>
      <c r="Q738" s="112"/>
      <c r="R738" s="112"/>
      <c r="S738" s="112"/>
      <c r="T738" s="112"/>
      <c r="U738" s="112"/>
      <c r="V738" s="112"/>
      <c r="W738" s="112"/>
      <c r="X738" s="112"/>
      <c r="Y738" s="112"/>
      <c r="Z738" s="112"/>
    </row>
    <row r="739" spans="1:26">
      <c r="A739" s="112"/>
      <c r="B739" s="112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2"/>
      <c r="Q739" s="112"/>
      <c r="R739" s="112"/>
      <c r="S739" s="112"/>
      <c r="T739" s="112"/>
      <c r="U739" s="112"/>
      <c r="V739" s="112"/>
      <c r="W739" s="112"/>
      <c r="X739" s="112"/>
      <c r="Y739" s="112"/>
      <c r="Z739" s="112"/>
    </row>
    <row r="740" spans="1:26">
      <c r="A740" s="112"/>
      <c r="B740" s="112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2"/>
      <c r="Q740" s="112"/>
      <c r="R740" s="112"/>
      <c r="S740" s="112"/>
      <c r="T740" s="112"/>
      <c r="U740" s="112"/>
      <c r="V740" s="112"/>
      <c r="W740" s="112"/>
      <c r="X740" s="112"/>
      <c r="Y740" s="112"/>
      <c r="Z740" s="112"/>
    </row>
    <row r="741" spans="1:26">
      <c r="A741" s="112"/>
      <c r="B741" s="112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2"/>
      <c r="Q741" s="112"/>
      <c r="R741" s="112"/>
      <c r="S741" s="112"/>
      <c r="T741" s="112"/>
      <c r="U741" s="112"/>
      <c r="V741" s="112"/>
      <c r="W741" s="112"/>
      <c r="X741" s="112"/>
      <c r="Y741" s="112"/>
      <c r="Z741" s="112"/>
    </row>
    <row r="742" spans="1:26">
      <c r="A742" s="112"/>
      <c r="B742" s="112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2"/>
      <c r="Q742" s="112"/>
      <c r="R742" s="112"/>
      <c r="S742" s="112"/>
      <c r="T742" s="112"/>
      <c r="U742" s="112"/>
      <c r="V742" s="112"/>
      <c r="W742" s="112"/>
      <c r="X742" s="112"/>
      <c r="Y742" s="112"/>
      <c r="Z742" s="112"/>
    </row>
    <row r="743" spans="1:26">
      <c r="A743" s="112"/>
      <c r="B743" s="112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2"/>
      <c r="Q743" s="112"/>
      <c r="R743" s="112"/>
      <c r="S743" s="112"/>
      <c r="T743" s="112"/>
      <c r="U743" s="112"/>
      <c r="V743" s="112"/>
      <c r="W743" s="112"/>
      <c r="X743" s="112"/>
      <c r="Y743" s="112"/>
      <c r="Z743" s="112"/>
    </row>
    <row r="744" spans="1:26">
      <c r="A744" s="112"/>
      <c r="B744" s="112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2"/>
      <c r="Q744" s="112"/>
      <c r="R744" s="112"/>
      <c r="S744" s="112"/>
      <c r="T744" s="112"/>
      <c r="U744" s="112"/>
      <c r="V744" s="112"/>
      <c r="W744" s="112"/>
      <c r="X744" s="112"/>
      <c r="Y744" s="112"/>
      <c r="Z744" s="112"/>
    </row>
    <row r="745" spans="1:26">
      <c r="A745" s="112"/>
      <c r="B745" s="112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2"/>
      <c r="Q745" s="112"/>
      <c r="R745" s="112"/>
      <c r="S745" s="112"/>
      <c r="T745" s="112"/>
      <c r="U745" s="112"/>
      <c r="V745" s="112"/>
      <c r="W745" s="112"/>
      <c r="X745" s="112"/>
      <c r="Y745" s="112"/>
      <c r="Z745" s="112"/>
    </row>
    <row r="746" spans="1:26">
      <c r="A746" s="112"/>
      <c r="B746" s="112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2"/>
      <c r="Q746" s="112"/>
      <c r="R746" s="112"/>
      <c r="S746" s="112"/>
      <c r="T746" s="112"/>
      <c r="U746" s="112"/>
      <c r="V746" s="112"/>
      <c r="W746" s="112"/>
      <c r="X746" s="112"/>
      <c r="Y746" s="112"/>
      <c r="Z746" s="112"/>
    </row>
    <row r="747" spans="1:26">
      <c r="A747" s="112"/>
      <c r="B747" s="112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2"/>
      <c r="Q747" s="112"/>
      <c r="R747" s="112"/>
      <c r="S747" s="112"/>
      <c r="T747" s="112"/>
      <c r="U747" s="112"/>
      <c r="V747" s="112"/>
      <c r="W747" s="112"/>
      <c r="X747" s="112"/>
      <c r="Y747" s="112"/>
      <c r="Z747" s="112"/>
    </row>
    <row r="748" spans="1:26">
      <c r="A748" s="112"/>
      <c r="B748" s="112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2"/>
      <c r="Q748" s="112"/>
      <c r="R748" s="112"/>
      <c r="S748" s="112"/>
      <c r="T748" s="112"/>
      <c r="U748" s="112"/>
      <c r="V748" s="112"/>
      <c r="W748" s="112"/>
      <c r="X748" s="112"/>
      <c r="Y748" s="112"/>
      <c r="Z748" s="112"/>
    </row>
    <row r="749" spans="1:26">
      <c r="A749" s="112"/>
      <c r="B749" s="112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2"/>
      <c r="Q749" s="112"/>
      <c r="R749" s="112"/>
      <c r="S749" s="112"/>
      <c r="T749" s="112"/>
      <c r="U749" s="112"/>
      <c r="V749" s="112"/>
      <c r="W749" s="112"/>
      <c r="X749" s="112"/>
      <c r="Y749" s="112"/>
      <c r="Z749" s="112"/>
    </row>
    <row r="750" spans="1:26">
      <c r="A750" s="112"/>
      <c r="B750" s="112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2"/>
      <c r="Q750" s="112"/>
      <c r="R750" s="112"/>
      <c r="S750" s="112"/>
      <c r="T750" s="112"/>
      <c r="U750" s="112"/>
      <c r="V750" s="112"/>
      <c r="W750" s="112"/>
      <c r="X750" s="112"/>
      <c r="Y750" s="112"/>
      <c r="Z750" s="112"/>
    </row>
    <row r="751" spans="1:26">
      <c r="A751" s="112"/>
      <c r="B751" s="112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2"/>
      <c r="Q751" s="112"/>
      <c r="R751" s="112"/>
      <c r="S751" s="112"/>
      <c r="T751" s="112"/>
      <c r="U751" s="112"/>
      <c r="V751" s="112"/>
      <c r="W751" s="112"/>
      <c r="X751" s="112"/>
      <c r="Y751" s="112"/>
      <c r="Z751" s="112"/>
    </row>
    <row r="752" spans="1:26">
      <c r="A752" s="112"/>
      <c r="B752" s="112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2"/>
      <c r="Q752" s="112"/>
      <c r="R752" s="112"/>
      <c r="S752" s="112"/>
      <c r="T752" s="112"/>
      <c r="U752" s="112"/>
      <c r="V752" s="112"/>
      <c r="W752" s="112"/>
      <c r="X752" s="112"/>
      <c r="Y752" s="112"/>
      <c r="Z752" s="112"/>
    </row>
    <row r="753" spans="1:26">
      <c r="A753" s="112"/>
      <c r="B753" s="112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2"/>
      <c r="Q753" s="112"/>
      <c r="R753" s="112"/>
      <c r="S753" s="112"/>
      <c r="T753" s="112"/>
      <c r="U753" s="112"/>
      <c r="V753" s="112"/>
      <c r="W753" s="112"/>
      <c r="X753" s="112"/>
      <c r="Y753" s="112"/>
      <c r="Z753" s="112"/>
    </row>
    <row r="754" spans="1:26">
      <c r="A754" s="112"/>
      <c r="B754" s="112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2"/>
      <c r="Q754" s="112"/>
      <c r="R754" s="112"/>
      <c r="S754" s="112"/>
      <c r="T754" s="112"/>
      <c r="U754" s="112"/>
      <c r="V754" s="112"/>
      <c r="W754" s="112"/>
      <c r="X754" s="112"/>
      <c r="Y754" s="112"/>
      <c r="Z754" s="112"/>
    </row>
    <row r="755" spans="1:26">
      <c r="A755" s="112"/>
      <c r="B755" s="112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2"/>
      <c r="Q755" s="112"/>
      <c r="R755" s="112"/>
      <c r="S755" s="112"/>
      <c r="T755" s="112"/>
      <c r="U755" s="112"/>
      <c r="V755" s="112"/>
      <c r="W755" s="112"/>
      <c r="X755" s="112"/>
      <c r="Y755" s="112"/>
      <c r="Z755" s="112"/>
    </row>
    <row r="756" spans="1:26">
      <c r="A756" s="112"/>
      <c r="B756" s="112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2"/>
      <c r="Q756" s="112"/>
      <c r="R756" s="112"/>
      <c r="S756" s="112"/>
      <c r="T756" s="112"/>
      <c r="U756" s="112"/>
      <c r="V756" s="112"/>
      <c r="W756" s="112"/>
      <c r="X756" s="112"/>
      <c r="Y756" s="112"/>
      <c r="Z756" s="112"/>
    </row>
    <row r="757" spans="1:26">
      <c r="A757" s="112"/>
      <c r="B757" s="112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2"/>
      <c r="Q757" s="112"/>
      <c r="R757" s="112"/>
      <c r="S757" s="112"/>
      <c r="T757" s="112"/>
      <c r="U757" s="112"/>
      <c r="V757" s="112"/>
      <c r="W757" s="112"/>
      <c r="X757" s="112"/>
      <c r="Y757" s="112"/>
      <c r="Z757" s="112"/>
    </row>
    <row r="758" spans="1:26">
      <c r="A758" s="112"/>
      <c r="B758" s="112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2"/>
      <c r="Q758" s="112"/>
      <c r="R758" s="112"/>
      <c r="S758" s="112"/>
      <c r="T758" s="112"/>
      <c r="U758" s="112"/>
      <c r="V758" s="112"/>
      <c r="W758" s="112"/>
      <c r="X758" s="112"/>
      <c r="Y758" s="112"/>
      <c r="Z758" s="112"/>
    </row>
    <row r="759" spans="1:26">
      <c r="A759" s="112"/>
      <c r="B759" s="112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2"/>
      <c r="Q759" s="112"/>
      <c r="R759" s="112"/>
      <c r="S759" s="112"/>
      <c r="T759" s="112"/>
      <c r="U759" s="112"/>
      <c r="V759" s="112"/>
      <c r="W759" s="112"/>
      <c r="X759" s="112"/>
      <c r="Y759" s="112"/>
      <c r="Z759" s="112"/>
    </row>
    <row r="760" spans="1:26">
      <c r="A760" s="112"/>
      <c r="B760" s="112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2"/>
      <c r="Q760" s="112"/>
      <c r="R760" s="112"/>
      <c r="S760" s="112"/>
      <c r="T760" s="112"/>
      <c r="U760" s="112"/>
      <c r="V760" s="112"/>
      <c r="W760" s="112"/>
      <c r="X760" s="112"/>
      <c r="Y760" s="112"/>
      <c r="Z760" s="112"/>
    </row>
    <row r="761" spans="1:26">
      <c r="A761" s="112"/>
      <c r="B761" s="112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2"/>
      <c r="Q761" s="112"/>
      <c r="R761" s="112"/>
      <c r="S761" s="112"/>
      <c r="T761" s="112"/>
      <c r="U761" s="112"/>
      <c r="V761" s="112"/>
      <c r="W761" s="112"/>
      <c r="X761" s="112"/>
      <c r="Y761" s="112"/>
      <c r="Z761" s="112"/>
    </row>
    <row r="762" spans="1:26">
      <c r="A762" s="112"/>
      <c r="B762" s="112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2"/>
      <c r="Q762" s="112"/>
      <c r="R762" s="112"/>
      <c r="S762" s="112"/>
      <c r="T762" s="112"/>
      <c r="U762" s="112"/>
      <c r="V762" s="112"/>
      <c r="W762" s="112"/>
      <c r="X762" s="112"/>
      <c r="Y762" s="112"/>
      <c r="Z762" s="112"/>
    </row>
    <row r="763" spans="1:26">
      <c r="A763" s="112"/>
      <c r="B763" s="112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2"/>
      <c r="Q763" s="112"/>
      <c r="R763" s="112"/>
      <c r="S763" s="112"/>
      <c r="T763" s="112"/>
      <c r="U763" s="112"/>
      <c r="V763" s="112"/>
      <c r="W763" s="112"/>
      <c r="X763" s="112"/>
      <c r="Y763" s="112"/>
      <c r="Z763" s="112"/>
    </row>
    <row r="764" spans="1:26">
      <c r="A764" s="112"/>
      <c r="B764" s="112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2"/>
      <c r="Q764" s="112"/>
      <c r="R764" s="112"/>
      <c r="S764" s="112"/>
      <c r="T764" s="112"/>
      <c r="U764" s="112"/>
      <c r="V764" s="112"/>
      <c r="W764" s="112"/>
      <c r="X764" s="112"/>
      <c r="Y764" s="112"/>
      <c r="Z764" s="112"/>
    </row>
    <row r="765" spans="1:26">
      <c r="A765" s="112"/>
      <c r="B765" s="112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2"/>
      <c r="Q765" s="112"/>
      <c r="R765" s="112"/>
      <c r="S765" s="112"/>
      <c r="T765" s="112"/>
      <c r="U765" s="112"/>
      <c r="V765" s="112"/>
      <c r="W765" s="112"/>
      <c r="X765" s="112"/>
      <c r="Y765" s="112"/>
      <c r="Z765" s="112"/>
    </row>
    <row r="766" spans="1:26">
      <c r="A766" s="112"/>
      <c r="B766" s="112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2"/>
      <c r="Q766" s="112"/>
      <c r="R766" s="112"/>
      <c r="S766" s="112"/>
      <c r="T766" s="112"/>
      <c r="U766" s="112"/>
      <c r="V766" s="112"/>
      <c r="W766" s="112"/>
      <c r="X766" s="112"/>
      <c r="Y766" s="112"/>
      <c r="Z766" s="112"/>
    </row>
    <row r="767" spans="1:26">
      <c r="A767" s="112"/>
      <c r="B767" s="112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2"/>
      <c r="Q767" s="112"/>
      <c r="R767" s="112"/>
      <c r="S767" s="112"/>
      <c r="T767" s="112"/>
      <c r="U767" s="112"/>
      <c r="V767" s="112"/>
      <c r="W767" s="112"/>
      <c r="X767" s="112"/>
      <c r="Y767" s="112"/>
      <c r="Z767" s="112"/>
    </row>
    <row r="768" spans="1:26">
      <c r="A768" s="112"/>
      <c r="B768" s="112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2"/>
      <c r="Q768" s="112"/>
      <c r="R768" s="112"/>
      <c r="S768" s="112"/>
      <c r="T768" s="112"/>
      <c r="U768" s="112"/>
      <c r="V768" s="112"/>
      <c r="W768" s="112"/>
      <c r="X768" s="112"/>
      <c r="Y768" s="112"/>
      <c r="Z768" s="112"/>
    </row>
    <row r="769" spans="1:26">
      <c r="A769" s="112"/>
      <c r="B769" s="112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2"/>
      <c r="Q769" s="112"/>
      <c r="R769" s="112"/>
      <c r="S769" s="112"/>
      <c r="T769" s="112"/>
      <c r="U769" s="112"/>
      <c r="V769" s="112"/>
      <c r="W769" s="112"/>
      <c r="X769" s="112"/>
      <c r="Y769" s="112"/>
      <c r="Z769" s="112"/>
    </row>
    <row r="770" spans="1:26">
      <c r="A770" s="112"/>
      <c r="B770" s="112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2"/>
      <c r="Q770" s="112"/>
      <c r="R770" s="112"/>
      <c r="S770" s="112"/>
      <c r="T770" s="112"/>
      <c r="U770" s="112"/>
      <c r="V770" s="112"/>
      <c r="W770" s="112"/>
      <c r="X770" s="112"/>
      <c r="Y770" s="112"/>
      <c r="Z770" s="112"/>
    </row>
    <row r="771" spans="1:26">
      <c r="A771" s="112"/>
      <c r="B771" s="112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2"/>
      <c r="Q771" s="112"/>
      <c r="R771" s="112"/>
      <c r="S771" s="112"/>
      <c r="T771" s="112"/>
      <c r="U771" s="112"/>
      <c r="V771" s="112"/>
      <c r="W771" s="112"/>
      <c r="X771" s="112"/>
      <c r="Y771" s="112"/>
      <c r="Z771" s="112"/>
    </row>
    <row r="772" spans="1:26">
      <c r="A772" s="112"/>
      <c r="B772" s="112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2"/>
      <c r="Q772" s="112"/>
      <c r="R772" s="112"/>
      <c r="S772" s="112"/>
      <c r="T772" s="112"/>
      <c r="U772" s="112"/>
      <c r="V772" s="112"/>
      <c r="W772" s="112"/>
      <c r="X772" s="112"/>
      <c r="Y772" s="112"/>
      <c r="Z772" s="112"/>
    </row>
    <row r="773" spans="1:26">
      <c r="A773" s="112"/>
      <c r="B773" s="112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2"/>
      <c r="Q773" s="112"/>
      <c r="R773" s="112"/>
      <c r="S773" s="112"/>
      <c r="T773" s="112"/>
      <c r="U773" s="112"/>
      <c r="V773" s="112"/>
      <c r="W773" s="112"/>
      <c r="X773" s="112"/>
      <c r="Y773" s="112"/>
      <c r="Z773" s="112"/>
    </row>
    <row r="774" spans="1:26">
      <c r="A774" s="112"/>
      <c r="B774" s="112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2"/>
      <c r="Q774" s="112"/>
      <c r="R774" s="112"/>
      <c r="S774" s="112"/>
      <c r="T774" s="112"/>
      <c r="U774" s="112"/>
      <c r="V774" s="112"/>
      <c r="W774" s="112"/>
      <c r="X774" s="112"/>
      <c r="Y774" s="112"/>
      <c r="Z774" s="112"/>
    </row>
    <row r="775" spans="1:26">
      <c r="A775" s="112"/>
      <c r="B775" s="112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2"/>
      <c r="Q775" s="112"/>
      <c r="R775" s="112"/>
      <c r="S775" s="112"/>
      <c r="T775" s="112"/>
      <c r="U775" s="112"/>
      <c r="V775" s="112"/>
      <c r="W775" s="112"/>
      <c r="X775" s="112"/>
      <c r="Y775" s="112"/>
      <c r="Z775" s="112"/>
    </row>
    <row r="776" spans="1:26">
      <c r="A776" s="112"/>
      <c r="B776" s="112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2"/>
      <c r="Q776" s="112"/>
      <c r="R776" s="112"/>
      <c r="S776" s="112"/>
      <c r="T776" s="112"/>
      <c r="U776" s="112"/>
      <c r="V776" s="112"/>
      <c r="W776" s="112"/>
      <c r="X776" s="112"/>
      <c r="Y776" s="112"/>
      <c r="Z776" s="112"/>
    </row>
    <row r="777" spans="1:26">
      <c r="A777" s="112"/>
      <c r="B777" s="112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2"/>
      <c r="Q777" s="112"/>
      <c r="R777" s="112"/>
      <c r="S777" s="112"/>
      <c r="T777" s="112"/>
      <c r="U777" s="112"/>
      <c r="V777" s="112"/>
      <c r="W777" s="112"/>
      <c r="X777" s="112"/>
      <c r="Y777" s="112"/>
      <c r="Z777" s="112"/>
    </row>
    <row r="778" spans="1:26">
      <c r="A778" s="112"/>
      <c r="B778" s="112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2"/>
      <c r="Q778" s="112"/>
      <c r="R778" s="112"/>
      <c r="S778" s="112"/>
      <c r="T778" s="112"/>
      <c r="U778" s="112"/>
      <c r="V778" s="112"/>
      <c r="W778" s="112"/>
      <c r="X778" s="112"/>
      <c r="Y778" s="112"/>
      <c r="Z778" s="112"/>
    </row>
    <row r="779" spans="1:26">
      <c r="A779" s="112"/>
      <c r="B779" s="112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2"/>
      <c r="Q779" s="112"/>
      <c r="R779" s="112"/>
      <c r="S779" s="112"/>
      <c r="T779" s="112"/>
      <c r="U779" s="112"/>
      <c r="V779" s="112"/>
      <c r="W779" s="112"/>
      <c r="X779" s="112"/>
      <c r="Y779" s="112"/>
      <c r="Z779" s="112"/>
    </row>
    <row r="780" spans="1:26">
      <c r="A780" s="112"/>
      <c r="B780" s="112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2"/>
      <c r="Q780" s="112"/>
      <c r="R780" s="112"/>
      <c r="S780" s="112"/>
      <c r="T780" s="112"/>
      <c r="U780" s="112"/>
      <c r="V780" s="112"/>
      <c r="W780" s="112"/>
      <c r="X780" s="112"/>
      <c r="Y780" s="112"/>
      <c r="Z780" s="112"/>
    </row>
    <row r="781" spans="1:26">
      <c r="A781" s="112"/>
      <c r="B781" s="112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112"/>
      <c r="V781" s="112"/>
      <c r="W781" s="112"/>
      <c r="X781" s="112"/>
      <c r="Y781" s="112"/>
      <c r="Z781" s="112"/>
    </row>
    <row r="782" spans="1:26">
      <c r="A782" s="112"/>
      <c r="B782" s="112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2"/>
      <c r="Q782" s="112"/>
      <c r="R782" s="112"/>
      <c r="S782" s="112"/>
      <c r="T782" s="112"/>
      <c r="U782" s="112"/>
      <c r="V782" s="112"/>
      <c r="W782" s="112"/>
      <c r="X782" s="112"/>
      <c r="Y782" s="112"/>
      <c r="Z782" s="112"/>
    </row>
    <row r="783" spans="1:26">
      <c r="A783" s="112"/>
      <c r="B783" s="112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2"/>
      <c r="Q783" s="112"/>
      <c r="R783" s="112"/>
      <c r="S783" s="112"/>
      <c r="T783" s="112"/>
      <c r="U783" s="112"/>
      <c r="V783" s="112"/>
      <c r="W783" s="112"/>
      <c r="X783" s="112"/>
      <c r="Y783" s="112"/>
      <c r="Z783" s="112"/>
    </row>
    <row r="784" spans="1:26">
      <c r="A784" s="112"/>
      <c r="B784" s="112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2"/>
      <c r="Q784" s="112"/>
      <c r="R784" s="112"/>
      <c r="S784" s="112"/>
      <c r="T784" s="112"/>
      <c r="U784" s="112"/>
      <c r="V784" s="112"/>
      <c r="W784" s="112"/>
      <c r="X784" s="112"/>
      <c r="Y784" s="112"/>
      <c r="Z784" s="112"/>
    </row>
    <row r="785" spans="1:26">
      <c r="A785" s="112"/>
      <c r="B785" s="112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2"/>
      <c r="Q785" s="112"/>
      <c r="R785" s="112"/>
      <c r="S785" s="112"/>
      <c r="T785" s="112"/>
      <c r="U785" s="112"/>
      <c r="V785" s="112"/>
      <c r="W785" s="112"/>
      <c r="X785" s="112"/>
      <c r="Y785" s="112"/>
      <c r="Z785" s="112"/>
    </row>
    <row r="786" spans="1:26">
      <c r="A786" s="112"/>
      <c r="B786" s="112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2"/>
      <c r="Q786" s="112"/>
      <c r="R786" s="112"/>
      <c r="S786" s="112"/>
      <c r="T786" s="112"/>
      <c r="U786" s="112"/>
      <c r="V786" s="112"/>
      <c r="W786" s="112"/>
      <c r="X786" s="112"/>
      <c r="Y786" s="112"/>
      <c r="Z786" s="112"/>
    </row>
    <row r="787" spans="1:26">
      <c r="A787" s="112"/>
      <c r="B787" s="112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2"/>
      <c r="Q787" s="112"/>
      <c r="R787" s="112"/>
      <c r="S787" s="112"/>
      <c r="T787" s="112"/>
      <c r="U787" s="112"/>
      <c r="V787" s="112"/>
      <c r="W787" s="112"/>
      <c r="X787" s="112"/>
      <c r="Y787" s="112"/>
      <c r="Z787" s="112"/>
    </row>
    <row r="788" spans="1:26">
      <c r="A788" s="112"/>
      <c r="B788" s="112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2"/>
      <c r="Q788" s="112"/>
      <c r="R788" s="112"/>
      <c r="S788" s="112"/>
      <c r="T788" s="112"/>
      <c r="U788" s="112"/>
      <c r="V788" s="112"/>
      <c r="W788" s="112"/>
      <c r="X788" s="112"/>
      <c r="Y788" s="112"/>
      <c r="Z788" s="112"/>
    </row>
    <row r="789" spans="1:26">
      <c r="A789" s="112"/>
      <c r="B789" s="112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2"/>
      <c r="Q789" s="112"/>
      <c r="R789" s="112"/>
      <c r="S789" s="112"/>
      <c r="T789" s="112"/>
      <c r="U789" s="112"/>
      <c r="V789" s="112"/>
      <c r="W789" s="112"/>
      <c r="X789" s="112"/>
      <c r="Y789" s="112"/>
      <c r="Z789" s="112"/>
    </row>
    <row r="790" spans="1:26">
      <c r="A790" s="112"/>
      <c r="B790" s="112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2"/>
      <c r="Q790" s="112"/>
      <c r="R790" s="112"/>
      <c r="S790" s="112"/>
      <c r="T790" s="112"/>
      <c r="U790" s="112"/>
      <c r="V790" s="112"/>
      <c r="W790" s="112"/>
      <c r="X790" s="112"/>
      <c r="Y790" s="112"/>
      <c r="Z790" s="112"/>
    </row>
    <row r="791" spans="1:26">
      <c r="A791" s="112"/>
      <c r="B791" s="112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2"/>
      <c r="Q791" s="112"/>
      <c r="R791" s="112"/>
      <c r="S791" s="112"/>
      <c r="T791" s="112"/>
      <c r="U791" s="112"/>
      <c r="V791" s="112"/>
      <c r="W791" s="112"/>
      <c r="X791" s="112"/>
      <c r="Y791" s="112"/>
      <c r="Z791" s="112"/>
    </row>
    <row r="792" spans="1:26">
      <c r="A792" s="112"/>
      <c r="B792" s="112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2"/>
      <c r="Q792" s="112"/>
      <c r="R792" s="112"/>
      <c r="S792" s="112"/>
      <c r="T792" s="112"/>
      <c r="U792" s="112"/>
      <c r="V792" s="112"/>
      <c r="W792" s="112"/>
      <c r="X792" s="112"/>
      <c r="Y792" s="112"/>
      <c r="Z792" s="112"/>
    </row>
    <row r="793" spans="1:26">
      <c r="A793" s="112"/>
      <c r="B793" s="112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2"/>
      <c r="Q793" s="112"/>
      <c r="R793" s="112"/>
      <c r="S793" s="112"/>
      <c r="T793" s="112"/>
      <c r="U793" s="112"/>
      <c r="V793" s="112"/>
      <c r="W793" s="112"/>
      <c r="X793" s="112"/>
      <c r="Y793" s="112"/>
      <c r="Z793" s="112"/>
    </row>
    <row r="794" spans="1:26">
      <c r="A794" s="112"/>
      <c r="B794" s="112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2"/>
      <c r="Q794" s="112"/>
      <c r="R794" s="112"/>
      <c r="S794" s="112"/>
      <c r="T794" s="112"/>
      <c r="U794" s="112"/>
      <c r="V794" s="112"/>
      <c r="W794" s="112"/>
      <c r="X794" s="112"/>
      <c r="Y794" s="112"/>
      <c r="Z794" s="112"/>
    </row>
    <row r="795" spans="1:26">
      <c r="A795" s="112"/>
      <c r="B795" s="112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2"/>
      <c r="Q795" s="112"/>
      <c r="R795" s="112"/>
      <c r="S795" s="112"/>
      <c r="T795" s="112"/>
      <c r="U795" s="112"/>
      <c r="V795" s="112"/>
      <c r="W795" s="112"/>
      <c r="X795" s="112"/>
      <c r="Y795" s="112"/>
      <c r="Z795" s="112"/>
    </row>
    <row r="796" spans="1:26">
      <c r="A796" s="112"/>
      <c r="B796" s="112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2"/>
      <c r="Q796" s="112"/>
      <c r="R796" s="112"/>
      <c r="S796" s="112"/>
      <c r="T796" s="112"/>
      <c r="U796" s="112"/>
      <c r="V796" s="112"/>
      <c r="W796" s="112"/>
      <c r="X796" s="112"/>
      <c r="Y796" s="112"/>
      <c r="Z796" s="112"/>
    </row>
    <row r="797" spans="1:26">
      <c r="A797" s="112"/>
      <c r="B797" s="112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</row>
    <row r="798" spans="1:26">
      <c r="A798" s="112"/>
      <c r="B798" s="112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2"/>
      <c r="Q798" s="112"/>
      <c r="R798" s="112"/>
      <c r="S798" s="112"/>
      <c r="T798" s="112"/>
      <c r="U798" s="112"/>
      <c r="V798" s="112"/>
      <c r="W798" s="112"/>
      <c r="X798" s="112"/>
      <c r="Y798" s="112"/>
      <c r="Z798" s="112"/>
    </row>
    <row r="799" spans="1:26">
      <c r="A799" s="112"/>
      <c r="B799" s="112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2"/>
      <c r="Q799" s="112"/>
      <c r="R799" s="112"/>
      <c r="S799" s="112"/>
      <c r="T799" s="112"/>
      <c r="U799" s="112"/>
      <c r="V799" s="112"/>
      <c r="W799" s="112"/>
      <c r="X799" s="112"/>
      <c r="Y799" s="112"/>
      <c r="Z799" s="112"/>
    </row>
    <row r="800" spans="1:26">
      <c r="A800" s="112"/>
      <c r="B800" s="112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2"/>
      <c r="Q800" s="112"/>
      <c r="R800" s="112"/>
      <c r="S800" s="112"/>
      <c r="T800" s="112"/>
      <c r="U800" s="112"/>
      <c r="V800" s="112"/>
      <c r="W800" s="112"/>
      <c r="X800" s="112"/>
      <c r="Y800" s="112"/>
      <c r="Z800" s="112"/>
    </row>
    <row r="801" spans="1:26">
      <c r="A801" s="112"/>
      <c r="B801" s="112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2"/>
      <c r="Q801" s="112"/>
      <c r="R801" s="112"/>
      <c r="S801" s="112"/>
      <c r="T801" s="112"/>
      <c r="U801" s="112"/>
      <c r="V801" s="112"/>
      <c r="W801" s="112"/>
      <c r="X801" s="112"/>
      <c r="Y801" s="112"/>
      <c r="Z801" s="112"/>
    </row>
    <row r="802" spans="1:26">
      <c r="A802" s="112"/>
      <c r="B802" s="112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2"/>
      <c r="Q802" s="112"/>
      <c r="R802" s="112"/>
      <c r="S802" s="112"/>
      <c r="T802" s="112"/>
      <c r="U802" s="112"/>
      <c r="V802" s="112"/>
      <c r="W802" s="112"/>
      <c r="X802" s="112"/>
      <c r="Y802" s="112"/>
      <c r="Z802" s="112"/>
    </row>
    <row r="803" spans="1:26">
      <c r="A803" s="112"/>
      <c r="B803" s="112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2"/>
      <c r="Q803" s="112"/>
      <c r="R803" s="112"/>
      <c r="S803" s="112"/>
      <c r="T803" s="112"/>
      <c r="U803" s="112"/>
      <c r="V803" s="112"/>
      <c r="W803" s="112"/>
      <c r="X803" s="112"/>
      <c r="Y803" s="112"/>
      <c r="Z803" s="112"/>
    </row>
    <row r="804" spans="1:26">
      <c r="A804" s="112"/>
      <c r="B804" s="112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2"/>
      <c r="Q804" s="112"/>
      <c r="R804" s="112"/>
      <c r="S804" s="112"/>
      <c r="T804" s="112"/>
      <c r="U804" s="112"/>
      <c r="V804" s="112"/>
      <c r="W804" s="112"/>
      <c r="X804" s="112"/>
      <c r="Y804" s="112"/>
      <c r="Z804" s="112"/>
    </row>
    <row r="805" spans="1:26">
      <c r="A805" s="112"/>
      <c r="B805" s="112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2"/>
      <c r="Q805" s="112"/>
      <c r="R805" s="112"/>
      <c r="S805" s="112"/>
      <c r="T805" s="112"/>
      <c r="U805" s="112"/>
      <c r="V805" s="112"/>
      <c r="W805" s="112"/>
      <c r="X805" s="112"/>
      <c r="Y805" s="112"/>
      <c r="Z805" s="112"/>
    </row>
    <row r="806" spans="1:26">
      <c r="A806" s="112"/>
      <c r="B806" s="112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2"/>
      <c r="Q806" s="112"/>
      <c r="R806" s="112"/>
      <c r="S806" s="112"/>
      <c r="T806" s="112"/>
      <c r="U806" s="112"/>
      <c r="V806" s="112"/>
      <c r="W806" s="112"/>
      <c r="X806" s="112"/>
      <c r="Y806" s="112"/>
      <c r="Z806" s="112"/>
    </row>
    <row r="807" spans="1:26">
      <c r="A807" s="112"/>
      <c r="B807" s="112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2"/>
      <c r="Q807" s="112"/>
      <c r="R807" s="112"/>
      <c r="S807" s="112"/>
      <c r="T807" s="112"/>
      <c r="U807" s="112"/>
      <c r="V807" s="112"/>
      <c r="W807" s="112"/>
      <c r="X807" s="112"/>
      <c r="Y807" s="112"/>
      <c r="Z807" s="112"/>
    </row>
    <row r="808" spans="1:26">
      <c r="A808" s="112"/>
      <c r="B808" s="112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2"/>
      <c r="Q808" s="112"/>
      <c r="R808" s="112"/>
      <c r="S808" s="112"/>
      <c r="T808" s="112"/>
      <c r="U808" s="112"/>
      <c r="V808" s="112"/>
      <c r="W808" s="112"/>
      <c r="X808" s="112"/>
      <c r="Y808" s="112"/>
      <c r="Z808" s="112"/>
    </row>
    <row r="809" spans="1:26">
      <c r="A809" s="112"/>
      <c r="B809" s="112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2"/>
      <c r="Q809" s="112"/>
      <c r="R809" s="112"/>
      <c r="S809" s="112"/>
      <c r="T809" s="112"/>
      <c r="U809" s="112"/>
      <c r="V809" s="112"/>
      <c r="W809" s="112"/>
      <c r="X809" s="112"/>
      <c r="Y809" s="112"/>
      <c r="Z809" s="112"/>
    </row>
    <row r="810" spans="1:26">
      <c r="A810" s="112"/>
      <c r="B810" s="112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2"/>
      <c r="Q810" s="112"/>
      <c r="R810" s="112"/>
      <c r="S810" s="112"/>
      <c r="T810" s="112"/>
      <c r="U810" s="112"/>
      <c r="V810" s="112"/>
      <c r="W810" s="112"/>
      <c r="X810" s="112"/>
      <c r="Y810" s="112"/>
      <c r="Z810" s="112"/>
    </row>
    <row r="811" spans="1:26">
      <c r="A811" s="112"/>
      <c r="B811" s="112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2"/>
      <c r="Q811" s="112"/>
      <c r="R811" s="112"/>
      <c r="S811" s="112"/>
      <c r="T811" s="112"/>
      <c r="U811" s="112"/>
      <c r="V811" s="112"/>
      <c r="W811" s="112"/>
      <c r="X811" s="112"/>
      <c r="Y811" s="112"/>
      <c r="Z811" s="112"/>
    </row>
    <row r="812" spans="1:26">
      <c r="A812" s="112"/>
      <c r="B812" s="112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2"/>
      <c r="Q812" s="112"/>
      <c r="R812" s="112"/>
      <c r="S812" s="112"/>
      <c r="T812" s="112"/>
      <c r="U812" s="112"/>
      <c r="V812" s="112"/>
      <c r="W812" s="112"/>
      <c r="X812" s="112"/>
      <c r="Y812" s="112"/>
      <c r="Z812" s="112"/>
    </row>
    <row r="813" spans="1:26">
      <c r="A813" s="112"/>
      <c r="B813" s="112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2"/>
      <c r="Q813" s="112"/>
      <c r="R813" s="112"/>
      <c r="S813" s="112"/>
      <c r="T813" s="112"/>
      <c r="U813" s="112"/>
      <c r="V813" s="112"/>
      <c r="W813" s="112"/>
      <c r="X813" s="112"/>
      <c r="Y813" s="112"/>
      <c r="Z813" s="112"/>
    </row>
    <row r="814" spans="1:26">
      <c r="A814" s="112"/>
      <c r="B814" s="112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2"/>
      <c r="Q814" s="112"/>
      <c r="R814" s="112"/>
      <c r="S814" s="112"/>
      <c r="T814" s="112"/>
      <c r="U814" s="112"/>
      <c r="V814" s="112"/>
      <c r="W814" s="112"/>
      <c r="X814" s="112"/>
      <c r="Y814" s="112"/>
      <c r="Z814" s="112"/>
    </row>
    <row r="815" spans="1:26">
      <c r="A815" s="112"/>
      <c r="B815" s="112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2"/>
      <c r="Q815" s="112"/>
      <c r="R815" s="112"/>
      <c r="S815" s="112"/>
      <c r="T815" s="112"/>
      <c r="U815" s="112"/>
      <c r="V815" s="112"/>
      <c r="W815" s="112"/>
      <c r="X815" s="112"/>
      <c r="Y815" s="112"/>
      <c r="Z815" s="112"/>
    </row>
    <row r="816" spans="1:26">
      <c r="A816" s="112"/>
      <c r="B816" s="112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2"/>
      <c r="Q816" s="112"/>
      <c r="R816" s="112"/>
      <c r="S816" s="112"/>
      <c r="T816" s="112"/>
      <c r="U816" s="112"/>
      <c r="V816" s="112"/>
      <c r="W816" s="112"/>
      <c r="X816" s="112"/>
      <c r="Y816" s="112"/>
      <c r="Z816" s="112"/>
    </row>
    <row r="817" spans="1:26">
      <c r="A817" s="112"/>
      <c r="B817" s="112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2"/>
      <c r="Q817" s="112"/>
      <c r="R817" s="112"/>
      <c r="S817" s="112"/>
      <c r="T817" s="112"/>
      <c r="U817" s="112"/>
      <c r="V817" s="112"/>
      <c r="W817" s="112"/>
      <c r="X817" s="112"/>
      <c r="Y817" s="112"/>
      <c r="Z817" s="112"/>
    </row>
    <row r="818" spans="1:26">
      <c r="A818" s="112"/>
      <c r="B818" s="112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2"/>
      <c r="Q818" s="112"/>
      <c r="R818" s="112"/>
      <c r="S818" s="112"/>
      <c r="T818" s="112"/>
      <c r="U818" s="112"/>
      <c r="V818" s="112"/>
      <c r="W818" s="112"/>
      <c r="X818" s="112"/>
      <c r="Y818" s="112"/>
      <c r="Z818" s="112"/>
    </row>
    <row r="819" spans="1:26">
      <c r="A819" s="112"/>
      <c r="B819" s="112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2"/>
      <c r="Q819" s="112"/>
      <c r="R819" s="112"/>
      <c r="S819" s="112"/>
      <c r="T819" s="112"/>
      <c r="U819" s="112"/>
      <c r="V819" s="112"/>
      <c r="W819" s="112"/>
      <c r="X819" s="112"/>
      <c r="Y819" s="112"/>
      <c r="Z819" s="112"/>
    </row>
    <row r="820" spans="1:26">
      <c r="A820" s="112"/>
      <c r="B820" s="112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2"/>
      <c r="Q820" s="112"/>
      <c r="R820" s="112"/>
      <c r="S820" s="112"/>
      <c r="T820" s="112"/>
      <c r="U820" s="112"/>
      <c r="V820" s="112"/>
      <c r="W820" s="112"/>
      <c r="X820" s="112"/>
      <c r="Y820" s="112"/>
      <c r="Z820" s="112"/>
    </row>
    <row r="821" spans="1:26">
      <c r="A821" s="112"/>
      <c r="B821" s="112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2"/>
      <c r="Q821" s="112"/>
      <c r="R821" s="112"/>
      <c r="S821" s="112"/>
      <c r="T821" s="112"/>
      <c r="U821" s="112"/>
      <c r="V821" s="112"/>
      <c r="W821" s="112"/>
      <c r="X821" s="112"/>
      <c r="Y821" s="112"/>
      <c r="Z821" s="112"/>
    </row>
    <row r="822" spans="1:26">
      <c r="A822" s="112"/>
      <c r="B822" s="112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2"/>
      <c r="Q822" s="112"/>
      <c r="R822" s="112"/>
      <c r="S822" s="112"/>
      <c r="T822" s="112"/>
      <c r="U822" s="112"/>
      <c r="V822" s="112"/>
      <c r="W822" s="112"/>
      <c r="X822" s="112"/>
      <c r="Y822" s="112"/>
      <c r="Z822" s="112"/>
    </row>
    <row r="823" spans="1:26">
      <c r="A823" s="112"/>
      <c r="B823" s="112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2"/>
      <c r="Q823" s="112"/>
      <c r="R823" s="112"/>
      <c r="S823" s="112"/>
      <c r="T823" s="112"/>
      <c r="U823" s="112"/>
      <c r="V823" s="112"/>
      <c r="W823" s="112"/>
      <c r="X823" s="112"/>
      <c r="Y823" s="112"/>
      <c r="Z823" s="112"/>
    </row>
    <row r="824" spans="1:26">
      <c r="A824" s="112"/>
      <c r="B824" s="112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2"/>
      <c r="Q824" s="112"/>
      <c r="R824" s="112"/>
      <c r="S824" s="112"/>
      <c r="T824" s="112"/>
      <c r="U824" s="112"/>
      <c r="V824" s="112"/>
      <c r="W824" s="112"/>
      <c r="X824" s="112"/>
      <c r="Y824" s="112"/>
      <c r="Z824" s="112"/>
    </row>
    <row r="825" spans="1:26">
      <c r="A825" s="112"/>
      <c r="B825" s="112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2"/>
      <c r="Q825" s="112"/>
      <c r="R825" s="112"/>
      <c r="S825" s="112"/>
      <c r="T825" s="112"/>
      <c r="U825" s="112"/>
      <c r="V825" s="112"/>
      <c r="W825" s="112"/>
      <c r="X825" s="112"/>
      <c r="Y825" s="112"/>
      <c r="Z825" s="112"/>
    </row>
    <row r="826" spans="1:26">
      <c r="A826" s="112"/>
      <c r="B826" s="112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2"/>
      <c r="Q826" s="112"/>
      <c r="R826" s="112"/>
      <c r="S826" s="112"/>
      <c r="T826" s="112"/>
      <c r="U826" s="112"/>
      <c r="V826" s="112"/>
      <c r="W826" s="112"/>
      <c r="X826" s="112"/>
      <c r="Y826" s="112"/>
      <c r="Z826" s="112"/>
    </row>
    <row r="827" spans="1:26">
      <c r="A827" s="112"/>
      <c r="B827" s="112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2"/>
      <c r="Q827" s="112"/>
      <c r="R827" s="112"/>
      <c r="S827" s="112"/>
      <c r="T827" s="112"/>
      <c r="U827" s="112"/>
      <c r="V827" s="112"/>
      <c r="W827" s="112"/>
      <c r="X827" s="112"/>
      <c r="Y827" s="112"/>
      <c r="Z827" s="112"/>
    </row>
    <row r="828" spans="1:26">
      <c r="A828" s="112"/>
      <c r="B828" s="112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2"/>
      <c r="Q828" s="112"/>
      <c r="R828" s="112"/>
      <c r="S828" s="112"/>
      <c r="T828" s="112"/>
      <c r="U828" s="112"/>
      <c r="V828" s="112"/>
      <c r="W828" s="112"/>
      <c r="X828" s="112"/>
      <c r="Y828" s="112"/>
      <c r="Z828" s="112"/>
    </row>
    <row r="829" spans="1:26">
      <c r="A829" s="112"/>
      <c r="B829" s="112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2"/>
      <c r="Q829" s="112"/>
      <c r="R829" s="112"/>
      <c r="S829" s="112"/>
      <c r="T829" s="112"/>
      <c r="U829" s="112"/>
      <c r="V829" s="112"/>
      <c r="W829" s="112"/>
      <c r="X829" s="112"/>
      <c r="Y829" s="112"/>
      <c r="Z829" s="112"/>
    </row>
    <row r="830" spans="1:26">
      <c r="A830" s="112"/>
      <c r="B830" s="112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2"/>
      <c r="Q830" s="112"/>
      <c r="R830" s="112"/>
      <c r="S830" s="112"/>
      <c r="T830" s="112"/>
      <c r="U830" s="112"/>
      <c r="V830" s="112"/>
      <c r="W830" s="112"/>
      <c r="X830" s="112"/>
      <c r="Y830" s="112"/>
      <c r="Z830" s="112"/>
    </row>
    <row r="831" spans="1:26">
      <c r="A831" s="112"/>
      <c r="B831" s="112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2"/>
      <c r="Q831" s="112"/>
      <c r="R831" s="112"/>
      <c r="S831" s="112"/>
      <c r="T831" s="112"/>
      <c r="U831" s="112"/>
      <c r="V831" s="112"/>
      <c r="W831" s="112"/>
      <c r="X831" s="112"/>
      <c r="Y831" s="112"/>
      <c r="Z831" s="112"/>
    </row>
    <row r="832" spans="1:26">
      <c r="A832" s="112"/>
      <c r="B832" s="112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2"/>
      <c r="Q832" s="112"/>
      <c r="R832" s="112"/>
      <c r="S832" s="112"/>
      <c r="T832" s="112"/>
      <c r="U832" s="112"/>
      <c r="V832" s="112"/>
      <c r="W832" s="112"/>
      <c r="X832" s="112"/>
      <c r="Y832" s="112"/>
      <c r="Z832" s="112"/>
    </row>
    <row r="833" spans="1:26">
      <c r="A833" s="112"/>
      <c r="B833" s="112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2"/>
      <c r="Q833" s="112"/>
      <c r="R833" s="112"/>
      <c r="S833" s="112"/>
      <c r="T833" s="112"/>
      <c r="U833" s="112"/>
      <c r="V833" s="112"/>
      <c r="W833" s="112"/>
      <c r="X833" s="112"/>
      <c r="Y833" s="112"/>
      <c r="Z833" s="112"/>
    </row>
    <row r="834" spans="1:26">
      <c r="A834" s="112"/>
      <c r="B834" s="112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2"/>
      <c r="Q834" s="112"/>
      <c r="R834" s="112"/>
      <c r="S834" s="112"/>
      <c r="T834" s="112"/>
      <c r="U834" s="112"/>
      <c r="V834" s="112"/>
      <c r="W834" s="112"/>
      <c r="X834" s="112"/>
      <c r="Y834" s="112"/>
      <c r="Z834" s="112"/>
    </row>
    <row r="835" spans="1:26">
      <c r="A835" s="112"/>
      <c r="B835" s="112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2"/>
      <c r="Q835" s="112"/>
      <c r="R835" s="112"/>
      <c r="S835" s="112"/>
      <c r="T835" s="112"/>
      <c r="U835" s="112"/>
      <c r="V835" s="112"/>
      <c r="W835" s="112"/>
      <c r="X835" s="112"/>
      <c r="Y835" s="112"/>
      <c r="Z835" s="112"/>
    </row>
    <row r="836" spans="1:26">
      <c r="A836" s="112"/>
      <c r="B836" s="112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2"/>
      <c r="Q836" s="112"/>
      <c r="R836" s="112"/>
      <c r="S836" s="112"/>
      <c r="T836" s="112"/>
      <c r="U836" s="112"/>
      <c r="V836" s="112"/>
      <c r="W836" s="112"/>
      <c r="X836" s="112"/>
      <c r="Y836" s="112"/>
      <c r="Z836" s="112"/>
    </row>
    <row r="837" spans="1:26">
      <c r="A837" s="112"/>
      <c r="B837" s="112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2"/>
      <c r="Q837" s="112"/>
      <c r="R837" s="112"/>
      <c r="S837" s="112"/>
      <c r="T837" s="112"/>
      <c r="U837" s="112"/>
      <c r="V837" s="112"/>
      <c r="W837" s="112"/>
      <c r="X837" s="112"/>
      <c r="Y837" s="112"/>
      <c r="Z837" s="112"/>
    </row>
    <row r="838" spans="1:26">
      <c r="A838" s="112"/>
      <c r="B838" s="112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2"/>
      <c r="Q838" s="112"/>
      <c r="R838" s="112"/>
      <c r="S838" s="112"/>
      <c r="T838" s="112"/>
      <c r="U838" s="112"/>
      <c r="V838" s="112"/>
      <c r="W838" s="112"/>
      <c r="X838" s="112"/>
      <c r="Y838" s="112"/>
      <c r="Z838" s="112"/>
    </row>
    <row r="839" spans="1:26">
      <c r="A839" s="112"/>
      <c r="B839" s="112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2"/>
      <c r="Q839" s="112"/>
      <c r="R839" s="112"/>
      <c r="S839" s="112"/>
      <c r="T839" s="112"/>
      <c r="U839" s="112"/>
      <c r="V839" s="112"/>
      <c r="W839" s="112"/>
      <c r="X839" s="112"/>
      <c r="Y839" s="112"/>
      <c r="Z839" s="112"/>
    </row>
    <row r="840" spans="1:26">
      <c r="A840" s="112"/>
      <c r="B840" s="112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2"/>
      <c r="Q840" s="112"/>
      <c r="R840" s="112"/>
      <c r="S840" s="112"/>
      <c r="T840" s="112"/>
      <c r="U840" s="112"/>
      <c r="V840" s="112"/>
      <c r="W840" s="112"/>
      <c r="X840" s="112"/>
      <c r="Y840" s="112"/>
      <c r="Z840" s="112"/>
    </row>
    <row r="841" spans="1:26">
      <c r="A841" s="112"/>
      <c r="B841" s="112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2"/>
      <c r="Q841" s="112"/>
      <c r="R841" s="112"/>
      <c r="S841" s="112"/>
      <c r="T841" s="112"/>
      <c r="U841" s="112"/>
      <c r="V841" s="112"/>
      <c r="W841" s="112"/>
      <c r="X841" s="112"/>
      <c r="Y841" s="112"/>
      <c r="Z841" s="112"/>
    </row>
    <row r="842" spans="1:26">
      <c r="A842" s="112"/>
      <c r="B842" s="112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2"/>
      <c r="Q842" s="112"/>
      <c r="R842" s="112"/>
      <c r="S842" s="112"/>
      <c r="T842" s="112"/>
      <c r="U842" s="112"/>
      <c r="V842" s="112"/>
      <c r="W842" s="112"/>
      <c r="X842" s="112"/>
      <c r="Y842" s="112"/>
      <c r="Z842" s="112"/>
    </row>
    <row r="843" spans="1:26">
      <c r="A843" s="112"/>
      <c r="B843" s="112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2"/>
      <c r="Q843" s="112"/>
      <c r="R843" s="112"/>
      <c r="S843" s="112"/>
      <c r="T843" s="112"/>
      <c r="U843" s="112"/>
      <c r="V843" s="112"/>
      <c r="W843" s="112"/>
      <c r="X843" s="112"/>
      <c r="Y843" s="112"/>
      <c r="Z843" s="112"/>
    </row>
    <row r="844" spans="1:26">
      <c r="A844" s="112"/>
      <c r="B844" s="112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2"/>
      <c r="Q844" s="112"/>
      <c r="R844" s="112"/>
      <c r="S844" s="112"/>
      <c r="T844" s="112"/>
      <c r="U844" s="112"/>
      <c r="V844" s="112"/>
      <c r="W844" s="112"/>
      <c r="X844" s="112"/>
      <c r="Y844" s="112"/>
      <c r="Z844" s="112"/>
    </row>
    <row r="845" spans="1:26">
      <c r="A845" s="112"/>
      <c r="B845" s="112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2"/>
      <c r="Q845" s="112"/>
      <c r="R845" s="112"/>
      <c r="S845" s="112"/>
      <c r="T845" s="112"/>
      <c r="U845" s="112"/>
      <c r="V845" s="112"/>
      <c r="W845" s="112"/>
      <c r="X845" s="112"/>
      <c r="Y845" s="112"/>
      <c r="Z845" s="112"/>
    </row>
    <row r="846" spans="1:26">
      <c r="A846" s="112"/>
      <c r="B846" s="112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2"/>
      <c r="Q846" s="112"/>
      <c r="R846" s="112"/>
      <c r="S846" s="112"/>
      <c r="T846" s="112"/>
      <c r="U846" s="112"/>
      <c r="V846" s="112"/>
      <c r="W846" s="112"/>
      <c r="X846" s="112"/>
      <c r="Y846" s="112"/>
      <c r="Z846" s="112"/>
    </row>
    <row r="847" spans="1:26">
      <c r="A847" s="112"/>
      <c r="B847" s="112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2"/>
      <c r="Q847" s="112"/>
      <c r="R847" s="112"/>
      <c r="S847" s="112"/>
      <c r="T847" s="112"/>
      <c r="U847" s="112"/>
      <c r="V847" s="112"/>
      <c r="W847" s="112"/>
      <c r="X847" s="112"/>
      <c r="Y847" s="112"/>
      <c r="Z847" s="112"/>
    </row>
    <row r="848" spans="1:26">
      <c r="A848" s="112"/>
      <c r="B848" s="112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2"/>
      <c r="Q848" s="112"/>
      <c r="R848" s="112"/>
      <c r="S848" s="112"/>
      <c r="T848" s="112"/>
      <c r="U848" s="112"/>
      <c r="V848" s="112"/>
      <c r="W848" s="112"/>
      <c r="X848" s="112"/>
      <c r="Y848" s="112"/>
      <c r="Z848" s="112"/>
    </row>
    <row r="849" spans="1:26">
      <c r="A849" s="112"/>
      <c r="B849" s="112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2"/>
      <c r="Q849" s="112"/>
      <c r="R849" s="112"/>
      <c r="S849" s="112"/>
      <c r="T849" s="112"/>
      <c r="U849" s="112"/>
      <c r="V849" s="112"/>
      <c r="W849" s="112"/>
      <c r="X849" s="112"/>
      <c r="Y849" s="112"/>
      <c r="Z849" s="112"/>
    </row>
    <row r="850" spans="1:26">
      <c r="A850" s="112"/>
      <c r="B850" s="112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2"/>
      <c r="Q850" s="112"/>
      <c r="R850" s="112"/>
      <c r="S850" s="112"/>
      <c r="T850" s="112"/>
      <c r="U850" s="112"/>
      <c r="V850" s="112"/>
      <c r="W850" s="112"/>
      <c r="X850" s="112"/>
      <c r="Y850" s="112"/>
      <c r="Z850" s="112"/>
    </row>
    <row r="851" spans="1:26">
      <c r="A851" s="112"/>
      <c r="B851" s="112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2"/>
      <c r="Q851" s="112"/>
      <c r="R851" s="112"/>
      <c r="S851" s="112"/>
      <c r="T851" s="112"/>
      <c r="U851" s="112"/>
      <c r="V851" s="112"/>
      <c r="W851" s="112"/>
      <c r="X851" s="112"/>
      <c r="Y851" s="112"/>
      <c r="Z851" s="112"/>
    </row>
    <row r="852" spans="1:26">
      <c r="A852" s="112"/>
      <c r="B852" s="112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2"/>
      <c r="Q852" s="112"/>
      <c r="R852" s="112"/>
      <c r="S852" s="112"/>
      <c r="T852" s="112"/>
      <c r="U852" s="112"/>
      <c r="V852" s="112"/>
      <c r="W852" s="112"/>
      <c r="X852" s="112"/>
      <c r="Y852" s="112"/>
      <c r="Z852" s="112"/>
    </row>
    <row r="853" spans="1:26">
      <c r="A853" s="112"/>
      <c r="B853" s="112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2"/>
      <c r="Q853" s="112"/>
      <c r="R853" s="112"/>
      <c r="S853" s="112"/>
      <c r="T853" s="112"/>
      <c r="U853" s="112"/>
      <c r="V853" s="112"/>
      <c r="W853" s="112"/>
      <c r="X853" s="112"/>
      <c r="Y853" s="112"/>
      <c r="Z853" s="112"/>
    </row>
    <row r="854" spans="1:26">
      <c r="A854" s="112"/>
      <c r="B854" s="112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2"/>
      <c r="Q854" s="112"/>
      <c r="R854" s="112"/>
      <c r="S854" s="112"/>
      <c r="T854" s="112"/>
      <c r="U854" s="112"/>
      <c r="V854" s="112"/>
      <c r="W854" s="112"/>
      <c r="X854" s="112"/>
      <c r="Y854" s="112"/>
      <c r="Z854" s="112"/>
    </row>
    <row r="855" spans="1:26">
      <c r="A855" s="112"/>
      <c r="B855" s="112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2"/>
      <c r="Q855" s="112"/>
      <c r="R855" s="112"/>
      <c r="S855" s="112"/>
      <c r="T855" s="112"/>
      <c r="U855" s="112"/>
      <c r="V855" s="112"/>
      <c r="W855" s="112"/>
      <c r="X855" s="112"/>
      <c r="Y855" s="112"/>
      <c r="Z855" s="112"/>
    </row>
    <row r="856" spans="1:26">
      <c r="A856" s="112"/>
      <c r="B856" s="112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2"/>
      <c r="Q856" s="112"/>
      <c r="R856" s="112"/>
      <c r="S856" s="112"/>
      <c r="T856" s="112"/>
      <c r="U856" s="112"/>
      <c r="V856" s="112"/>
      <c r="W856" s="112"/>
      <c r="X856" s="112"/>
      <c r="Y856" s="112"/>
      <c r="Z856" s="112"/>
    </row>
    <row r="857" spans="1:26">
      <c r="A857" s="112"/>
      <c r="B857" s="112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2"/>
      <c r="Q857" s="112"/>
      <c r="R857" s="112"/>
      <c r="S857" s="112"/>
      <c r="T857" s="112"/>
      <c r="U857" s="112"/>
      <c r="V857" s="112"/>
      <c r="W857" s="112"/>
      <c r="X857" s="112"/>
      <c r="Y857" s="112"/>
      <c r="Z857" s="112"/>
    </row>
    <row r="858" spans="1:26">
      <c r="A858" s="112"/>
      <c r="B858" s="112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2"/>
      <c r="Q858" s="112"/>
      <c r="R858" s="112"/>
      <c r="S858" s="112"/>
      <c r="T858" s="112"/>
      <c r="U858" s="112"/>
      <c r="V858" s="112"/>
      <c r="W858" s="112"/>
      <c r="X858" s="112"/>
      <c r="Y858" s="112"/>
      <c r="Z858" s="112"/>
    </row>
    <row r="859" spans="1:26">
      <c r="A859" s="112"/>
      <c r="B859" s="112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2"/>
      <c r="Q859" s="112"/>
      <c r="R859" s="112"/>
      <c r="S859" s="112"/>
      <c r="T859" s="112"/>
      <c r="U859" s="112"/>
      <c r="V859" s="112"/>
      <c r="W859" s="112"/>
      <c r="X859" s="112"/>
      <c r="Y859" s="112"/>
      <c r="Z859" s="112"/>
    </row>
    <row r="860" spans="1:26">
      <c r="A860" s="112"/>
      <c r="B860" s="112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2"/>
      <c r="Q860" s="112"/>
      <c r="R860" s="112"/>
      <c r="S860" s="112"/>
      <c r="T860" s="112"/>
      <c r="U860" s="112"/>
      <c r="V860" s="112"/>
      <c r="W860" s="112"/>
      <c r="X860" s="112"/>
      <c r="Y860" s="112"/>
      <c r="Z860" s="112"/>
    </row>
    <row r="861" spans="1:26">
      <c r="A861" s="112"/>
      <c r="B861" s="112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2"/>
      <c r="Q861" s="112"/>
      <c r="R861" s="112"/>
      <c r="S861" s="112"/>
      <c r="T861" s="112"/>
      <c r="U861" s="112"/>
      <c r="V861" s="112"/>
      <c r="W861" s="112"/>
      <c r="X861" s="112"/>
      <c r="Y861" s="112"/>
      <c r="Z861" s="112"/>
    </row>
    <row r="862" spans="1:26">
      <c r="A862" s="112"/>
      <c r="B862" s="112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2"/>
      <c r="Q862" s="112"/>
      <c r="R862" s="112"/>
      <c r="S862" s="112"/>
      <c r="T862" s="112"/>
      <c r="U862" s="112"/>
      <c r="V862" s="112"/>
      <c r="W862" s="112"/>
      <c r="X862" s="112"/>
      <c r="Y862" s="112"/>
      <c r="Z862" s="112"/>
    </row>
    <row r="863" spans="1:26">
      <c r="A863" s="112"/>
      <c r="B863" s="112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2"/>
      <c r="Q863" s="112"/>
      <c r="R863" s="112"/>
      <c r="S863" s="112"/>
      <c r="T863" s="112"/>
      <c r="U863" s="112"/>
      <c r="V863" s="112"/>
      <c r="W863" s="112"/>
      <c r="X863" s="112"/>
      <c r="Y863" s="112"/>
      <c r="Z863" s="112"/>
    </row>
    <row r="864" spans="1:26">
      <c r="A864" s="112"/>
      <c r="B864" s="112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2"/>
      <c r="Q864" s="112"/>
      <c r="R864" s="112"/>
      <c r="S864" s="112"/>
      <c r="T864" s="112"/>
      <c r="U864" s="112"/>
      <c r="V864" s="112"/>
      <c r="W864" s="112"/>
      <c r="X864" s="112"/>
      <c r="Y864" s="112"/>
      <c r="Z864" s="112"/>
    </row>
    <row r="865" spans="1:26">
      <c r="A865" s="112"/>
      <c r="B865" s="112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2"/>
      <c r="Q865" s="112"/>
      <c r="R865" s="112"/>
      <c r="S865" s="112"/>
      <c r="T865" s="112"/>
      <c r="U865" s="112"/>
      <c r="V865" s="112"/>
      <c r="W865" s="112"/>
      <c r="X865" s="112"/>
      <c r="Y865" s="112"/>
      <c r="Z865" s="112"/>
    </row>
    <row r="866" spans="1:26">
      <c r="A866" s="112"/>
      <c r="B866" s="112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2"/>
      <c r="Q866" s="112"/>
      <c r="R866" s="112"/>
      <c r="S866" s="112"/>
      <c r="T866" s="112"/>
      <c r="U866" s="112"/>
      <c r="V866" s="112"/>
      <c r="W866" s="112"/>
      <c r="X866" s="112"/>
      <c r="Y866" s="112"/>
      <c r="Z866" s="112"/>
    </row>
    <row r="867" spans="1:26">
      <c r="A867" s="112"/>
      <c r="B867" s="112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2"/>
      <c r="Q867" s="112"/>
      <c r="R867" s="112"/>
      <c r="S867" s="112"/>
      <c r="T867" s="112"/>
      <c r="U867" s="112"/>
      <c r="V867" s="112"/>
      <c r="W867" s="112"/>
      <c r="X867" s="112"/>
      <c r="Y867" s="112"/>
      <c r="Z867" s="112"/>
    </row>
    <row r="868" spans="1:26">
      <c r="A868" s="112"/>
      <c r="B868" s="112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2"/>
      <c r="Q868" s="112"/>
      <c r="R868" s="112"/>
      <c r="S868" s="112"/>
      <c r="T868" s="112"/>
      <c r="U868" s="112"/>
      <c r="V868" s="112"/>
      <c r="W868" s="112"/>
      <c r="X868" s="112"/>
      <c r="Y868" s="112"/>
      <c r="Z868" s="112"/>
    </row>
    <row r="869" spans="1:26">
      <c r="A869" s="112"/>
      <c r="B869" s="112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2"/>
      <c r="Q869" s="112"/>
      <c r="R869" s="112"/>
      <c r="S869" s="112"/>
      <c r="T869" s="112"/>
      <c r="U869" s="112"/>
      <c r="V869" s="112"/>
      <c r="W869" s="112"/>
      <c r="X869" s="112"/>
      <c r="Y869" s="112"/>
      <c r="Z869" s="112"/>
    </row>
    <row r="870" spans="1:26">
      <c r="A870" s="112"/>
      <c r="B870" s="112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2"/>
      <c r="Q870" s="112"/>
      <c r="R870" s="112"/>
      <c r="S870" s="112"/>
      <c r="T870" s="112"/>
      <c r="U870" s="112"/>
      <c r="V870" s="112"/>
      <c r="W870" s="112"/>
      <c r="X870" s="112"/>
      <c r="Y870" s="112"/>
      <c r="Z870" s="112"/>
    </row>
    <row r="871" spans="1:26">
      <c r="A871" s="112"/>
      <c r="B871" s="112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2"/>
      <c r="Q871" s="112"/>
      <c r="R871" s="112"/>
      <c r="S871" s="112"/>
      <c r="T871" s="112"/>
      <c r="U871" s="112"/>
      <c r="V871" s="112"/>
      <c r="W871" s="112"/>
      <c r="X871" s="112"/>
      <c r="Y871" s="112"/>
      <c r="Z871" s="112"/>
    </row>
    <row r="872" spans="1:26">
      <c r="A872" s="112"/>
      <c r="B872" s="112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2"/>
      <c r="Q872" s="112"/>
      <c r="R872" s="112"/>
      <c r="S872" s="112"/>
      <c r="T872" s="112"/>
      <c r="U872" s="112"/>
      <c r="V872" s="112"/>
      <c r="W872" s="112"/>
      <c r="X872" s="112"/>
      <c r="Y872" s="112"/>
      <c r="Z872" s="112"/>
    </row>
    <row r="873" spans="1:26">
      <c r="A873" s="112"/>
      <c r="B873" s="112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2"/>
      <c r="Q873" s="112"/>
      <c r="R873" s="112"/>
      <c r="S873" s="112"/>
      <c r="T873" s="112"/>
      <c r="U873" s="112"/>
      <c r="V873" s="112"/>
      <c r="W873" s="112"/>
      <c r="X873" s="112"/>
      <c r="Y873" s="112"/>
      <c r="Z873" s="112"/>
    </row>
    <row r="874" spans="1:26">
      <c r="A874" s="112"/>
      <c r="B874" s="112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2"/>
      <c r="Q874" s="112"/>
      <c r="R874" s="112"/>
      <c r="S874" s="112"/>
      <c r="T874" s="112"/>
      <c r="U874" s="112"/>
      <c r="V874" s="112"/>
      <c r="W874" s="112"/>
      <c r="X874" s="112"/>
      <c r="Y874" s="112"/>
      <c r="Z874" s="112"/>
    </row>
    <row r="875" spans="1:26">
      <c r="A875" s="112"/>
      <c r="B875" s="112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2"/>
      <c r="Q875" s="112"/>
      <c r="R875" s="112"/>
      <c r="S875" s="112"/>
      <c r="T875" s="112"/>
      <c r="U875" s="112"/>
      <c r="V875" s="112"/>
      <c r="W875" s="112"/>
      <c r="X875" s="112"/>
      <c r="Y875" s="112"/>
      <c r="Z875" s="112"/>
    </row>
    <row r="876" spans="1:26">
      <c r="A876" s="112"/>
      <c r="B876" s="112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2"/>
      <c r="Q876" s="112"/>
      <c r="R876" s="112"/>
      <c r="S876" s="112"/>
      <c r="T876" s="112"/>
      <c r="U876" s="112"/>
      <c r="V876" s="112"/>
      <c r="W876" s="112"/>
      <c r="X876" s="112"/>
      <c r="Y876" s="112"/>
      <c r="Z876" s="112"/>
    </row>
    <row r="877" spans="1:26">
      <c r="A877" s="112"/>
      <c r="B877" s="112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2"/>
      <c r="Q877" s="112"/>
      <c r="R877" s="112"/>
      <c r="S877" s="112"/>
      <c r="T877" s="112"/>
      <c r="U877" s="112"/>
      <c r="V877" s="112"/>
      <c r="W877" s="112"/>
      <c r="X877" s="112"/>
      <c r="Y877" s="112"/>
      <c r="Z877" s="112"/>
    </row>
    <row r="878" spans="1:26">
      <c r="A878" s="112"/>
      <c r="B878" s="112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2"/>
      <c r="Q878" s="112"/>
      <c r="R878" s="112"/>
      <c r="S878" s="112"/>
      <c r="T878" s="112"/>
      <c r="U878" s="112"/>
      <c r="V878" s="112"/>
      <c r="W878" s="112"/>
      <c r="X878" s="112"/>
      <c r="Y878" s="112"/>
      <c r="Z878" s="112"/>
    </row>
    <row r="879" spans="1:26">
      <c r="A879" s="112"/>
      <c r="B879" s="112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2"/>
      <c r="Q879" s="112"/>
      <c r="R879" s="112"/>
      <c r="S879" s="112"/>
      <c r="T879" s="112"/>
      <c r="U879" s="112"/>
      <c r="V879" s="112"/>
      <c r="W879" s="112"/>
      <c r="X879" s="112"/>
      <c r="Y879" s="112"/>
      <c r="Z879" s="112"/>
    </row>
    <row r="880" spans="1:26">
      <c r="A880" s="112"/>
      <c r="B880" s="112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2"/>
      <c r="Q880" s="112"/>
      <c r="R880" s="112"/>
      <c r="S880" s="112"/>
      <c r="T880" s="112"/>
      <c r="U880" s="112"/>
      <c r="V880" s="112"/>
      <c r="W880" s="112"/>
      <c r="X880" s="112"/>
      <c r="Y880" s="112"/>
      <c r="Z880" s="112"/>
    </row>
    <row r="881" spans="1:26">
      <c r="A881" s="112"/>
      <c r="B881" s="112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2"/>
      <c r="Q881" s="112"/>
      <c r="R881" s="112"/>
      <c r="S881" s="112"/>
      <c r="T881" s="112"/>
      <c r="U881" s="112"/>
      <c r="V881" s="112"/>
      <c r="W881" s="112"/>
      <c r="X881" s="112"/>
      <c r="Y881" s="112"/>
      <c r="Z881" s="112"/>
    </row>
    <row r="882" spans="1:26">
      <c r="A882" s="112"/>
      <c r="B882" s="112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2"/>
      <c r="Q882" s="112"/>
      <c r="R882" s="112"/>
      <c r="S882" s="112"/>
      <c r="T882" s="112"/>
      <c r="U882" s="112"/>
      <c r="V882" s="112"/>
      <c r="W882" s="112"/>
      <c r="X882" s="112"/>
      <c r="Y882" s="112"/>
      <c r="Z882" s="112"/>
    </row>
    <row r="883" spans="1:26">
      <c r="A883" s="112"/>
      <c r="B883" s="112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2"/>
      <c r="Q883" s="112"/>
      <c r="R883" s="112"/>
      <c r="S883" s="112"/>
      <c r="T883" s="112"/>
      <c r="U883" s="112"/>
      <c r="V883" s="112"/>
      <c r="W883" s="112"/>
      <c r="X883" s="112"/>
      <c r="Y883" s="112"/>
      <c r="Z883" s="112"/>
    </row>
    <row r="884" spans="1:26">
      <c r="A884" s="112"/>
      <c r="B884" s="112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2"/>
      <c r="Q884" s="112"/>
      <c r="R884" s="112"/>
      <c r="S884" s="112"/>
      <c r="T884" s="112"/>
      <c r="U884" s="112"/>
      <c r="V884" s="112"/>
      <c r="W884" s="112"/>
      <c r="X884" s="112"/>
      <c r="Y884" s="112"/>
      <c r="Z884" s="112"/>
    </row>
    <row r="885" spans="1:26">
      <c r="A885" s="112"/>
      <c r="B885" s="112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2"/>
      <c r="Q885" s="112"/>
      <c r="R885" s="112"/>
      <c r="S885" s="112"/>
      <c r="T885" s="112"/>
      <c r="U885" s="112"/>
      <c r="V885" s="112"/>
      <c r="W885" s="112"/>
      <c r="X885" s="112"/>
      <c r="Y885" s="112"/>
      <c r="Z885" s="112"/>
    </row>
    <row r="886" spans="1:26">
      <c r="A886" s="112"/>
      <c r="B886" s="112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2"/>
      <c r="Q886" s="112"/>
      <c r="R886" s="112"/>
      <c r="S886" s="112"/>
      <c r="T886" s="112"/>
      <c r="U886" s="112"/>
      <c r="V886" s="112"/>
      <c r="W886" s="112"/>
      <c r="X886" s="112"/>
      <c r="Y886" s="112"/>
      <c r="Z886" s="112"/>
    </row>
    <row r="887" spans="1:26">
      <c r="A887" s="112"/>
      <c r="B887" s="112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2"/>
      <c r="Q887" s="112"/>
      <c r="R887" s="112"/>
      <c r="S887" s="112"/>
      <c r="T887" s="112"/>
      <c r="U887" s="112"/>
      <c r="V887" s="112"/>
      <c r="W887" s="112"/>
      <c r="X887" s="112"/>
      <c r="Y887" s="112"/>
      <c r="Z887" s="112"/>
    </row>
    <row r="888" spans="1:26">
      <c r="A888" s="112"/>
      <c r="B888" s="112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2"/>
      <c r="Q888" s="112"/>
      <c r="R888" s="112"/>
      <c r="S888" s="112"/>
      <c r="T888" s="112"/>
      <c r="U888" s="112"/>
      <c r="V888" s="112"/>
      <c r="W888" s="112"/>
      <c r="X888" s="112"/>
      <c r="Y888" s="112"/>
      <c r="Z888" s="112"/>
    </row>
    <row r="889" spans="1:26">
      <c r="A889" s="112"/>
      <c r="B889" s="112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2"/>
      <c r="Q889" s="112"/>
      <c r="R889" s="112"/>
      <c r="S889" s="112"/>
      <c r="T889" s="112"/>
      <c r="U889" s="112"/>
      <c r="V889" s="112"/>
      <c r="W889" s="112"/>
      <c r="X889" s="112"/>
      <c r="Y889" s="112"/>
      <c r="Z889" s="112"/>
    </row>
    <row r="890" spans="1:26">
      <c r="A890" s="112"/>
      <c r="B890" s="112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2"/>
      <c r="Q890" s="112"/>
      <c r="R890" s="112"/>
      <c r="S890" s="112"/>
      <c r="T890" s="112"/>
      <c r="U890" s="112"/>
      <c r="V890" s="112"/>
      <c r="W890" s="112"/>
      <c r="X890" s="112"/>
      <c r="Y890" s="112"/>
      <c r="Z890" s="112"/>
    </row>
    <row r="891" spans="1:26">
      <c r="A891" s="112"/>
      <c r="B891" s="112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2"/>
      <c r="Q891" s="112"/>
      <c r="R891" s="112"/>
      <c r="S891" s="112"/>
      <c r="T891" s="112"/>
      <c r="U891" s="112"/>
      <c r="V891" s="112"/>
      <c r="W891" s="112"/>
      <c r="X891" s="112"/>
      <c r="Y891" s="112"/>
      <c r="Z891" s="112"/>
    </row>
    <row r="892" spans="1:26">
      <c r="A892" s="112"/>
      <c r="B892" s="112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2"/>
      <c r="Q892" s="112"/>
      <c r="R892" s="112"/>
      <c r="S892" s="112"/>
      <c r="T892" s="112"/>
      <c r="U892" s="112"/>
      <c r="V892" s="112"/>
      <c r="W892" s="112"/>
      <c r="X892" s="112"/>
      <c r="Y892" s="112"/>
      <c r="Z892" s="112"/>
    </row>
    <row r="893" spans="1:26">
      <c r="A893" s="112"/>
      <c r="B893" s="112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2"/>
      <c r="Q893" s="112"/>
      <c r="R893" s="112"/>
      <c r="S893" s="112"/>
      <c r="T893" s="112"/>
      <c r="U893" s="112"/>
      <c r="V893" s="112"/>
      <c r="W893" s="112"/>
      <c r="X893" s="112"/>
      <c r="Y893" s="112"/>
      <c r="Z893" s="112"/>
    </row>
    <row r="894" spans="1:26">
      <c r="A894" s="112"/>
      <c r="B894" s="112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2"/>
      <c r="Q894" s="112"/>
      <c r="R894" s="112"/>
      <c r="S894" s="112"/>
      <c r="T894" s="112"/>
      <c r="U894" s="112"/>
      <c r="V894" s="112"/>
      <c r="W894" s="112"/>
      <c r="X894" s="112"/>
      <c r="Y894" s="112"/>
      <c r="Z894" s="112"/>
    </row>
    <row r="895" spans="1:26">
      <c r="A895" s="112"/>
      <c r="B895" s="112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2"/>
      <c r="Q895" s="112"/>
      <c r="R895" s="112"/>
      <c r="S895" s="112"/>
      <c r="T895" s="112"/>
      <c r="U895" s="112"/>
      <c r="V895" s="112"/>
      <c r="W895" s="112"/>
      <c r="X895" s="112"/>
      <c r="Y895" s="112"/>
      <c r="Z895" s="112"/>
    </row>
    <row r="896" spans="1:26">
      <c r="A896" s="112"/>
      <c r="B896" s="112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2"/>
      <c r="Q896" s="112"/>
      <c r="R896" s="112"/>
      <c r="S896" s="112"/>
      <c r="T896" s="112"/>
      <c r="U896" s="112"/>
      <c r="V896" s="112"/>
      <c r="W896" s="112"/>
      <c r="X896" s="112"/>
      <c r="Y896" s="112"/>
      <c r="Z896" s="112"/>
    </row>
    <row r="897" spans="1:26">
      <c r="A897" s="112"/>
      <c r="B897" s="112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2"/>
      <c r="Q897" s="112"/>
      <c r="R897" s="112"/>
      <c r="S897" s="112"/>
      <c r="T897" s="112"/>
      <c r="U897" s="112"/>
      <c r="V897" s="112"/>
      <c r="W897" s="112"/>
      <c r="X897" s="112"/>
      <c r="Y897" s="112"/>
      <c r="Z897" s="112"/>
    </row>
    <row r="898" spans="1:26">
      <c r="A898" s="112"/>
      <c r="B898" s="112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2"/>
      <c r="Q898" s="112"/>
      <c r="R898" s="112"/>
      <c r="S898" s="112"/>
      <c r="T898" s="112"/>
      <c r="U898" s="112"/>
      <c r="V898" s="112"/>
      <c r="W898" s="112"/>
      <c r="X898" s="112"/>
      <c r="Y898" s="112"/>
      <c r="Z898" s="112"/>
    </row>
    <row r="899" spans="1:26">
      <c r="A899" s="112"/>
      <c r="B899" s="112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2"/>
      <c r="Q899" s="112"/>
      <c r="R899" s="112"/>
      <c r="S899" s="112"/>
      <c r="T899" s="112"/>
      <c r="U899" s="112"/>
      <c r="V899" s="112"/>
      <c r="W899" s="112"/>
      <c r="X899" s="112"/>
      <c r="Y899" s="112"/>
      <c r="Z899" s="112"/>
    </row>
    <row r="900" spans="1:26">
      <c r="A900" s="112"/>
      <c r="B900" s="112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2"/>
      <c r="Q900" s="112"/>
      <c r="R900" s="112"/>
      <c r="S900" s="112"/>
      <c r="T900" s="112"/>
      <c r="U900" s="112"/>
      <c r="V900" s="112"/>
      <c r="W900" s="112"/>
      <c r="X900" s="112"/>
      <c r="Y900" s="112"/>
      <c r="Z900" s="112"/>
    </row>
    <row r="901" spans="1:26">
      <c r="A901" s="112"/>
      <c r="B901" s="112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2"/>
      <c r="Q901" s="112"/>
      <c r="R901" s="112"/>
      <c r="S901" s="112"/>
      <c r="T901" s="112"/>
      <c r="U901" s="112"/>
      <c r="V901" s="112"/>
      <c r="W901" s="112"/>
      <c r="X901" s="112"/>
      <c r="Y901" s="112"/>
      <c r="Z901" s="112"/>
    </row>
    <row r="902" spans="1:26">
      <c r="A902" s="112"/>
      <c r="B902" s="112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2"/>
      <c r="Q902" s="112"/>
      <c r="R902" s="112"/>
      <c r="S902" s="112"/>
      <c r="T902" s="112"/>
      <c r="U902" s="112"/>
      <c r="V902" s="112"/>
      <c r="W902" s="112"/>
      <c r="X902" s="112"/>
      <c r="Y902" s="112"/>
      <c r="Z902" s="112"/>
    </row>
    <row r="903" spans="1:26">
      <c r="A903" s="112"/>
      <c r="B903" s="112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2"/>
      <c r="Q903" s="112"/>
      <c r="R903" s="112"/>
      <c r="S903" s="112"/>
      <c r="T903" s="112"/>
      <c r="U903" s="112"/>
      <c r="V903" s="112"/>
      <c r="W903" s="112"/>
      <c r="X903" s="112"/>
      <c r="Y903" s="112"/>
      <c r="Z903" s="112"/>
    </row>
    <row r="904" spans="1:26">
      <c r="A904" s="112"/>
      <c r="B904" s="112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2"/>
      <c r="Q904" s="112"/>
      <c r="R904" s="112"/>
      <c r="S904" s="112"/>
      <c r="T904" s="112"/>
      <c r="U904" s="112"/>
      <c r="V904" s="112"/>
      <c r="W904" s="112"/>
      <c r="X904" s="112"/>
      <c r="Y904" s="112"/>
      <c r="Z904" s="112"/>
    </row>
    <row r="905" spans="1:26">
      <c r="A905" s="112"/>
      <c r="B905" s="112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2"/>
      <c r="Q905" s="112"/>
      <c r="R905" s="112"/>
      <c r="S905" s="112"/>
      <c r="T905" s="112"/>
      <c r="U905" s="112"/>
      <c r="V905" s="112"/>
      <c r="W905" s="112"/>
      <c r="X905" s="112"/>
      <c r="Y905" s="112"/>
      <c r="Z905" s="112"/>
    </row>
    <row r="906" spans="1:26">
      <c r="A906" s="112"/>
      <c r="B906" s="112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2"/>
      <c r="Q906" s="112"/>
      <c r="R906" s="112"/>
      <c r="S906" s="112"/>
      <c r="T906" s="112"/>
      <c r="U906" s="112"/>
      <c r="V906" s="112"/>
      <c r="W906" s="112"/>
      <c r="X906" s="112"/>
      <c r="Y906" s="112"/>
      <c r="Z906" s="112"/>
    </row>
    <row r="907" spans="1:26">
      <c r="A907" s="112"/>
      <c r="B907" s="112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2"/>
      <c r="Q907" s="112"/>
      <c r="R907" s="112"/>
      <c r="S907" s="112"/>
      <c r="T907" s="112"/>
      <c r="U907" s="112"/>
      <c r="V907" s="112"/>
      <c r="W907" s="112"/>
      <c r="X907" s="112"/>
      <c r="Y907" s="112"/>
      <c r="Z907" s="112"/>
    </row>
    <row r="908" spans="1:26">
      <c r="A908" s="112"/>
      <c r="B908" s="112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2"/>
      <c r="Q908" s="112"/>
      <c r="R908" s="112"/>
      <c r="S908" s="112"/>
      <c r="T908" s="112"/>
      <c r="U908" s="112"/>
      <c r="V908" s="112"/>
      <c r="W908" s="112"/>
      <c r="X908" s="112"/>
      <c r="Y908" s="112"/>
      <c r="Z908" s="112"/>
    </row>
    <row r="909" spans="1:26">
      <c r="A909" s="112"/>
      <c r="B909" s="112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2"/>
      <c r="Q909" s="112"/>
      <c r="R909" s="112"/>
      <c r="S909" s="112"/>
      <c r="T909" s="112"/>
      <c r="U909" s="112"/>
      <c r="V909" s="112"/>
      <c r="W909" s="112"/>
      <c r="X909" s="112"/>
      <c r="Y909" s="112"/>
      <c r="Z909" s="112"/>
    </row>
    <row r="910" spans="1:26">
      <c r="A910" s="112"/>
      <c r="B910" s="112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2"/>
      <c r="Q910" s="112"/>
      <c r="R910" s="112"/>
      <c r="S910" s="112"/>
      <c r="T910" s="112"/>
      <c r="U910" s="112"/>
      <c r="V910" s="112"/>
      <c r="W910" s="112"/>
      <c r="X910" s="112"/>
      <c r="Y910" s="112"/>
      <c r="Z910" s="112"/>
    </row>
    <row r="911" spans="1:26">
      <c r="A911" s="112"/>
      <c r="B911" s="112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2"/>
      <c r="Q911" s="112"/>
      <c r="R911" s="112"/>
      <c r="S911" s="112"/>
      <c r="T911" s="112"/>
      <c r="U911" s="112"/>
      <c r="V911" s="112"/>
      <c r="W911" s="112"/>
      <c r="X911" s="112"/>
      <c r="Y911" s="112"/>
      <c r="Z911" s="112"/>
    </row>
    <row r="912" spans="1:26">
      <c r="A912" s="112"/>
      <c r="B912" s="112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2"/>
      <c r="Q912" s="112"/>
      <c r="R912" s="112"/>
      <c r="S912" s="112"/>
      <c r="T912" s="112"/>
      <c r="U912" s="112"/>
      <c r="V912" s="112"/>
      <c r="W912" s="112"/>
      <c r="X912" s="112"/>
      <c r="Y912" s="112"/>
      <c r="Z912" s="112"/>
    </row>
    <row r="913" spans="1:26">
      <c r="A913" s="112"/>
      <c r="B913" s="112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2"/>
      <c r="Q913" s="112"/>
      <c r="R913" s="112"/>
      <c r="S913" s="112"/>
      <c r="T913" s="112"/>
      <c r="U913" s="112"/>
      <c r="V913" s="112"/>
      <c r="W913" s="112"/>
      <c r="X913" s="112"/>
      <c r="Y913" s="112"/>
      <c r="Z913" s="112"/>
    </row>
    <row r="914" spans="1:26">
      <c r="A914" s="112"/>
      <c r="B914" s="112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2"/>
      <c r="Q914" s="112"/>
      <c r="R914" s="112"/>
      <c r="S914" s="112"/>
      <c r="T914" s="112"/>
      <c r="U914" s="112"/>
      <c r="V914" s="112"/>
      <c r="W914" s="112"/>
      <c r="X914" s="112"/>
      <c r="Y914" s="112"/>
      <c r="Z914" s="112"/>
    </row>
    <row r="915" spans="1:26">
      <c r="A915" s="112"/>
      <c r="B915" s="112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2"/>
      <c r="Q915" s="112"/>
      <c r="R915" s="112"/>
      <c r="S915" s="112"/>
      <c r="T915" s="112"/>
      <c r="U915" s="112"/>
      <c r="V915" s="112"/>
      <c r="W915" s="112"/>
      <c r="X915" s="112"/>
      <c r="Y915" s="112"/>
      <c r="Z915" s="112"/>
    </row>
    <row r="916" spans="1:26">
      <c r="A916" s="112"/>
      <c r="B916" s="112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2"/>
      <c r="Q916" s="112"/>
      <c r="R916" s="112"/>
      <c r="S916" s="112"/>
      <c r="T916" s="112"/>
      <c r="U916" s="112"/>
      <c r="V916" s="112"/>
      <c r="W916" s="112"/>
      <c r="X916" s="112"/>
      <c r="Y916" s="112"/>
      <c r="Z916" s="112"/>
    </row>
    <row r="917" spans="1:26">
      <c r="A917" s="112"/>
      <c r="B917" s="112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2"/>
      <c r="Q917" s="112"/>
      <c r="R917" s="112"/>
      <c r="S917" s="112"/>
      <c r="T917" s="112"/>
      <c r="U917" s="112"/>
      <c r="V917" s="112"/>
      <c r="W917" s="112"/>
      <c r="X917" s="112"/>
      <c r="Y917" s="112"/>
      <c r="Z917" s="112"/>
    </row>
    <row r="918" spans="1:26">
      <c r="A918" s="112"/>
      <c r="B918" s="112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2"/>
      <c r="Q918" s="112"/>
      <c r="R918" s="112"/>
      <c r="S918" s="112"/>
      <c r="T918" s="112"/>
      <c r="U918" s="112"/>
      <c r="V918" s="112"/>
      <c r="W918" s="112"/>
      <c r="X918" s="112"/>
      <c r="Y918" s="112"/>
      <c r="Z918" s="112"/>
    </row>
    <row r="919" spans="1:26">
      <c r="A919" s="112"/>
      <c r="B919" s="112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2"/>
      <c r="Q919" s="112"/>
      <c r="R919" s="112"/>
      <c r="S919" s="112"/>
      <c r="T919" s="112"/>
      <c r="U919" s="112"/>
      <c r="V919" s="112"/>
      <c r="W919" s="112"/>
      <c r="X919" s="112"/>
      <c r="Y919" s="112"/>
      <c r="Z919" s="112"/>
    </row>
    <row r="920" spans="1:26">
      <c r="A920" s="112"/>
      <c r="B920" s="112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2"/>
      <c r="Q920" s="112"/>
      <c r="R920" s="112"/>
      <c r="S920" s="112"/>
      <c r="T920" s="112"/>
      <c r="U920" s="112"/>
      <c r="V920" s="112"/>
      <c r="W920" s="112"/>
      <c r="X920" s="112"/>
      <c r="Y920" s="112"/>
      <c r="Z920" s="112"/>
    </row>
    <row r="921" spans="1:26">
      <c r="A921" s="112"/>
      <c r="B921" s="112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2"/>
      <c r="Q921" s="112"/>
      <c r="R921" s="112"/>
      <c r="S921" s="112"/>
      <c r="T921" s="112"/>
      <c r="U921" s="112"/>
      <c r="V921" s="112"/>
      <c r="W921" s="112"/>
      <c r="X921" s="112"/>
      <c r="Y921" s="112"/>
      <c r="Z921" s="112"/>
    </row>
    <row r="922" spans="1:26">
      <c r="A922" s="112"/>
      <c r="B922" s="112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2"/>
      <c r="Q922" s="112"/>
      <c r="R922" s="112"/>
      <c r="S922" s="112"/>
      <c r="T922" s="112"/>
      <c r="U922" s="112"/>
      <c r="V922" s="112"/>
      <c r="W922" s="112"/>
      <c r="X922" s="112"/>
      <c r="Y922" s="112"/>
      <c r="Z922" s="112"/>
    </row>
    <row r="923" spans="1:26">
      <c r="A923" s="112"/>
      <c r="B923" s="112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2"/>
      <c r="Q923" s="112"/>
      <c r="R923" s="112"/>
      <c r="S923" s="112"/>
      <c r="T923" s="112"/>
      <c r="U923" s="112"/>
      <c r="V923" s="112"/>
      <c r="W923" s="112"/>
      <c r="X923" s="112"/>
      <c r="Y923" s="112"/>
      <c r="Z923" s="112"/>
    </row>
    <row r="924" spans="1:26">
      <c r="A924" s="112"/>
      <c r="B924" s="112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2"/>
      <c r="Q924" s="112"/>
      <c r="R924" s="112"/>
      <c r="S924" s="112"/>
      <c r="T924" s="112"/>
      <c r="U924" s="112"/>
      <c r="V924" s="112"/>
      <c r="W924" s="112"/>
      <c r="X924" s="112"/>
      <c r="Y924" s="112"/>
      <c r="Z924" s="112"/>
    </row>
    <row r="925" spans="1:26">
      <c r="A925" s="112"/>
      <c r="B925" s="112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2"/>
      <c r="Q925" s="112"/>
      <c r="R925" s="112"/>
      <c r="S925" s="112"/>
      <c r="T925" s="112"/>
      <c r="U925" s="112"/>
      <c r="V925" s="112"/>
      <c r="W925" s="112"/>
      <c r="X925" s="112"/>
      <c r="Y925" s="112"/>
      <c r="Z925" s="112"/>
    </row>
    <row r="926" spans="1:26">
      <c r="A926" s="112"/>
      <c r="B926" s="112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2"/>
      <c r="Q926" s="112"/>
      <c r="R926" s="112"/>
      <c r="S926" s="112"/>
      <c r="T926" s="112"/>
      <c r="U926" s="112"/>
      <c r="V926" s="112"/>
      <c r="W926" s="112"/>
      <c r="X926" s="112"/>
      <c r="Y926" s="112"/>
      <c r="Z926" s="112"/>
    </row>
    <row r="927" spans="1:26">
      <c r="A927" s="112"/>
      <c r="B927" s="112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2"/>
      <c r="Q927" s="112"/>
      <c r="R927" s="112"/>
      <c r="S927" s="112"/>
      <c r="T927" s="112"/>
      <c r="U927" s="112"/>
      <c r="V927" s="112"/>
      <c r="W927" s="112"/>
      <c r="X927" s="112"/>
      <c r="Y927" s="112"/>
      <c r="Z927" s="112"/>
    </row>
    <row r="928" spans="1:26">
      <c r="A928" s="112"/>
      <c r="B928" s="112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2"/>
      <c r="Q928" s="112"/>
      <c r="R928" s="112"/>
      <c r="S928" s="112"/>
      <c r="T928" s="112"/>
      <c r="U928" s="112"/>
      <c r="V928" s="112"/>
      <c r="W928" s="112"/>
      <c r="X928" s="112"/>
      <c r="Y928" s="112"/>
      <c r="Z928" s="112"/>
    </row>
    <row r="929" spans="1:26">
      <c r="A929" s="112"/>
      <c r="B929" s="112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2"/>
      <c r="Q929" s="112"/>
      <c r="R929" s="112"/>
      <c r="S929" s="112"/>
      <c r="T929" s="112"/>
      <c r="U929" s="112"/>
      <c r="V929" s="112"/>
      <c r="W929" s="112"/>
      <c r="X929" s="112"/>
      <c r="Y929" s="112"/>
      <c r="Z929" s="112"/>
    </row>
    <row r="930" spans="1:26">
      <c r="A930" s="112"/>
      <c r="B930" s="112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2"/>
      <c r="Q930" s="112"/>
      <c r="R930" s="112"/>
      <c r="S930" s="112"/>
      <c r="T930" s="112"/>
      <c r="U930" s="112"/>
      <c r="V930" s="112"/>
      <c r="W930" s="112"/>
      <c r="X930" s="112"/>
      <c r="Y930" s="112"/>
      <c r="Z930" s="112"/>
    </row>
    <row r="931" spans="1:26">
      <c r="A931" s="112"/>
      <c r="B931" s="112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2"/>
      <c r="Q931" s="112"/>
      <c r="R931" s="112"/>
      <c r="S931" s="112"/>
      <c r="T931" s="112"/>
      <c r="U931" s="112"/>
      <c r="V931" s="112"/>
      <c r="W931" s="112"/>
      <c r="X931" s="112"/>
      <c r="Y931" s="112"/>
      <c r="Z931" s="112"/>
    </row>
    <row r="932" spans="1:26">
      <c r="A932" s="112"/>
      <c r="B932" s="112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2"/>
      <c r="Q932" s="112"/>
      <c r="R932" s="112"/>
      <c r="S932" s="112"/>
      <c r="T932" s="112"/>
      <c r="U932" s="112"/>
      <c r="V932" s="112"/>
      <c r="W932" s="112"/>
      <c r="X932" s="112"/>
      <c r="Y932" s="112"/>
      <c r="Z932" s="112"/>
    </row>
    <row r="933" spans="1:26">
      <c r="A933" s="112"/>
      <c r="B933" s="112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2"/>
      <c r="Q933" s="112"/>
      <c r="R933" s="112"/>
      <c r="S933" s="112"/>
      <c r="T933" s="112"/>
      <c r="U933" s="112"/>
      <c r="V933" s="112"/>
      <c r="W933" s="112"/>
      <c r="X933" s="112"/>
      <c r="Y933" s="112"/>
      <c r="Z933" s="112"/>
    </row>
    <row r="934" spans="1:26">
      <c r="A934" s="112"/>
      <c r="B934" s="112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2"/>
      <c r="Q934" s="112"/>
      <c r="R934" s="112"/>
      <c r="S934" s="112"/>
      <c r="T934" s="112"/>
      <c r="U934" s="112"/>
      <c r="V934" s="112"/>
      <c r="W934" s="112"/>
      <c r="X934" s="112"/>
      <c r="Y934" s="112"/>
      <c r="Z934" s="112"/>
    </row>
    <row r="935" spans="1:26">
      <c r="A935" s="112"/>
      <c r="B935" s="112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2"/>
      <c r="Q935" s="112"/>
      <c r="R935" s="112"/>
      <c r="S935" s="112"/>
      <c r="T935" s="112"/>
      <c r="U935" s="112"/>
      <c r="V935" s="112"/>
      <c r="W935" s="112"/>
      <c r="X935" s="112"/>
      <c r="Y935" s="112"/>
      <c r="Z935" s="112"/>
    </row>
    <row r="936" spans="1:26">
      <c r="A936" s="112"/>
      <c r="B936" s="112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2"/>
      <c r="Q936" s="112"/>
      <c r="R936" s="112"/>
      <c r="S936" s="112"/>
      <c r="T936" s="112"/>
      <c r="U936" s="112"/>
      <c r="V936" s="112"/>
      <c r="W936" s="112"/>
      <c r="X936" s="112"/>
      <c r="Y936" s="112"/>
      <c r="Z936" s="112"/>
    </row>
    <row r="937" spans="1:26">
      <c r="A937" s="112"/>
      <c r="B937" s="112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2"/>
      <c r="Q937" s="112"/>
      <c r="R937" s="112"/>
      <c r="S937" s="112"/>
      <c r="T937" s="112"/>
      <c r="U937" s="112"/>
      <c r="V937" s="112"/>
      <c r="W937" s="112"/>
      <c r="X937" s="112"/>
      <c r="Y937" s="112"/>
      <c r="Z937" s="112"/>
    </row>
    <row r="938" spans="1:26">
      <c r="A938" s="112"/>
      <c r="B938" s="112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2"/>
      <c r="Q938" s="112"/>
      <c r="R938" s="112"/>
      <c r="S938" s="112"/>
      <c r="T938" s="112"/>
      <c r="U938" s="112"/>
      <c r="V938" s="112"/>
      <c r="W938" s="112"/>
      <c r="X938" s="112"/>
      <c r="Y938" s="112"/>
      <c r="Z938" s="112"/>
    </row>
    <row r="939" spans="1:26">
      <c r="A939" s="112"/>
      <c r="B939" s="112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2"/>
      <c r="Q939" s="112"/>
      <c r="R939" s="112"/>
      <c r="S939" s="112"/>
      <c r="T939" s="112"/>
      <c r="U939" s="112"/>
      <c r="V939" s="112"/>
      <c r="W939" s="112"/>
      <c r="X939" s="112"/>
      <c r="Y939" s="112"/>
      <c r="Z939" s="112"/>
    </row>
    <row r="940" spans="1:26">
      <c r="A940" s="112"/>
      <c r="B940" s="112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2"/>
      <c r="Q940" s="112"/>
      <c r="R940" s="112"/>
      <c r="S940" s="112"/>
      <c r="T940" s="112"/>
      <c r="U940" s="112"/>
      <c r="V940" s="112"/>
      <c r="W940" s="112"/>
      <c r="X940" s="112"/>
      <c r="Y940" s="112"/>
      <c r="Z940" s="112"/>
    </row>
    <row r="941" spans="1:26">
      <c r="A941" s="112"/>
      <c r="B941" s="112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2"/>
      <c r="Q941" s="112"/>
      <c r="R941" s="112"/>
      <c r="S941" s="112"/>
      <c r="T941" s="112"/>
      <c r="U941" s="112"/>
      <c r="V941" s="112"/>
      <c r="W941" s="112"/>
      <c r="X941" s="112"/>
      <c r="Y941" s="112"/>
      <c r="Z941" s="112"/>
    </row>
    <row r="942" spans="1:26">
      <c r="A942" s="112"/>
      <c r="B942" s="112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2"/>
      <c r="Q942" s="112"/>
      <c r="R942" s="112"/>
      <c r="S942" s="112"/>
      <c r="T942" s="112"/>
      <c r="U942" s="112"/>
      <c r="V942" s="112"/>
      <c r="W942" s="112"/>
      <c r="X942" s="112"/>
      <c r="Y942" s="112"/>
      <c r="Z942" s="112"/>
    </row>
    <row r="943" spans="1:26">
      <c r="A943" s="112"/>
      <c r="B943" s="112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2"/>
      <c r="Q943" s="112"/>
      <c r="R943" s="112"/>
      <c r="S943" s="112"/>
      <c r="T943" s="112"/>
      <c r="U943" s="112"/>
      <c r="V943" s="112"/>
      <c r="W943" s="112"/>
      <c r="X943" s="112"/>
      <c r="Y943" s="112"/>
      <c r="Z943" s="112"/>
    </row>
    <row r="944" spans="1:26">
      <c r="A944" s="112"/>
      <c r="B944" s="112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2"/>
      <c r="Q944" s="112"/>
      <c r="R944" s="112"/>
      <c r="S944" s="112"/>
      <c r="T944" s="112"/>
      <c r="U944" s="112"/>
      <c r="V944" s="112"/>
      <c r="W944" s="112"/>
      <c r="X944" s="112"/>
      <c r="Y944" s="112"/>
      <c r="Z944" s="112"/>
    </row>
    <row r="945" spans="1:26">
      <c r="A945" s="112"/>
      <c r="B945" s="112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2"/>
      <c r="Q945" s="112"/>
      <c r="R945" s="112"/>
      <c r="S945" s="112"/>
      <c r="T945" s="112"/>
      <c r="U945" s="112"/>
      <c r="V945" s="112"/>
      <c r="W945" s="112"/>
      <c r="X945" s="112"/>
      <c r="Y945" s="112"/>
      <c r="Z945" s="112"/>
    </row>
    <row r="946" spans="1:26">
      <c r="A946" s="112"/>
      <c r="B946" s="112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2"/>
      <c r="Q946" s="112"/>
      <c r="R946" s="112"/>
      <c r="S946" s="112"/>
      <c r="T946" s="112"/>
      <c r="U946" s="112"/>
      <c r="V946" s="112"/>
      <c r="W946" s="112"/>
      <c r="X946" s="112"/>
      <c r="Y946" s="112"/>
      <c r="Z946" s="112"/>
    </row>
    <row r="947" spans="1:26">
      <c r="A947" s="112"/>
      <c r="B947" s="112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2"/>
      <c r="Q947" s="112"/>
      <c r="R947" s="112"/>
      <c r="S947" s="112"/>
      <c r="T947" s="112"/>
      <c r="U947" s="112"/>
      <c r="V947" s="112"/>
      <c r="W947" s="112"/>
      <c r="X947" s="112"/>
      <c r="Y947" s="112"/>
      <c r="Z947" s="112"/>
    </row>
    <row r="948" spans="1:26">
      <c r="A948" s="112"/>
      <c r="B948" s="112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2"/>
      <c r="Q948" s="112"/>
      <c r="R948" s="112"/>
      <c r="S948" s="112"/>
      <c r="T948" s="112"/>
      <c r="U948" s="112"/>
      <c r="V948" s="112"/>
      <c r="W948" s="112"/>
      <c r="X948" s="112"/>
      <c r="Y948" s="112"/>
      <c r="Z948" s="112"/>
    </row>
    <row r="949" spans="1:26">
      <c r="A949" s="112"/>
      <c r="B949" s="112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2"/>
      <c r="Q949" s="112"/>
      <c r="R949" s="112"/>
      <c r="S949" s="112"/>
      <c r="T949" s="112"/>
      <c r="U949" s="112"/>
      <c r="V949" s="112"/>
      <c r="W949" s="112"/>
      <c r="X949" s="112"/>
      <c r="Y949" s="112"/>
      <c r="Z949" s="112"/>
    </row>
    <row r="950" spans="1:26">
      <c r="A950" s="112"/>
      <c r="B950" s="112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2"/>
      <c r="Q950" s="112"/>
      <c r="R950" s="112"/>
      <c r="S950" s="112"/>
      <c r="T950" s="112"/>
      <c r="U950" s="112"/>
      <c r="V950" s="112"/>
      <c r="W950" s="112"/>
      <c r="X950" s="112"/>
      <c r="Y950" s="112"/>
      <c r="Z950" s="112"/>
    </row>
    <row r="951" spans="1:26">
      <c r="A951" s="112"/>
      <c r="B951" s="112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2"/>
      <c r="Q951" s="112"/>
      <c r="R951" s="112"/>
      <c r="S951" s="112"/>
      <c r="T951" s="112"/>
      <c r="U951" s="112"/>
      <c r="V951" s="112"/>
      <c r="W951" s="112"/>
      <c r="X951" s="112"/>
      <c r="Y951" s="112"/>
      <c r="Z951" s="112"/>
    </row>
    <row r="952" spans="1:26">
      <c r="A952" s="112"/>
      <c r="B952" s="112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2"/>
      <c r="Q952" s="112"/>
      <c r="R952" s="112"/>
      <c r="S952" s="112"/>
      <c r="T952" s="112"/>
      <c r="U952" s="112"/>
      <c r="V952" s="112"/>
      <c r="W952" s="112"/>
      <c r="X952" s="112"/>
      <c r="Y952" s="112"/>
      <c r="Z952" s="112"/>
    </row>
    <row r="953" spans="1:26">
      <c r="A953" s="112"/>
      <c r="B953" s="112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2"/>
      <c r="Q953" s="112"/>
      <c r="R953" s="112"/>
      <c r="S953" s="112"/>
      <c r="T953" s="112"/>
      <c r="U953" s="112"/>
      <c r="V953" s="112"/>
      <c r="W953" s="112"/>
      <c r="X953" s="112"/>
      <c r="Y953" s="112"/>
      <c r="Z953" s="112"/>
    </row>
    <row r="954" spans="1:26">
      <c r="A954" s="112"/>
      <c r="B954" s="112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2"/>
      <c r="Q954" s="112"/>
      <c r="R954" s="112"/>
      <c r="S954" s="112"/>
      <c r="T954" s="112"/>
      <c r="U954" s="112"/>
      <c r="V954" s="112"/>
      <c r="W954" s="112"/>
      <c r="X954" s="112"/>
      <c r="Y954" s="112"/>
      <c r="Z954" s="112"/>
    </row>
    <row r="955" spans="1:26">
      <c r="A955" s="112"/>
      <c r="B955" s="112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2"/>
      <c r="Q955" s="112"/>
      <c r="R955" s="112"/>
      <c r="S955" s="112"/>
      <c r="T955" s="112"/>
      <c r="U955" s="112"/>
      <c r="V955" s="112"/>
      <c r="W955" s="112"/>
      <c r="X955" s="112"/>
      <c r="Y955" s="112"/>
      <c r="Z955" s="112"/>
    </row>
    <row r="956" spans="1:26">
      <c r="A956" s="112"/>
      <c r="B956" s="112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2"/>
      <c r="Q956" s="112"/>
      <c r="R956" s="112"/>
      <c r="S956" s="112"/>
      <c r="T956" s="112"/>
      <c r="U956" s="112"/>
      <c r="V956" s="112"/>
      <c r="W956" s="112"/>
      <c r="X956" s="112"/>
      <c r="Y956" s="112"/>
      <c r="Z956" s="112"/>
    </row>
    <row r="957" spans="1:26">
      <c r="A957" s="112"/>
      <c r="B957" s="112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2"/>
      <c r="Q957" s="112"/>
      <c r="R957" s="112"/>
      <c r="S957" s="112"/>
      <c r="T957" s="112"/>
      <c r="U957" s="112"/>
      <c r="V957" s="112"/>
      <c r="W957" s="112"/>
      <c r="X957" s="112"/>
      <c r="Y957" s="112"/>
      <c r="Z957" s="112"/>
    </row>
    <row r="958" spans="1:26">
      <c r="A958" s="112"/>
      <c r="B958" s="112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2"/>
      <c r="Q958" s="112"/>
      <c r="R958" s="112"/>
      <c r="S958" s="112"/>
      <c r="T958" s="112"/>
      <c r="U958" s="112"/>
      <c r="V958" s="112"/>
      <c r="W958" s="112"/>
      <c r="X958" s="112"/>
      <c r="Y958" s="112"/>
      <c r="Z958" s="112"/>
    </row>
    <row r="959" spans="1:26">
      <c r="A959" s="112"/>
      <c r="B959" s="112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2"/>
      <c r="Q959" s="112"/>
      <c r="R959" s="112"/>
      <c r="S959" s="112"/>
      <c r="T959" s="112"/>
      <c r="U959" s="112"/>
      <c r="V959" s="112"/>
      <c r="W959" s="112"/>
      <c r="X959" s="112"/>
      <c r="Y959" s="112"/>
      <c r="Z959" s="112"/>
    </row>
    <row r="960" spans="1:26">
      <c r="A960" s="112"/>
      <c r="B960" s="112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2"/>
      <c r="Q960" s="112"/>
      <c r="R960" s="112"/>
      <c r="S960" s="112"/>
      <c r="T960" s="112"/>
      <c r="U960" s="112"/>
      <c r="V960" s="112"/>
      <c r="W960" s="112"/>
      <c r="X960" s="112"/>
      <c r="Y960" s="112"/>
      <c r="Z960" s="112"/>
    </row>
    <row r="961" spans="1:26">
      <c r="A961" s="112"/>
      <c r="B961" s="112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2"/>
      <c r="Q961" s="112"/>
      <c r="R961" s="112"/>
      <c r="S961" s="112"/>
      <c r="T961" s="112"/>
      <c r="U961" s="112"/>
      <c r="V961" s="112"/>
      <c r="W961" s="112"/>
      <c r="X961" s="112"/>
      <c r="Y961" s="112"/>
      <c r="Z961" s="112"/>
    </row>
    <row r="962" spans="1:26">
      <c r="A962" s="112"/>
      <c r="B962" s="112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2"/>
      <c r="Q962" s="112"/>
      <c r="R962" s="112"/>
      <c r="S962" s="112"/>
      <c r="T962" s="112"/>
      <c r="U962" s="112"/>
      <c r="V962" s="112"/>
      <c r="W962" s="112"/>
      <c r="X962" s="112"/>
      <c r="Y962" s="112"/>
      <c r="Z962" s="112"/>
    </row>
    <row r="963" spans="1:26">
      <c r="A963" s="112"/>
      <c r="B963" s="112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2"/>
      <c r="Q963" s="112"/>
      <c r="R963" s="112"/>
      <c r="S963" s="112"/>
      <c r="T963" s="112"/>
      <c r="U963" s="112"/>
      <c r="V963" s="112"/>
      <c r="W963" s="112"/>
      <c r="X963" s="112"/>
      <c r="Y963" s="112"/>
      <c r="Z963" s="112"/>
    </row>
    <row r="964" spans="1:26">
      <c r="A964" s="112"/>
      <c r="B964" s="112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2"/>
      <c r="Q964" s="112"/>
      <c r="R964" s="112"/>
      <c r="S964" s="112"/>
      <c r="T964" s="112"/>
      <c r="U964" s="112"/>
      <c r="V964" s="112"/>
      <c r="W964" s="112"/>
      <c r="X964" s="112"/>
      <c r="Y964" s="112"/>
      <c r="Z964" s="112"/>
    </row>
    <row r="965" spans="1:26">
      <c r="A965" s="112"/>
      <c r="B965" s="112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2"/>
      <c r="Q965" s="112"/>
      <c r="R965" s="112"/>
      <c r="S965" s="112"/>
      <c r="T965" s="112"/>
      <c r="U965" s="112"/>
      <c r="V965" s="112"/>
      <c r="W965" s="112"/>
      <c r="X965" s="112"/>
      <c r="Y965" s="112"/>
      <c r="Z965" s="112"/>
    </row>
    <row r="966" spans="1:26">
      <c r="A966" s="112"/>
      <c r="B966" s="112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2"/>
      <c r="Q966" s="112"/>
      <c r="R966" s="112"/>
      <c r="S966" s="112"/>
      <c r="T966" s="112"/>
      <c r="U966" s="112"/>
      <c r="V966" s="112"/>
      <c r="W966" s="112"/>
      <c r="X966" s="112"/>
      <c r="Y966" s="112"/>
      <c r="Z966" s="112"/>
    </row>
    <row r="967" spans="1:26">
      <c r="A967" s="112"/>
      <c r="B967" s="112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2"/>
      <c r="Q967" s="112"/>
      <c r="R967" s="112"/>
      <c r="S967" s="112"/>
      <c r="T967" s="112"/>
      <c r="U967" s="112"/>
      <c r="V967" s="112"/>
      <c r="W967" s="112"/>
      <c r="X967" s="112"/>
      <c r="Y967" s="112"/>
      <c r="Z967" s="112"/>
    </row>
    <row r="968" spans="1:26">
      <c r="A968" s="112"/>
      <c r="B968" s="112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2"/>
      <c r="Q968" s="112"/>
      <c r="R968" s="112"/>
      <c r="S968" s="112"/>
      <c r="T968" s="112"/>
      <c r="U968" s="112"/>
      <c r="V968" s="112"/>
      <c r="W968" s="112"/>
      <c r="X968" s="112"/>
      <c r="Y968" s="112"/>
      <c r="Z968" s="112"/>
    </row>
    <row r="969" spans="1:26">
      <c r="A969" s="112"/>
      <c r="B969" s="112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2"/>
      <c r="Q969" s="112"/>
      <c r="R969" s="112"/>
      <c r="S969" s="112"/>
      <c r="T969" s="112"/>
      <c r="U969" s="112"/>
      <c r="V969" s="112"/>
      <c r="W969" s="112"/>
      <c r="X969" s="112"/>
      <c r="Y969" s="112"/>
      <c r="Z969" s="112"/>
    </row>
    <row r="970" spans="1:26">
      <c r="A970" s="112"/>
      <c r="B970" s="112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2"/>
      <c r="Q970" s="112"/>
      <c r="R970" s="112"/>
      <c r="S970" s="112"/>
      <c r="T970" s="112"/>
      <c r="U970" s="112"/>
      <c r="V970" s="112"/>
      <c r="W970" s="112"/>
      <c r="X970" s="112"/>
      <c r="Y970" s="112"/>
      <c r="Z970" s="112"/>
    </row>
    <row r="971" spans="1:26">
      <c r="A971" s="112"/>
      <c r="B971" s="112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2"/>
      <c r="Q971" s="112"/>
      <c r="R971" s="112"/>
      <c r="S971" s="112"/>
      <c r="T971" s="112"/>
      <c r="U971" s="112"/>
      <c r="V971" s="112"/>
      <c r="W971" s="112"/>
      <c r="X971" s="112"/>
      <c r="Y971" s="112"/>
      <c r="Z971" s="112"/>
    </row>
    <row r="972" spans="1:26">
      <c r="A972" s="112"/>
      <c r="B972" s="112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2"/>
      <c r="Q972" s="112"/>
      <c r="R972" s="112"/>
      <c r="S972" s="112"/>
      <c r="T972" s="112"/>
      <c r="U972" s="112"/>
      <c r="V972" s="112"/>
      <c r="W972" s="112"/>
      <c r="X972" s="112"/>
      <c r="Y972" s="112"/>
      <c r="Z972" s="112"/>
    </row>
    <row r="973" spans="1:26">
      <c r="A973" s="112"/>
      <c r="B973" s="112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2"/>
      <c r="Q973" s="112"/>
      <c r="R973" s="112"/>
      <c r="S973" s="112"/>
      <c r="T973" s="112"/>
      <c r="U973" s="112"/>
      <c r="V973" s="112"/>
      <c r="W973" s="112"/>
      <c r="X973" s="112"/>
      <c r="Y973" s="112"/>
      <c r="Z973" s="112"/>
    </row>
    <row r="974" spans="1:26">
      <c r="A974" s="112"/>
      <c r="B974" s="112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2"/>
      <c r="Q974" s="112"/>
      <c r="R974" s="112"/>
      <c r="S974" s="112"/>
      <c r="T974" s="112"/>
      <c r="U974" s="112"/>
      <c r="V974" s="112"/>
      <c r="W974" s="112"/>
      <c r="X974" s="112"/>
      <c r="Y974" s="112"/>
      <c r="Z974" s="112"/>
    </row>
    <row r="975" spans="1:26">
      <c r="A975" s="112"/>
      <c r="B975" s="112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2"/>
      <c r="Q975" s="112"/>
      <c r="R975" s="112"/>
      <c r="S975" s="112"/>
      <c r="T975" s="112"/>
      <c r="U975" s="112"/>
      <c r="V975" s="112"/>
      <c r="W975" s="112"/>
      <c r="X975" s="112"/>
      <c r="Y975" s="112"/>
      <c r="Z975" s="112"/>
    </row>
    <row r="976" spans="1:26">
      <c r="A976" s="112"/>
      <c r="B976" s="112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2"/>
      <c r="Q976" s="112"/>
      <c r="R976" s="112"/>
      <c r="S976" s="112"/>
      <c r="T976" s="112"/>
      <c r="U976" s="112"/>
      <c r="V976" s="112"/>
      <c r="W976" s="112"/>
      <c r="X976" s="112"/>
      <c r="Y976" s="112"/>
      <c r="Z976" s="112"/>
    </row>
    <row r="977" spans="1:26">
      <c r="A977" s="112"/>
      <c r="B977" s="112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2"/>
      <c r="Q977" s="112"/>
      <c r="R977" s="112"/>
      <c r="S977" s="112"/>
      <c r="T977" s="112"/>
      <c r="U977" s="112"/>
      <c r="V977" s="112"/>
      <c r="W977" s="112"/>
      <c r="X977" s="112"/>
      <c r="Y977" s="112"/>
      <c r="Z977" s="112"/>
    </row>
    <row r="978" spans="1:26">
      <c r="A978" s="112"/>
      <c r="B978" s="112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2"/>
      <c r="Q978" s="112"/>
      <c r="R978" s="112"/>
      <c r="S978" s="112"/>
      <c r="T978" s="112"/>
      <c r="U978" s="112"/>
      <c r="V978" s="112"/>
      <c r="W978" s="112"/>
      <c r="X978" s="112"/>
      <c r="Y978" s="112"/>
      <c r="Z978" s="112"/>
    </row>
    <row r="979" spans="1:26">
      <c r="A979" s="112"/>
      <c r="B979" s="112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2"/>
      <c r="Q979" s="112"/>
      <c r="R979" s="112"/>
      <c r="S979" s="112"/>
      <c r="T979" s="112"/>
      <c r="U979" s="112"/>
      <c r="V979" s="112"/>
      <c r="W979" s="112"/>
      <c r="X979" s="112"/>
      <c r="Y979" s="112"/>
      <c r="Z979" s="112"/>
    </row>
    <row r="980" spans="1:26">
      <c r="A980" s="112"/>
      <c r="B980" s="112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2"/>
      <c r="Q980" s="112"/>
      <c r="R980" s="112"/>
      <c r="S980" s="112"/>
      <c r="T980" s="112"/>
      <c r="U980" s="112"/>
      <c r="V980" s="112"/>
      <c r="W980" s="112"/>
      <c r="X980" s="112"/>
      <c r="Y980" s="112"/>
      <c r="Z980" s="112"/>
    </row>
    <row r="981" spans="1:26">
      <c r="A981" s="112"/>
      <c r="B981" s="112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2"/>
      <c r="Q981" s="112"/>
      <c r="R981" s="112"/>
      <c r="S981" s="112"/>
      <c r="T981" s="112"/>
      <c r="U981" s="112"/>
      <c r="V981" s="112"/>
      <c r="W981" s="112"/>
      <c r="X981" s="112"/>
      <c r="Y981" s="112"/>
      <c r="Z981" s="112"/>
    </row>
    <row r="982" spans="1:26">
      <c r="A982" s="112"/>
      <c r="B982" s="112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2"/>
      <c r="Q982" s="112"/>
      <c r="R982" s="112"/>
      <c r="S982" s="112"/>
      <c r="T982" s="112"/>
      <c r="U982" s="112"/>
      <c r="V982" s="112"/>
      <c r="W982" s="112"/>
      <c r="X982" s="112"/>
      <c r="Y982" s="112"/>
      <c r="Z982" s="112"/>
    </row>
    <row r="983" spans="1:26">
      <c r="A983" s="112"/>
      <c r="B983" s="112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2"/>
      <c r="Q983" s="112"/>
      <c r="R983" s="112"/>
      <c r="S983" s="112"/>
      <c r="T983" s="112"/>
      <c r="U983" s="112"/>
      <c r="V983" s="112"/>
      <c r="W983" s="112"/>
      <c r="X983" s="112"/>
      <c r="Y983" s="112"/>
      <c r="Z983" s="112"/>
    </row>
    <row r="984" spans="1:26">
      <c r="A984" s="112"/>
      <c r="B984" s="112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2"/>
      <c r="Q984" s="112"/>
      <c r="R984" s="112"/>
      <c r="S984" s="112"/>
      <c r="T984" s="112"/>
      <c r="U984" s="112"/>
      <c r="V984" s="112"/>
      <c r="W984" s="112"/>
      <c r="X984" s="112"/>
      <c r="Y984" s="112"/>
      <c r="Z984" s="112"/>
    </row>
    <row r="985" spans="1:26">
      <c r="A985" s="112"/>
      <c r="B985" s="112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2"/>
      <c r="Q985" s="112"/>
      <c r="R985" s="112"/>
      <c r="S985" s="112"/>
      <c r="T985" s="112"/>
      <c r="U985" s="112"/>
      <c r="V985" s="112"/>
      <c r="W985" s="112"/>
      <c r="X985" s="112"/>
      <c r="Y985" s="112"/>
      <c r="Z985" s="112"/>
    </row>
    <row r="986" spans="1:26">
      <c r="A986" s="112"/>
      <c r="B986" s="112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2"/>
      <c r="Q986" s="112"/>
      <c r="R986" s="112"/>
      <c r="S986" s="112"/>
      <c r="T986" s="112"/>
      <c r="U986" s="112"/>
      <c r="V986" s="112"/>
      <c r="W986" s="112"/>
      <c r="X986" s="112"/>
      <c r="Y986" s="112"/>
      <c r="Z986" s="112"/>
    </row>
    <row r="987" spans="1:26">
      <c r="A987" s="112"/>
      <c r="B987" s="112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2"/>
      <c r="Q987" s="112"/>
      <c r="R987" s="112"/>
      <c r="S987" s="112"/>
      <c r="T987" s="112"/>
      <c r="U987" s="112"/>
      <c r="V987" s="112"/>
      <c r="W987" s="112"/>
      <c r="X987" s="112"/>
      <c r="Y987" s="112"/>
      <c r="Z987" s="112"/>
    </row>
    <row r="988" spans="1:26">
      <c r="A988" s="112"/>
      <c r="B988" s="112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2"/>
      <c r="Q988" s="112"/>
      <c r="R988" s="112"/>
      <c r="S988" s="112"/>
      <c r="T988" s="112"/>
      <c r="U988" s="112"/>
      <c r="V988" s="112"/>
      <c r="W988" s="112"/>
      <c r="X988" s="112"/>
      <c r="Y988" s="112"/>
      <c r="Z988" s="112"/>
    </row>
    <row r="989" spans="1:26">
      <c r="A989" s="112"/>
      <c r="B989" s="112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2"/>
      <c r="Q989" s="112"/>
      <c r="R989" s="112"/>
      <c r="S989" s="112"/>
      <c r="T989" s="112"/>
      <c r="U989" s="112"/>
      <c r="V989" s="112"/>
      <c r="W989" s="112"/>
      <c r="X989" s="112"/>
      <c r="Y989" s="112"/>
      <c r="Z989" s="112"/>
    </row>
    <row r="990" spans="1:26">
      <c r="A990" s="112"/>
      <c r="B990" s="112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2"/>
      <c r="Q990" s="112"/>
      <c r="R990" s="112"/>
      <c r="S990" s="112"/>
      <c r="T990" s="112"/>
      <c r="U990" s="112"/>
      <c r="V990" s="112"/>
      <c r="W990" s="112"/>
      <c r="X990" s="112"/>
      <c r="Y990" s="112"/>
      <c r="Z990" s="112"/>
    </row>
    <row r="991" spans="1:26">
      <c r="A991" s="112"/>
      <c r="B991" s="112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2"/>
      <c r="Q991" s="112"/>
      <c r="R991" s="112"/>
      <c r="S991" s="112"/>
      <c r="T991" s="112"/>
      <c r="U991" s="112"/>
      <c r="V991" s="112"/>
      <c r="W991" s="112"/>
      <c r="X991" s="112"/>
      <c r="Y991" s="112"/>
      <c r="Z991" s="112"/>
    </row>
    <row r="992" spans="1:26">
      <c r="A992" s="112"/>
      <c r="B992" s="112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2"/>
      <c r="Q992" s="112"/>
      <c r="R992" s="112"/>
      <c r="S992" s="112"/>
      <c r="T992" s="112"/>
      <c r="U992" s="112"/>
      <c r="V992" s="112"/>
      <c r="W992" s="112"/>
      <c r="X992" s="112"/>
      <c r="Y992" s="112"/>
      <c r="Z992" s="112"/>
    </row>
    <row r="993" spans="1:26">
      <c r="A993" s="112"/>
      <c r="B993" s="112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2"/>
      <c r="Q993" s="112"/>
      <c r="R993" s="112"/>
      <c r="S993" s="112"/>
      <c r="T993" s="112"/>
      <c r="U993" s="112"/>
      <c r="V993" s="112"/>
      <c r="W993" s="112"/>
      <c r="X993" s="112"/>
      <c r="Y993" s="112"/>
      <c r="Z993" s="112"/>
    </row>
    <row r="994" spans="1:26">
      <c r="A994" s="112"/>
      <c r="B994" s="112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2"/>
      <c r="Q994" s="112"/>
      <c r="R994" s="112"/>
      <c r="S994" s="112"/>
      <c r="T994" s="112"/>
      <c r="U994" s="112"/>
      <c r="V994" s="112"/>
      <c r="W994" s="112"/>
      <c r="X994" s="112"/>
      <c r="Y994" s="112"/>
      <c r="Z994" s="112"/>
    </row>
    <row r="995" spans="1:26">
      <c r="A995" s="112"/>
      <c r="B995" s="112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2"/>
      <c r="Q995" s="112"/>
      <c r="R995" s="112"/>
      <c r="S995" s="112"/>
      <c r="T995" s="112"/>
      <c r="U995" s="112"/>
      <c r="V995" s="112"/>
      <c r="W995" s="112"/>
      <c r="X995" s="112"/>
      <c r="Y995" s="112"/>
      <c r="Z995" s="112"/>
    </row>
    <row r="996" spans="1:26">
      <c r="A996" s="112"/>
      <c r="B996" s="112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2"/>
      <c r="Q996" s="112"/>
      <c r="R996" s="112"/>
      <c r="S996" s="112"/>
      <c r="T996" s="112"/>
      <c r="U996" s="112"/>
      <c r="V996" s="112"/>
      <c r="W996" s="112"/>
      <c r="X996" s="112"/>
      <c r="Y996" s="112"/>
      <c r="Z996" s="112"/>
    </row>
    <row r="997" spans="1:26">
      <c r="A997" s="112"/>
      <c r="B997" s="112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2"/>
      <c r="Q997" s="112"/>
      <c r="R997" s="112"/>
      <c r="S997" s="112"/>
      <c r="T997" s="112"/>
      <c r="U997" s="112"/>
      <c r="V997" s="112"/>
      <c r="W997" s="112"/>
      <c r="X997" s="112"/>
      <c r="Y997" s="112"/>
      <c r="Z997" s="112"/>
    </row>
    <row r="998" spans="1:26">
      <c r="A998" s="112"/>
      <c r="B998" s="112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2"/>
      <c r="Q998" s="112"/>
      <c r="R998" s="112"/>
      <c r="S998" s="112"/>
      <c r="T998" s="112"/>
      <c r="U998" s="112"/>
      <c r="V998" s="112"/>
      <c r="W998" s="112"/>
      <c r="X998" s="112"/>
      <c r="Y998" s="112"/>
      <c r="Z998" s="112"/>
    </row>
    <row r="999" spans="1:26">
      <c r="A999" s="112"/>
      <c r="B999" s="112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2"/>
      <c r="Q999" s="112"/>
      <c r="R999" s="112"/>
      <c r="S999" s="112"/>
      <c r="T999" s="112"/>
      <c r="U999" s="112"/>
      <c r="V999" s="112"/>
      <c r="W999" s="112"/>
      <c r="X999" s="112"/>
      <c r="Y999" s="112"/>
      <c r="Z999" s="112"/>
    </row>
    <row r="1000" spans="1:26">
      <c r="A1000" s="112"/>
      <c r="B1000" s="112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2"/>
      <c r="Q1000" s="112"/>
      <c r="R1000" s="112"/>
      <c r="S1000" s="112"/>
      <c r="T1000" s="112"/>
      <c r="U1000" s="112"/>
      <c r="V1000" s="112"/>
      <c r="W1000" s="112"/>
      <c r="X1000" s="112"/>
      <c r="Y1000" s="112"/>
      <c r="Z100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1000"/>
  <sheetViews>
    <sheetView workbookViewId="0"/>
  </sheetViews>
  <sheetFormatPr baseColWidth="10" defaultColWidth="14.44140625" defaultRowHeight="15" customHeight="1"/>
  <cols>
    <col min="1" max="1" width="10.6640625" customWidth="1"/>
    <col min="2" max="2" width="70.44140625" customWidth="1"/>
    <col min="3" max="3" width="34.5546875" customWidth="1"/>
    <col min="4" max="4" width="33.33203125" customWidth="1"/>
    <col min="5" max="5" width="44.33203125" customWidth="1"/>
    <col min="6" max="7" width="48.6640625" customWidth="1"/>
    <col min="8" max="8" width="57.109375" customWidth="1"/>
    <col min="9" max="9" width="38.5546875" customWidth="1"/>
    <col min="10" max="10" width="10.6640625" customWidth="1"/>
    <col min="11" max="11" width="27.109375" customWidth="1"/>
    <col min="12" max="12" width="23.88671875" customWidth="1"/>
    <col min="13" max="13" width="25.5546875" customWidth="1"/>
    <col min="14" max="14" width="36.109375" customWidth="1"/>
    <col min="15" max="15" width="20.44140625" customWidth="1"/>
    <col min="16" max="16" width="25.6640625" customWidth="1"/>
    <col min="17" max="17" width="10.6640625" customWidth="1"/>
    <col min="18" max="18" width="26.44140625" customWidth="1"/>
    <col min="19" max="26" width="10.6640625" customWidth="1"/>
  </cols>
  <sheetData>
    <row r="2" spans="2:18" ht="14.4">
      <c r="B2" s="117" t="s">
        <v>266</v>
      </c>
      <c r="C2" s="117" t="s">
        <v>267</v>
      </c>
      <c r="D2" s="117" t="s">
        <v>268</v>
      </c>
      <c r="E2" s="117" t="s">
        <v>269</v>
      </c>
      <c r="F2" s="117" t="s">
        <v>270</v>
      </c>
      <c r="G2" s="117" t="s">
        <v>271</v>
      </c>
      <c r="H2" s="118" t="s">
        <v>272</v>
      </c>
      <c r="I2" s="119" t="s">
        <v>273</v>
      </c>
      <c r="J2" s="119" t="s">
        <v>274</v>
      </c>
      <c r="K2" s="119" t="s">
        <v>275</v>
      </c>
      <c r="L2" s="119" t="s">
        <v>276</v>
      </c>
      <c r="M2" s="119" t="s">
        <v>277</v>
      </c>
      <c r="N2" s="120" t="s">
        <v>278</v>
      </c>
      <c r="O2" s="119" t="s">
        <v>279</v>
      </c>
      <c r="P2" s="119" t="s">
        <v>280</v>
      </c>
      <c r="Q2" s="118" t="s">
        <v>281</v>
      </c>
      <c r="R2" s="121" t="s">
        <v>282</v>
      </c>
    </row>
    <row r="3" spans="2:18" ht="30" customHeight="1">
      <c r="B3" s="122" t="s">
        <v>283</v>
      </c>
      <c r="C3" s="123" t="s">
        <v>6</v>
      </c>
      <c r="D3" s="185" t="s">
        <v>284</v>
      </c>
      <c r="E3" s="124" t="s">
        <v>285</v>
      </c>
      <c r="F3" s="125" t="s">
        <v>286</v>
      </c>
      <c r="G3" s="124" t="s">
        <v>287</v>
      </c>
      <c r="H3" s="124" t="s">
        <v>288</v>
      </c>
      <c r="I3" s="126" t="s">
        <v>289</v>
      </c>
      <c r="J3" s="127" t="s">
        <v>290</v>
      </c>
      <c r="K3" s="127" t="s">
        <v>291</v>
      </c>
      <c r="L3" s="127" t="s">
        <v>292</v>
      </c>
      <c r="M3" s="127" t="s">
        <v>293</v>
      </c>
      <c r="N3" s="1" t="s">
        <v>294</v>
      </c>
      <c r="O3" s="126" t="s">
        <v>295</v>
      </c>
      <c r="P3" s="126" t="s">
        <v>296</v>
      </c>
      <c r="Q3" s="124" t="s">
        <v>297</v>
      </c>
      <c r="R3" s="128" t="s">
        <v>298</v>
      </c>
    </row>
    <row r="4" spans="2:18" ht="100.8">
      <c r="B4" s="122" t="s">
        <v>299</v>
      </c>
      <c r="C4" s="129" t="s">
        <v>300</v>
      </c>
      <c r="D4" s="186"/>
      <c r="E4" s="124" t="s">
        <v>13</v>
      </c>
      <c r="F4" s="125" t="s">
        <v>301</v>
      </c>
      <c r="G4" s="124" t="s">
        <v>302</v>
      </c>
      <c r="H4" s="124" t="s">
        <v>20</v>
      </c>
      <c r="I4" s="126" t="s">
        <v>303</v>
      </c>
      <c r="J4" s="127" t="s">
        <v>304</v>
      </c>
      <c r="K4" s="127" t="s">
        <v>305</v>
      </c>
      <c r="L4" s="127" t="s">
        <v>306</v>
      </c>
      <c r="M4" s="127" t="s">
        <v>307</v>
      </c>
      <c r="N4" s="130" t="s">
        <v>308</v>
      </c>
      <c r="O4" s="126" t="s">
        <v>309</v>
      </c>
      <c r="P4" s="126" t="s">
        <v>310</v>
      </c>
      <c r="Q4" s="124" t="s">
        <v>311</v>
      </c>
      <c r="R4" s="128" t="s">
        <v>178</v>
      </c>
    </row>
    <row r="5" spans="2:18" ht="57.6">
      <c r="B5" s="122" t="s">
        <v>9</v>
      </c>
      <c r="C5" s="131" t="s">
        <v>312</v>
      </c>
      <c r="D5" s="187"/>
      <c r="E5" s="124" t="s">
        <v>313</v>
      </c>
      <c r="F5" s="125" t="s">
        <v>314</v>
      </c>
      <c r="G5" s="124" t="s">
        <v>315</v>
      </c>
      <c r="H5" s="124" t="s">
        <v>316</v>
      </c>
      <c r="I5" s="126" t="s">
        <v>317</v>
      </c>
      <c r="J5" s="127" t="s">
        <v>318</v>
      </c>
      <c r="K5" s="127" t="s">
        <v>319</v>
      </c>
      <c r="L5" s="127" t="s">
        <v>320</v>
      </c>
      <c r="M5" s="127" t="s">
        <v>321</v>
      </c>
      <c r="N5" s="132" t="s">
        <v>322</v>
      </c>
      <c r="O5" s="126" t="s">
        <v>323</v>
      </c>
      <c r="P5" s="126" t="s">
        <v>324</v>
      </c>
      <c r="Q5" s="124" t="s">
        <v>325</v>
      </c>
      <c r="R5" s="128" t="s">
        <v>326</v>
      </c>
    </row>
    <row r="6" spans="2:18" ht="25.5" customHeight="1">
      <c r="B6" s="122" t="s">
        <v>327</v>
      </c>
      <c r="C6" s="133" t="s">
        <v>328</v>
      </c>
      <c r="D6" s="134" t="s">
        <v>329</v>
      </c>
      <c r="E6" s="135" t="s">
        <v>330</v>
      </c>
      <c r="F6" s="125" t="s">
        <v>331</v>
      </c>
      <c r="G6" s="90" t="s">
        <v>332</v>
      </c>
      <c r="I6" s="126" t="s">
        <v>333</v>
      </c>
      <c r="J6" s="127" t="s">
        <v>334</v>
      </c>
      <c r="K6" s="127" t="s">
        <v>335</v>
      </c>
      <c r="L6" s="127" t="s">
        <v>336</v>
      </c>
      <c r="M6" s="126" t="s">
        <v>337</v>
      </c>
      <c r="N6" s="136" t="s">
        <v>338</v>
      </c>
      <c r="O6" s="126" t="s">
        <v>339</v>
      </c>
      <c r="P6" s="126" t="s">
        <v>340</v>
      </c>
      <c r="R6" s="128" t="s">
        <v>341</v>
      </c>
    </row>
    <row r="7" spans="2:18" ht="72">
      <c r="B7" s="122" t="s">
        <v>342</v>
      </c>
      <c r="C7" s="133" t="s">
        <v>343</v>
      </c>
      <c r="D7" s="137" t="s">
        <v>344</v>
      </c>
      <c r="E7" s="124"/>
      <c r="F7" s="125" t="s">
        <v>345</v>
      </c>
      <c r="G7" s="90" t="s">
        <v>346</v>
      </c>
      <c r="I7" s="126" t="s">
        <v>347</v>
      </c>
      <c r="J7" s="1" t="s">
        <v>348</v>
      </c>
      <c r="K7" s="127" t="s">
        <v>349</v>
      </c>
      <c r="L7" s="127" t="s">
        <v>350</v>
      </c>
      <c r="M7" s="127" t="s">
        <v>351</v>
      </c>
      <c r="N7" s="136" t="s">
        <v>352</v>
      </c>
      <c r="O7" s="126" t="s">
        <v>353</v>
      </c>
      <c r="R7" s="128" t="s">
        <v>354</v>
      </c>
    </row>
    <row r="8" spans="2:18" ht="15" customHeight="1">
      <c r="B8" s="122" t="s">
        <v>355</v>
      </c>
      <c r="C8" s="133" t="s">
        <v>356</v>
      </c>
      <c r="D8" s="134" t="s">
        <v>357</v>
      </c>
      <c r="E8" s="124"/>
      <c r="F8" s="125" t="s">
        <v>358</v>
      </c>
      <c r="G8" s="90" t="s">
        <v>359</v>
      </c>
      <c r="I8" s="126" t="s">
        <v>360</v>
      </c>
      <c r="J8" s="1" t="s">
        <v>361</v>
      </c>
      <c r="K8" s="127" t="s">
        <v>362</v>
      </c>
      <c r="L8" s="138" t="s">
        <v>363</v>
      </c>
      <c r="M8" s="127" t="s">
        <v>364</v>
      </c>
      <c r="N8" s="139" t="s">
        <v>365</v>
      </c>
      <c r="O8" s="126" t="s">
        <v>366</v>
      </c>
      <c r="R8" s="128" t="s">
        <v>367</v>
      </c>
    </row>
    <row r="9" spans="2:18" ht="72">
      <c r="B9" s="122" t="s">
        <v>368</v>
      </c>
      <c r="C9" s="140" t="s">
        <v>369</v>
      </c>
      <c r="D9" s="185" t="s">
        <v>370</v>
      </c>
      <c r="E9" s="124"/>
      <c r="F9" s="125" t="s">
        <v>371</v>
      </c>
      <c r="G9" s="122" t="s">
        <v>372</v>
      </c>
      <c r="I9" s="126" t="s">
        <v>373</v>
      </c>
      <c r="K9" s="127" t="s">
        <v>374</v>
      </c>
      <c r="L9" s="141"/>
      <c r="M9" s="127" t="s">
        <v>375</v>
      </c>
      <c r="N9" s="136" t="s">
        <v>376</v>
      </c>
      <c r="O9" s="126" t="s">
        <v>377</v>
      </c>
      <c r="R9" s="128" t="s">
        <v>378</v>
      </c>
    </row>
    <row r="10" spans="2:18" ht="57.6">
      <c r="B10" s="122" t="s">
        <v>379</v>
      </c>
      <c r="C10" s="142" t="s">
        <v>380</v>
      </c>
      <c r="D10" s="187"/>
      <c r="E10" s="124"/>
      <c r="F10" s="125" t="s">
        <v>381</v>
      </c>
      <c r="G10" s="122" t="s">
        <v>382</v>
      </c>
      <c r="I10" s="126" t="s">
        <v>383</v>
      </c>
      <c r="J10" s="143"/>
      <c r="K10" s="127" t="s">
        <v>384</v>
      </c>
      <c r="L10" s="141"/>
      <c r="M10" s="127" t="s">
        <v>385</v>
      </c>
      <c r="N10" s="139" t="s">
        <v>386</v>
      </c>
      <c r="O10" s="126" t="s">
        <v>387</v>
      </c>
      <c r="R10" s="128" t="s">
        <v>97</v>
      </c>
    </row>
    <row r="11" spans="2:18" ht="15" customHeight="1">
      <c r="B11" s="122" t="s">
        <v>388</v>
      </c>
      <c r="C11" s="144" t="s">
        <v>389</v>
      </c>
      <c r="D11" s="185" t="s">
        <v>390</v>
      </c>
      <c r="E11" s="124"/>
      <c r="F11" s="125" t="s">
        <v>391</v>
      </c>
      <c r="G11" s="122" t="s">
        <v>392</v>
      </c>
      <c r="I11" s="126" t="s">
        <v>393</v>
      </c>
      <c r="J11" s="143"/>
      <c r="K11" s="127" t="s">
        <v>394</v>
      </c>
      <c r="L11" s="141"/>
      <c r="M11" s="127" t="s">
        <v>395</v>
      </c>
      <c r="N11" s="139" t="s">
        <v>396</v>
      </c>
      <c r="R11" s="128" t="s">
        <v>397</v>
      </c>
    </row>
    <row r="12" spans="2:18" ht="158.4">
      <c r="B12" s="122" t="s">
        <v>398</v>
      </c>
      <c r="C12" s="145" t="s">
        <v>399</v>
      </c>
      <c r="D12" s="186"/>
      <c r="E12" s="124"/>
      <c r="F12" s="125" t="s">
        <v>400</v>
      </c>
      <c r="G12" s="122" t="s">
        <v>401</v>
      </c>
      <c r="I12" s="126" t="s">
        <v>22</v>
      </c>
      <c r="J12" s="146"/>
      <c r="K12" s="127" t="s">
        <v>402</v>
      </c>
      <c r="L12" s="141"/>
      <c r="M12" s="126" t="s">
        <v>403</v>
      </c>
      <c r="N12" s="132" t="s">
        <v>404</v>
      </c>
      <c r="R12" s="128" t="s">
        <v>405</v>
      </c>
    </row>
    <row r="13" spans="2:18" ht="24.75" customHeight="1">
      <c r="B13" s="122" t="s">
        <v>406</v>
      </c>
      <c r="C13" s="145" t="s">
        <v>407</v>
      </c>
      <c r="D13" s="188"/>
      <c r="E13" s="124"/>
      <c r="F13" s="125" t="s">
        <v>408</v>
      </c>
      <c r="G13" s="122" t="s">
        <v>409</v>
      </c>
      <c r="I13" s="126" t="s">
        <v>410</v>
      </c>
      <c r="K13" s="127" t="s">
        <v>411</v>
      </c>
      <c r="L13" s="141"/>
      <c r="M13" s="127" t="s">
        <v>412</v>
      </c>
      <c r="N13" s="139" t="s">
        <v>413</v>
      </c>
      <c r="R13" s="128" t="s">
        <v>414</v>
      </c>
    </row>
    <row r="14" spans="2:18" ht="115.2">
      <c r="B14" s="122" t="s">
        <v>415</v>
      </c>
      <c r="C14" s="144" t="s">
        <v>416</v>
      </c>
      <c r="D14" s="189" t="s">
        <v>11</v>
      </c>
      <c r="E14" s="124"/>
      <c r="F14" s="125" t="s">
        <v>417</v>
      </c>
      <c r="G14" s="122" t="s">
        <v>418</v>
      </c>
      <c r="I14" s="126" t="s">
        <v>419</v>
      </c>
      <c r="J14" s="143"/>
      <c r="K14" s="127" t="s">
        <v>420</v>
      </c>
      <c r="L14" s="141"/>
      <c r="M14" s="127" t="s">
        <v>421</v>
      </c>
      <c r="N14" s="139" t="s">
        <v>422</v>
      </c>
      <c r="R14" s="128" t="s">
        <v>423</v>
      </c>
    </row>
    <row r="15" spans="2:18" ht="129.6">
      <c r="B15" s="122" t="s">
        <v>424</v>
      </c>
      <c r="C15" s="144" t="s">
        <v>425</v>
      </c>
      <c r="D15" s="188"/>
      <c r="E15" s="124"/>
      <c r="F15" s="125" t="s">
        <v>426</v>
      </c>
      <c r="G15" s="122" t="s">
        <v>427</v>
      </c>
      <c r="I15" s="126" t="s">
        <v>428</v>
      </c>
      <c r="J15" s="143"/>
      <c r="K15" s="127" t="s">
        <v>429</v>
      </c>
      <c r="L15" s="141"/>
      <c r="M15" s="127" t="s">
        <v>430</v>
      </c>
      <c r="N15" s="139" t="s">
        <v>431</v>
      </c>
      <c r="R15" s="128" t="s">
        <v>432</v>
      </c>
    </row>
    <row r="16" spans="2:18" ht="86.4">
      <c r="B16" s="122" t="s">
        <v>433</v>
      </c>
      <c r="C16" s="148" t="s">
        <v>434</v>
      </c>
      <c r="D16" s="147" t="s">
        <v>435</v>
      </c>
      <c r="E16" s="124"/>
      <c r="F16" s="125" t="s">
        <v>15</v>
      </c>
      <c r="G16" s="122" t="s">
        <v>436</v>
      </c>
      <c r="I16" s="126" t="s">
        <v>437</v>
      </c>
      <c r="J16" s="146"/>
      <c r="K16" s="127" t="s">
        <v>438</v>
      </c>
      <c r="L16" s="141"/>
      <c r="M16" s="127" t="s">
        <v>439</v>
      </c>
      <c r="N16" s="139" t="s">
        <v>440</v>
      </c>
      <c r="R16" s="128" t="s">
        <v>441</v>
      </c>
    </row>
    <row r="17" spans="2:18" ht="129.6">
      <c r="B17" s="122" t="s">
        <v>442</v>
      </c>
      <c r="C17" s="133" t="s">
        <v>443</v>
      </c>
      <c r="D17" s="137" t="s">
        <v>444</v>
      </c>
      <c r="F17" s="125" t="s">
        <v>445</v>
      </c>
      <c r="G17" s="122" t="s">
        <v>446</v>
      </c>
      <c r="I17" s="126" t="s">
        <v>447</v>
      </c>
      <c r="K17" s="127" t="s">
        <v>448</v>
      </c>
      <c r="L17" s="141"/>
      <c r="M17" s="127" t="s">
        <v>449</v>
      </c>
      <c r="N17" s="139" t="s">
        <v>450</v>
      </c>
      <c r="R17" s="128" t="s">
        <v>451</v>
      </c>
    </row>
    <row r="18" spans="2:18" ht="100.8">
      <c r="B18" s="122" t="s">
        <v>452</v>
      </c>
      <c r="C18" s="140" t="s">
        <v>453</v>
      </c>
      <c r="D18" s="189" t="s">
        <v>454</v>
      </c>
      <c r="F18" s="125" t="s">
        <v>455</v>
      </c>
      <c r="G18" s="90" t="s">
        <v>456</v>
      </c>
      <c r="I18" s="126" t="s">
        <v>457</v>
      </c>
      <c r="K18" s="127" t="s">
        <v>458</v>
      </c>
      <c r="L18" s="141"/>
      <c r="M18" s="126" t="s">
        <v>459</v>
      </c>
      <c r="N18" s="139" t="s">
        <v>460</v>
      </c>
      <c r="R18" s="128" t="s">
        <v>461</v>
      </c>
    </row>
    <row r="19" spans="2:18" ht="15" customHeight="1">
      <c r="B19" s="122" t="s">
        <v>462</v>
      </c>
      <c r="C19" s="142" t="s">
        <v>463</v>
      </c>
      <c r="D19" s="188"/>
      <c r="F19" s="125" t="s">
        <v>464</v>
      </c>
      <c r="G19" s="122" t="s">
        <v>465</v>
      </c>
      <c r="I19" s="126" t="s">
        <v>466</v>
      </c>
      <c r="J19" s="1"/>
      <c r="K19" s="127" t="s">
        <v>467</v>
      </c>
      <c r="L19" s="141"/>
      <c r="M19" s="127" t="s">
        <v>468</v>
      </c>
      <c r="N19" s="136" t="s">
        <v>469</v>
      </c>
      <c r="R19" s="128" t="s">
        <v>470</v>
      </c>
    </row>
    <row r="20" spans="2:18" ht="129.6">
      <c r="B20" s="122" t="s">
        <v>471</v>
      </c>
      <c r="C20" s="149" t="s">
        <v>472</v>
      </c>
      <c r="D20" s="147" t="s">
        <v>473</v>
      </c>
      <c r="F20" s="125" t="s">
        <v>474</v>
      </c>
      <c r="G20" s="122" t="s">
        <v>475</v>
      </c>
      <c r="I20" s="126" t="s">
        <v>476</v>
      </c>
      <c r="J20" s="1"/>
      <c r="K20" s="127" t="s">
        <v>477</v>
      </c>
      <c r="L20" s="141"/>
      <c r="M20" s="127" t="s">
        <v>478</v>
      </c>
      <c r="N20" s="136" t="s">
        <v>479</v>
      </c>
      <c r="R20" s="128" t="s">
        <v>480</v>
      </c>
    </row>
    <row r="21" spans="2:18" ht="15.75" customHeight="1">
      <c r="B21" s="122" t="s">
        <v>481</v>
      </c>
      <c r="C21" s="149" t="s">
        <v>482</v>
      </c>
      <c r="D21" s="147" t="s">
        <v>483</v>
      </c>
      <c r="F21" s="125" t="s">
        <v>484</v>
      </c>
      <c r="G21" s="122" t="s">
        <v>485</v>
      </c>
      <c r="I21" s="126" t="s">
        <v>486</v>
      </c>
      <c r="K21" s="127" t="s">
        <v>487</v>
      </c>
      <c r="L21" s="141"/>
      <c r="M21" s="127" t="s">
        <v>488</v>
      </c>
      <c r="N21" s="136" t="s">
        <v>489</v>
      </c>
      <c r="R21" s="128" t="s">
        <v>490</v>
      </c>
    </row>
    <row r="22" spans="2:18" ht="15.75" customHeight="1">
      <c r="B22" s="122" t="s">
        <v>491</v>
      </c>
      <c r="C22" s="140" t="s">
        <v>492</v>
      </c>
      <c r="D22" s="182" t="s">
        <v>493</v>
      </c>
      <c r="F22" s="125" t="s">
        <v>494</v>
      </c>
      <c r="G22" s="122" t="s">
        <v>495</v>
      </c>
      <c r="I22" s="126" t="s">
        <v>496</v>
      </c>
      <c r="K22" s="127" t="s">
        <v>497</v>
      </c>
      <c r="L22" s="141"/>
      <c r="M22" s="126" t="s">
        <v>498</v>
      </c>
      <c r="N22" s="136" t="s">
        <v>499</v>
      </c>
      <c r="R22" s="128" t="s">
        <v>500</v>
      </c>
    </row>
    <row r="23" spans="2:18" ht="15.75" customHeight="1">
      <c r="B23" s="122" t="s">
        <v>501</v>
      </c>
      <c r="C23" s="142" t="s">
        <v>502</v>
      </c>
      <c r="D23" s="183"/>
      <c r="F23" s="125" t="s">
        <v>503</v>
      </c>
      <c r="G23" s="122" t="s">
        <v>504</v>
      </c>
      <c r="I23" s="126" t="s">
        <v>505</v>
      </c>
      <c r="K23" s="127" t="s">
        <v>506</v>
      </c>
      <c r="L23" s="141"/>
      <c r="M23" s="127" t="s">
        <v>507</v>
      </c>
      <c r="N23" s="132" t="s">
        <v>508</v>
      </c>
      <c r="R23" s="128" t="s">
        <v>509</v>
      </c>
    </row>
    <row r="24" spans="2:18" ht="15.75" customHeight="1">
      <c r="B24" s="122" t="s">
        <v>510</v>
      </c>
      <c r="C24" s="149" t="s">
        <v>511</v>
      </c>
      <c r="D24" s="150" t="s">
        <v>512</v>
      </c>
      <c r="F24" s="125" t="s">
        <v>513</v>
      </c>
      <c r="G24" s="122" t="s">
        <v>514</v>
      </c>
      <c r="I24" s="126" t="s">
        <v>515</v>
      </c>
      <c r="K24" s="127" t="s">
        <v>516</v>
      </c>
      <c r="L24" s="141"/>
      <c r="M24" s="143"/>
      <c r="N24" s="132" t="s">
        <v>517</v>
      </c>
      <c r="R24" s="128" t="s">
        <v>518</v>
      </c>
    </row>
    <row r="25" spans="2:18" ht="15.75" customHeight="1">
      <c r="B25" s="122" t="s">
        <v>519</v>
      </c>
      <c r="C25" s="140" t="s">
        <v>520</v>
      </c>
      <c r="D25" s="182" t="s">
        <v>521</v>
      </c>
      <c r="F25" s="125" t="s">
        <v>522</v>
      </c>
      <c r="G25" s="122" t="s">
        <v>523</v>
      </c>
      <c r="I25" s="126" t="s">
        <v>524</v>
      </c>
      <c r="K25" s="127" t="s">
        <v>525</v>
      </c>
      <c r="L25" s="141"/>
      <c r="M25" s="143"/>
      <c r="N25" s="132" t="s">
        <v>526</v>
      </c>
      <c r="R25" s="128" t="s">
        <v>527</v>
      </c>
    </row>
    <row r="26" spans="2:18" ht="21" customHeight="1">
      <c r="C26" s="129" t="s">
        <v>528</v>
      </c>
      <c r="D26" s="184"/>
      <c r="F26" s="125" t="s">
        <v>529</v>
      </c>
      <c r="G26" s="122" t="s">
        <v>530</v>
      </c>
      <c r="I26" s="126" t="s">
        <v>531</v>
      </c>
      <c r="K26" s="127" t="s">
        <v>532</v>
      </c>
      <c r="L26" s="141"/>
      <c r="M26" s="143"/>
      <c r="N26" s="132" t="s">
        <v>533</v>
      </c>
      <c r="R26" s="128" t="s">
        <v>534</v>
      </c>
    </row>
    <row r="27" spans="2:18" ht="15.75" customHeight="1">
      <c r="C27" s="129" t="s">
        <v>535</v>
      </c>
      <c r="D27" s="184"/>
      <c r="F27" s="125" t="s">
        <v>536</v>
      </c>
      <c r="G27" s="122" t="s">
        <v>537</v>
      </c>
      <c r="I27" s="126" t="s">
        <v>538</v>
      </c>
      <c r="K27" s="127" t="s">
        <v>539</v>
      </c>
      <c r="L27" s="141"/>
      <c r="M27" s="143"/>
      <c r="N27" s="132" t="s">
        <v>540</v>
      </c>
      <c r="R27" s="128" t="s">
        <v>541</v>
      </c>
    </row>
    <row r="28" spans="2:18" ht="15.75" customHeight="1">
      <c r="C28" s="142" t="s">
        <v>542</v>
      </c>
      <c r="D28" s="183"/>
      <c r="F28" s="151" t="s">
        <v>543</v>
      </c>
      <c r="G28" s="122" t="s">
        <v>544</v>
      </c>
      <c r="I28" s="126" t="s">
        <v>545</v>
      </c>
      <c r="K28" s="127" t="s">
        <v>546</v>
      </c>
      <c r="L28" s="141"/>
      <c r="M28" s="143"/>
      <c r="N28" s="132" t="s">
        <v>547</v>
      </c>
      <c r="R28" s="128" t="s">
        <v>548</v>
      </c>
    </row>
    <row r="29" spans="2:18" ht="15.75" customHeight="1">
      <c r="C29" s="140" t="s">
        <v>549</v>
      </c>
      <c r="D29" s="182" t="s">
        <v>550</v>
      </c>
      <c r="F29" s="125" t="s">
        <v>551</v>
      </c>
      <c r="G29" s="122" t="s">
        <v>552</v>
      </c>
      <c r="I29" s="126" t="s">
        <v>553</v>
      </c>
      <c r="K29" s="127" t="s">
        <v>554</v>
      </c>
      <c r="L29" s="141"/>
      <c r="M29" s="143"/>
      <c r="N29" s="132" t="s">
        <v>555</v>
      </c>
      <c r="R29" s="128" t="s">
        <v>556</v>
      </c>
    </row>
    <row r="30" spans="2:18" ht="15" customHeight="1">
      <c r="C30" s="129" t="s">
        <v>557</v>
      </c>
      <c r="D30" s="184"/>
      <c r="F30" s="125" t="s">
        <v>558</v>
      </c>
      <c r="G30" s="122" t="s">
        <v>559</v>
      </c>
      <c r="I30" s="126" t="s">
        <v>560</v>
      </c>
      <c r="L30" s="141"/>
      <c r="M30" s="143"/>
      <c r="N30" s="132" t="s">
        <v>561</v>
      </c>
      <c r="R30" s="128" t="s">
        <v>562</v>
      </c>
    </row>
    <row r="31" spans="2:18" ht="105" customHeight="1">
      <c r="C31" s="142" t="s">
        <v>563</v>
      </c>
      <c r="D31" s="183"/>
      <c r="G31" s="122" t="s">
        <v>564</v>
      </c>
      <c r="I31" s="126" t="s">
        <v>565</v>
      </c>
      <c r="L31" s="141"/>
      <c r="M31" s="143"/>
      <c r="N31" s="132" t="s">
        <v>566</v>
      </c>
      <c r="R31" s="128" t="s">
        <v>567</v>
      </c>
    </row>
    <row r="32" spans="2:18" ht="15.75" customHeight="1">
      <c r="C32" s="133" t="s">
        <v>568</v>
      </c>
      <c r="D32" s="152" t="s">
        <v>569</v>
      </c>
      <c r="G32" s="122" t="s">
        <v>570</v>
      </c>
      <c r="I32" s="126" t="s">
        <v>571</v>
      </c>
      <c r="L32" s="141"/>
      <c r="M32" s="143"/>
      <c r="N32" s="132" t="s">
        <v>572</v>
      </c>
      <c r="R32" s="128" t="s">
        <v>573</v>
      </c>
    </row>
    <row r="33" spans="7:18" ht="15.75" customHeight="1">
      <c r="G33" s="122" t="s">
        <v>574</v>
      </c>
      <c r="L33" s="141"/>
      <c r="M33" s="143"/>
      <c r="N33" s="132" t="s">
        <v>575</v>
      </c>
      <c r="R33" s="128" t="s">
        <v>576</v>
      </c>
    </row>
    <row r="34" spans="7:18" ht="15.75" customHeight="1">
      <c r="G34" s="122" t="s">
        <v>577</v>
      </c>
      <c r="L34" s="141"/>
      <c r="M34" s="146"/>
      <c r="N34" s="132" t="s">
        <v>578</v>
      </c>
      <c r="R34" s="128" t="s">
        <v>579</v>
      </c>
    </row>
    <row r="35" spans="7:18" ht="15.75" customHeight="1">
      <c r="G35" s="122" t="s">
        <v>580</v>
      </c>
      <c r="L35" s="141"/>
      <c r="N35" s="132" t="s">
        <v>581</v>
      </c>
      <c r="R35" s="128" t="s">
        <v>582</v>
      </c>
    </row>
    <row r="36" spans="7:18" ht="15" customHeight="1">
      <c r="G36" s="122" t="s">
        <v>583</v>
      </c>
      <c r="L36" s="141"/>
      <c r="N36" s="132" t="s">
        <v>584</v>
      </c>
      <c r="R36" s="128" t="s">
        <v>585</v>
      </c>
    </row>
    <row r="37" spans="7:18" ht="15.75" customHeight="1">
      <c r="G37" s="122" t="s">
        <v>586</v>
      </c>
      <c r="L37" s="141"/>
      <c r="N37" s="132" t="s">
        <v>587</v>
      </c>
      <c r="R37" s="128" t="s">
        <v>588</v>
      </c>
    </row>
    <row r="38" spans="7:18" ht="15.75" customHeight="1">
      <c r="G38" s="122" t="s">
        <v>589</v>
      </c>
      <c r="L38" s="141"/>
      <c r="N38" s="132" t="s">
        <v>590</v>
      </c>
      <c r="R38" s="128" t="s">
        <v>591</v>
      </c>
    </row>
    <row r="39" spans="7:18" ht="15.75" customHeight="1">
      <c r="G39" s="122" t="s">
        <v>592</v>
      </c>
      <c r="L39" s="141"/>
      <c r="N39" s="132" t="s">
        <v>593</v>
      </c>
      <c r="R39" s="128" t="s">
        <v>594</v>
      </c>
    </row>
    <row r="40" spans="7:18" ht="15" customHeight="1">
      <c r="G40" s="122" t="s">
        <v>595</v>
      </c>
      <c r="L40" s="141"/>
      <c r="N40" s="132" t="s">
        <v>596</v>
      </c>
      <c r="R40" s="128" t="s">
        <v>597</v>
      </c>
    </row>
    <row r="41" spans="7:18" ht="15.75" customHeight="1">
      <c r="G41" s="122" t="s">
        <v>598</v>
      </c>
      <c r="L41" s="141"/>
      <c r="N41" s="132" t="s">
        <v>599</v>
      </c>
      <c r="R41" s="128" t="s">
        <v>600</v>
      </c>
    </row>
    <row r="42" spans="7:18" ht="15" customHeight="1">
      <c r="G42" s="122" t="s">
        <v>601</v>
      </c>
      <c r="L42" s="141"/>
      <c r="N42" s="136" t="s">
        <v>602</v>
      </c>
      <c r="R42" s="128" t="s">
        <v>603</v>
      </c>
    </row>
    <row r="43" spans="7:18" ht="15.75" customHeight="1">
      <c r="G43" s="122" t="s">
        <v>604</v>
      </c>
      <c r="L43" s="141"/>
      <c r="N43" s="1" t="s">
        <v>605</v>
      </c>
      <c r="R43" s="128" t="s">
        <v>606</v>
      </c>
    </row>
    <row r="44" spans="7:18" ht="15.75" customHeight="1">
      <c r="G44" s="122" t="s">
        <v>607</v>
      </c>
      <c r="L44" s="141"/>
      <c r="N44" s="132" t="s">
        <v>608</v>
      </c>
      <c r="R44" s="128" t="s">
        <v>609</v>
      </c>
    </row>
    <row r="45" spans="7:18" ht="15.75" customHeight="1">
      <c r="G45" s="122" t="s">
        <v>610</v>
      </c>
      <c r="L45" s="141"/>
      <c r="N45" s="132" t="s">
        <v>611</v>
      </c>
      <c r="R45" s="128" t="s">
        <v>612</v>
      </c>
    </row>
    <row r="46" spans="7:18" ht="15" customHeight="1">
      <c r="G46" s="122" t="s">
        <v>613</v>
      </c>
      <c r="L46" s="141"/>
      <c r="N46" s="132" t="s">
        <v>614</v>
      </c>
      <c r="R46" s="128" t="s">
        <v>615</v>
      </c>
    </row>
    <row r="47" spans="7:18" ht="15.75" customHeight="1">
      <c r="G47" s="122" t="s">
        <v>616</v>
      </c>
      <c r="L47" s="141"/>
      <c r="N47" s="132" t="s">
        <v>617</v>
      </c>
      <c r="R47" s="128" t="s">
        <v>618</v>
      </c>
    </row>
    <row r="48" spans="7:18" ht="15" customHeight="1">
      <c r="G48" s="122" t="s">
        <v>619</v>
      </c>
      <c r="L48" s="141"/>
      <c r="N48" s="132" t="s">
        <v>620</v>
      </c>
      <c r="R48" s="128" t="s">
        <v>621</v>
      </c>
    </row>
    <row r="49" spans="7:18" ht="15.75" customHeight="1">
      <c r="G49" s="122" t="s">
        <v>622</v>
      </c>
      <c r="L49" s="141"/>
      <c r="N49" s="132" t="s">
        <v>623</v>
      </c>
      <c r="R49" s="128" t="s">
        <v>624</v>
      </c>
    </row>
    <row r="50" spans="7:18" ht="15" customHeight="1">
      <c r="G50" s="122" t="s">
        <v>625</v>
      </c>
      <c r="L50" s="141"/>
      <c r="N50" s="139" t="s">
        <v>626</v>
      </c>
      <c r="R50" s="128" t="s">
        <v>627</v>
      </c>
    </row>
    <row r="51" spans="7:18" ht="15.75" customHeight="1">
      <c r="G51" s="122" t="s">
        <v>628</v>
      </c>
      <c r="L51" s="141"/>
      <c r="N51" s="132" t="s">
        <v>629</v>
      </c>
      <c r="R51" s="128" t="s">
        <v>630</v>
      </c>
    </row>
    <row r="52" spans="7:18" ht="15.75" customHeight="1">
      <c r="G52" s="122" t="s">
        <v>631</v>
      </c>
      <c r="L52" s="141"/>
      <c r="N52" s="132" t="s">
        <v>632</v>
      </c>
      <c r="R52" s="128" t="s">
        <v>633</v>
      </c>
    </row>
    <row r="53" spans="7:18" ht="15" customHeight="1">
      <c r="G53" s="122" t="s">
        <v>634</v>
      </c>
      <c r="L53" s="141"/>
      <c r="N53" s="139" t="s">
        <v>635</v>
      </c>
      <c r="R53" s="128" t="s">
        <v>636</v>
      </c>
    </row>
    <row r="54" spans="7:18" ht="15.75" customHeight="1">
      <c r="G54" s="122" t="s">
        <v>637</v>
      </c>
      <c r="L54" s="141"/>
      <c r="N54" s="132" t="s">
        <v>638</v>
      </c>
      <c r="R54" s="128" t="s">
        <v>639</v>
      </c>
    </row>
    <row r="55" spans="7:18" ht="15" customHeight="1">
      <c r="G55" s="122" t="s">
        <v>640</v>
      </c>
      <c r="L55" s="141"/>
      <c r="N55" s="132" t="s">
        <v>641</v>
      </c>
      <c r="R55" s="128" t="s">
        <v>642</v>
      </c>
    </row>
    <row r="56" spans="7:18" ht="15.75" customHeight="1">
      <c r="G56" s="122" t="s">
        <v>643</v>
      </c>
      <c r="L56" s="141"/>
      <c r="N56" s="132" t="s">
        <v>644</v>
      </c>
      <c r="R56" s="128" t="s">
        <v>645</v>
      </c>
    </row>
    <row r="57" spans="7:18" ht="15.75" customHeight="1">
      <c r="G57" s="122" t="s">
        <v>646</v>
      </c>
      <c r="L57" s="141"/>
      <c r="N57" s="132" t="s">
        <v>647</v>
      </c>
      <c r="R57" s="128" t="s">
        <v>648</v>
      </c>
    </row>
    <row r="58" spans="7:18" ht="15" customHeight="1">
      <c r="G58" s="122" t="s">
        <v>649</v>
      </c>
      <c r="L58" s="141"/>
      <c r="N58" s="132" t="s">
        <v>650</v>
      </c>
      <c r="R58" s="128" t="s">
        <v>651</v>
      </c>
    </row>
    <row r="59" spans="7:18" ht="15.75" customHeight="1">
      <c r="G59" s="122" t="s">
        <v>652</v>
      </c>
      <c r="L59" s="141"/>
      <c r="N59" s="132" t="s">
        <v>653</v>
      </c>
      <c r="R59" s="128" t="s">
        <v>654</v>
      </c>
    </row>
    <row r="60" spans="7:18" ht="15" customHeight="1">
      <c r="G60" s="122" t="s">
        <v>655</v>
      </c>
      <c r="L60" s="141"/>
      <c r="N60" s="132" t="s">
        <v>656</v>
      </c>
      <c r="R60" s="128" t="s">
        <v>657</v>
      </c>
    </row>
    <row r="61" spans="7:18" ht="15.75" customHeight="1">
      <c r="G61" s="122" t="s">
        <v>658</v>
      </c>
      <c r="L61" s="141"/>
      <c r="N61" s="132" t="s">
        <v>659</v>
      </c>
      <c r="R61" s="128" t="s">
        <v>660</v>
      </c>
    </row>
    <row r="62" spans="7:18" ht="15" customHeight="1">
      <c r="G62" s="122" t="s">
        <v>661</v>
      </c>
      <c r="L62" s="141"/>
      <c r="N62" s="132" t="s">
        <v>662</v>
      </c>
      <c r="R62" s="128" t="s">
        <v>663</v>
      </c>
    </row>
    <row r="63" spans="7:18" ht="15.75" customHeight="1">
      <c r="G63" s="122" t="s">
        <v>664</v>
      </c>
      <c r="L63" s="141"/>
      <c r="N63" s="132" t="s">
        <v>665</v>
      </c>
      <c r="R63" s="128" t="s">
        <v>666</v>
      </c>
    </row>
    <row r="64" spans="7:18" ht="15.75" customHeight="1">
      <c r="G64" s="122" t="s">
        <v>667</v>
      </c>
      <c r="L64" s="141"/>
      <c r="N64" s="132" t="s">
        <v>668</v>
      </c>
      <c r="R64" s="128" t="s">
        <v>669</v>
      </c>
    </row>
    <row r="65" spans="7:18" ht="15.75" customHeight="1">
      <c r="G65" s="122" t="s">
        <v>670</v>
      </c>
      <c r="L65" s="141"/>
      <c r="N65" s="132" t="s">
        <v>671</v>
      </c>
      <c r="R65" s="128" t="s">
        <v>672</v>
      </c>
    </row>
    <row r="66" spans="7:18" ht="15" customHeight="1">
      <c r="G66" s="122" t="s">
        <v>673</v>
      </c>
      <c r="L66" s="141"/>
      <c r="N66" s="132" t="s">
        <v>674</v>
      </c>
      <c r="R66" s="128" t="s">
        <v>675</v>
      </c>
    </row>
    <row r="67" spans="7:18" ht="15.75" customHeight="1">
      <c r="G67" s="122" t="s">
        <v>676</v>
      </c>
      <c r="L67" s="141"/>
      <c r="N67" s="132" t="s">
        <v>677</v>
      </c>
      <c r="R67" s="128" t="s">
        <v>678</v>
      </c>
    </row>
    <row r="68" spans="7:18" ht="15.75" customHeight="1">
      <c r="G68" s="122" t="s">
        <v>17</v>
      </c>
      <c r="L68" s="141"/>
      <c r="N68" s="132" t="s">
        <v>679</v>
      </c>
      <c r="R68" s="128" t="s">
        <v>680</v>
      </c>
    </row>
    <row r="69" spans="7:18" ht="15.75" customHeight="1">
      <c r="G69" s="122" t="s">
        <v>681</v>
      </c>
      <c r="L69" s="141"/>
      <c r="N69" s="132" t="s">
        <v>682</v>
      </c>
      <c r="R69" s="128" t="s">
        <v>683</v>
      </c>
    </row>
    <row r="70" spans="7:18" ht="15" customHeight="1">
      <c r="G70" s="90" t="s">
        <v>684</v>
      </c>
      <c r="L70" s="141"/>
      <c r="N70" s="132" t="s">
        <v>685</v>
      </c>
      <c r="R70" s="128" t="s">
        <v>686</v>
      </c>
    </row>
    <row r="71" spans="7:18" ht="15.75" customHeight="1">
      <c r="G71" s="122" t="s">
        <v>687</v>
      </c>
      <c r="L71" s="141"/>
      <c r="N71" s="132" t="s">
        <v>688</v>
      </c>
      <c r="R71" s="128" t="s">
        <v>689</v>
      </c>
    </row>
    <row r="72" spans="7:18" ht="15.75" customHeight="1">
      <c r="G72" s="122" t="s">
        <v>690</v>
      </c>
      <c r="L72" s="141"/>
      <c r="N72" s="132" t="s">
        <v>691</v>
      </c>
      <c r="R72" s="128" t="s">
        <v>692</v>
      </c>
    </row>
    <row r="73" spans="7:18" ht="15.75" customHeight="1">
      <c r="G73" s="122" t="s">
        <v>693</v>
      </c>
      <c r="L73" s="141"/>
      <c r="N73" s="132" t="s">
        <v>694</v>
      </c>
      <c r="R73" s="128" t="s">
        <v>695</v>
      </c>
    </row>
    <row r="74" spans="7:18" ht="15.75" customHeight="1">
      <c r="G74" s="122" t="s">
        <v>696</v>
      </c>
      <c r="L74" s="141"/>
      <c r="N74" s="132" t="s">
        <v>697</v>
      </c>
      <c r="R74" s="128" t="s">
        <v>698</v>
      </c>
    </row>
    <row r="75" spans="7:18" ht="15.75" customHeight="1">
      <c r="G75" s="122" t="s">
        <v>699</v>
      </c>
      <c r="L75" s="141"/>
      <c r="N75" s="132" t="s">
        <v>700</v>
      </c>
      <c r="R75" s="128" t="s">
        <v>701</v>
      </c>
    </row>
    <row r="76" spans="7:18" ht="15.75" customHeight="1">
      <c r="G76" s="122" t="s">
        <v>702</v>
      </c>
      <c r="L76" s="141"/>
      <c r="N76" s="132" t="s">
        <v>703</v>
      </c>
      <c r="R76" s="128" t="s">
        <v>704</v>
      </c>
    </row>
    <row r="77" spans="7:18" ht="15.75" customHeight="1">
      <c r="G77" s="122" t="s">
        <v>705</v>
      </c>
      <c r="L77" s="141"/>
      <c r="N77" s="132" t="s">
        <v>706</v>
      </c>
      <c r="R77" s="128" t="s">
        <v>707</v>
      </c>
    </row>
    <row r="78" spans="7:18" ht="15.75" customHeight="1">
      <c r="G78" s="122" t="s">
        <v>708</v>
      </c>
      <c r="L78" s="141"/>
      <c r="N78" s="132" t="s">
        <v>709</v>
      </c>
      <c r="R78" s="128" t="s">
        <v>710</v>
      </c>
    </row>
    <row r="79" spans="7:18" ht="15.75" customHeight="1">
      <c r="G79" s="122" t="s">
        <v>711</v>
      </c>
      <c r="L79" s="141"/>
      <c r="N79" s="132" t="s">
        <v>712</v>
      </c>
      <c r="R79" s="128" t="s">
        <v>713</v>
      </c>
    </row>
    <row r="80" spans="7:18" ht="15" customHeight="1">
      <c r="G80" s="122" t="s">
        <v>714</v>
      </c>
      <c r="L80" s="141"/>
      <c r="N80" s="132" t="s">
        <v>715</v>
      </c>
      <c r="R80" s="128" t="s">
        <v>716</v>
      </c>
    </row>
    <row r="81" spans="7:18" ht="15.75" customHeight="1">
      <c r="G81" s="122" t="s">
        <v>717</v>
      </c>
      <c r="L81" s="141"/>
      <c r="N81" s="139" t="s">
        <v>718</v>
      </c>
      <c r="R81" s="128" t="s">
        <v>719</v>
      </c>
    </row>
    <row r="82" spans="7:18" ht="15.75" customHeight="1">
      <c r="G82" s="122" t="s">
        <v>720</v>
      </c>
      <c r="L82" s="141"/>
      <c r="N82" s="132" t="s">
        <v>721</v>
      </c>
      <c r="R82" s="128" t="s">
        <v>722</v>
      </c>
    </row>
    <row r="83" spans="7:18" ht="15" customHeight="1">
      <c r="G83" s="122" t="s">
        <v>723</v>
      </c>
      <c r="L83" s="141"/>
      <c r="N83" s="132" t="s">
        <v>724</v>
      </c>
      <c r="R83" s="128" t="s">
        <v>725</v>
      </c>
    </row>
    <row r="84" spans="7:18" ht="15.75" customHeight="1">
      <c r="G84" s="122" t="s">
        <v>726</v>
      </c>
      <c r="L84" s="141"/>
      <c r="N84" s="132" t="s">
        <v>727</v>
      </c>
      <c r="R84" s="128" t="s">
        <v>728</v>
      </c>
    </row>
    <row r="85" spans="7:18" ht="15.75" customHeight="1">
      <c r="G85" s="122" t="s">
        <v>729</v>
      </c>
      <c r="L85" s="141"/>
      <c r="N85" s="132" t="s">
        <v>730</v>
      </c>
      <c r="R85" s="128" t="s">
        <v>731</v>
      </c>
    </row>
    <row r="86" spans="7:18" ht="15.75" customHeight="1">
      <c r="G86" s="122" t="s">
        <v>732</v>
      </c>
      <c r="L86" s="141"/>
      <c r="N86" s="132" t="s">
        <v>733</v>
      </c>
      <c r="R86" s="128" t="s">
        <v>734</v>
      </c>
    </row>
    <row r="87" spans="7:18" ht="15.75" customHeight="1">
      <c r="G87" s="90" t="s">
        <v>735</v>
      </c>
      <c r="L87" s="141"/>
      <c r="N87" s="136" t="s">
        <v>736</v>
      </c>
      <c r="R87" s="128" t="s">
        <v>737</v>
      </c>
    </row>
    <row r="88" spans="7:18" ht="15" customHeight="1">
      <c r="G88" s="122" t="s">
        <v>738</v>
      </c>
      <c r="L88" s="141"/>
      <c r="N88" s="153" t="s">
        <v>739</v>
      </c>
      <c r="R88" s="128" t="s">
        <v>740</v>
      </c>
    </row>
    <row r="89" spans="7:18" ht="15.75" customHeight="1">
      <c r="G89" s="122" t="s">
        <v>741</v>
      </c>
      <c r="L89" s="141"/>
      <c r="N89" s="136" t="s">
        <v>742</v>
      </c>
      <c r="R89" s="128" t="s">
        <v>743</v>
      </c>
    </row>
    <row r="90" spans="7:18" ht="15.75" customHeight="1">
      <c r="G90" s="122" t="s">
        <v>744</v>
      </c>
      <c r="L90" s="141"/>
      <c r="N90" s="132" t="s">
        <v>745</v>
      </c>
      <c r="R90" s="128" t="s">
        <v>746</v>
      </c>
    </row>
    <row r="91" spans="7:18" ht="15" customHeight="1">
      <c r="G91" s="122" t="s">
        <v>747</v>
      </c>
      <c r="L91" s="154"/>
      <c r="N91" s="1" t="s">
        <v>748</v>
      </c>
      <c r="R91" s="128" t="s">
        <v>749</v>
      </c>
    </row>
    <row r="92" spans="7:18" ht="15.75" customHeight="1">
      <c r="G92" s="122" t="s">
        <v>750</v>
      </c>
      <c r="N92" s="132" t="s">
        <v>751</v>
      </c>
      <c r="R92" s="128" t="s">
        <v>752</v>
      </c>
    </row>
    <row r="93" spans="7:18" ht="15.75" customHeight="1">
      <c r="G93" s="122" t="s">
        <v>753</v>
      </c>
      <c r="L93" s="141"/>
      <c r="N93" s="136" t="s">
        <v>754</v>
      </c>
      <c r="R93" s="128" t="s">
        <v>755</v>
      </c>
    </row>
    <row r="94" spans="7:18" ht="15.75" customHeight="1">
      <c r="G94" s="90" t="s">
        <v>756</v>
      </c>
      <c r="L94" s="141"/>
      <c r="N94" s="136" t="s">
        <v>757</v>
      </c>
      <c r="R94" s="128" t="s">
        <v>758</v>
      </c>
    </row>
    <row r="95" spans="7:18" ht="15" customHeight="1">
      <c r="G95" s="122" t="s">
        <v>759</v>
      </c>
      <c r="L95" s="141"/>
      <c r="R95" s="128" t="s">
        <v>760</v>
      </c>
    </row>
    <row r="96" spans="7:18" ht="15.75" customHeight="1">
      <c r="G96" s="122" t="s">
        <v>761</v>
      </c>
      <c r="L96" s="141"/>
      <c r="R96" s="128" t="s">
        <v>762</v>
      </c>
    </row>
    <row r="97" spans="7:18" ht="15.75" customHeight="1">
      <c r="G97" s="122" t="s">
        <v>763</v>
      </c>
      <c r="L97" s="141"/>
      <c r="R97" s="128" t="s">
        <v>764</v>
      </c>
    </row>
    <row r="98" spans="7:18" ht="15" customHeight="1">
      <c r="G98" s="122" t="s">
        <v>765</v>
      </c>
      <c r="L98" s="141"/>
      <c r="R98" s="128" t="s">
        <v>766</v>
      </c>
    </row>
    <row r="99" spans="7:18" ht="15.75" customHeight="1">
      <c r="G99" s="122" t="s">
        <v>767</v>
      </c>
      <c r="L99" s="141"/>
      <c r="R99" s="128" t="s">
        <v>768</v>
      </c>
    </row>
    <row r="100" spans="7:18" ht="15.75" customHeight="1">
      <c r="G100" s="122" t="s">
        <v>769</v>
      </c>
      <c r="L100" s="141"/>
      <c r="R100" s="155"/>
    </row>
    <row r="101" spans="7:18" ht="15" customHeight="1">
      <c r="G101" s="122" t="s">
        <v>770</v>
      </c>
      <c r="L101" s="141"/>
    </row>
    <row r="102" spans="7:18" ht="15.75" customHeight="1">
      <c r="G102" s="122" t="s">
        <v>771</v>
      </c>
      <c r="L102" s="141"/>
    </row>
    <row r="103" spans="7:18" ht="15.75" customHeight="1">
      <c r="G103" s="122" t="s">
        <v>772</v>
      </c>
      <c r="L103" s="141"/>
    </row>
    <row r="104" spans="7:18" ht="15" customHeight="1">
      <c r="G104" s="122" t="s">
        <v>773</v>
      </c>
      <c r="L104" s="141"/>
    </row>
    <row r="105" spans="7:18" ht="15.75" customHeight="1">
      <c r="G105" s="122" t="s">
        <v>774</v>
      </c>
      <c r="L105" s="141"/>
    </row>
    <row r="106" spans="7:18" ht="15.75" customHeight="1">
      <c r="G106" s="122" t="s">
        <v>775</v>
      </c>
      <c r="L106" s="141"/>
    </row>
    <row r="107" spans="7:18" ht="15" customHeight="1">
      <c r="G107" s="122" t="s">
        <v>776</v>
      </c>
      <c r="L107" s="141"/>
    </row>
    <row r="108" spans="7:18" ht="15.75" customHeight="1">
      <c r="G108" s="122" t="s">
        <v>777</v>
      </c>
      <c r="L108" s="141"/>
    </row>
    <row r="109" spans="7:18" ht="15.75" customHeight="1">
      <c r="G109" s="122" t="s">
        <v>778</v>
      </c>
      <c r="L109" s="141"/>
    </row>
    <row r="110" spans="7:18" ht="15.75" customHeight="1">
      <c r="G110" s="122" t="s">
        <v>779</v>
      </c>
      <c r="L110" s="141"/>
    </row>
    <row r="111" spans="7:18" ht="15" customHeight="1">
      <c r="G111" s="122" t="s">
        <v>780</v>
      </c>
      <c r="L111" s="141"/>
    </row>
    <row r="112" spans="7:18" ht="15.75" customHeight="1">
      <c r="G112" s="90" t="s">
        <v>781</v>
      </c>
      <c r="L112" s="141"/>
    </row>
    <row r="113" spans="7:12" ht="15" customHeight="1">
      <c r="G113" s="90" t="s">
        <v>782</v>
      </c>
      <c r="L113" s="141"/>
    </row>
    <row r="114" spans="7:12" ht="15.75" customHeight="1">
      <c r="L114" s="141"/>
    </row>
    <row r="115" spans="7:12" ht="15.75" customHeight="1">
      <c r="L115" s="141"/>
    </row>
    <row r="116" spans="7:12" ht="15" customHeight="1">
      <c r="L116" s="141"/>
    </row>
    <row r="117" spans="7:12" ht="15.75" customHeight="1">
      <c r="L117" s="141"/>
    </row>
    <row r="118" spans="7:12" ht="15.75" customHeight="1">
      <c r="L118" s="141"/>
    </row>
    <row r="119" spans="7:12" ht="15.75" customHeight="1">
      <c r="L119" s="141"/>
    </row>
    <row r="120" spans="7:12" ht="15.75" customHeight="1">
      <c r="L120" s="141"/>
    </row>
    <row r="121" spans="7:12" ht="15.75" customHeight="1">
      <c r="L121" s="141"/>
    </row>
    <row r="122" spans="7:12" ht="15" customHeight="1">
      <c r="L122" s="141"/>
    </row>
    <row r="123" spans="7:12" ht="15.75" customHeight="1">
      <c r="L123" s="141"/>
    </row>
    <row r="124" spans="7:12" ht="15" customHeight="1">
      <c r="L124" s="141"/>
    </row>
    <row r="125" spans="7:12" ht="15.75" customHeight="1">
      <c r="L125" s="141"/>
    </row>
    <row r="126" spans="7:12" ht="15" customHeight="1">
      <c r="L126" s="141"/>
    </row>
    <row r="127" spans="7:12" ht="15.75" customHeight="1">
      <c r="L127" s="141"/>
    </row>
    <row r="128" spans="7:12" ht="15.75" customHeight="1">
      <c r="L128" s="141"/>
    </row>
    <row r="129" spans="12:12" ht="15.75" customHeight="1">
      <c r="L129" s="141"/>
    </row>
    <row r="130" spans="12:12" ht="15" customHeight="1">
      <c r="L130" s="141"/>
    </row>
    <row r="131" spans="12:12" ht="15.75" customHeight="1">
      <c r="L131" s="141"/>
    </row>
    <row r="132" spans="12:12" ht="15.75" customHeight="1">
      <c r="L132" s="141"/>
    </row>
    <row r="133" spans="12:12" ht="15" customHeight="1">
      <c r="L133" s="141"/>
    </row>
    <row r="134" spans="12:12" ht="15.75" customHeight="1">
      <c r="L134" s="141"/>
    </row>
    <row r="135" spans="12:12" ht="15.75" customHeight="1">
      <c r="L135" s="141"/>
    </row>
    <row r="136" spans="12:12" ht="15" customHeight="1">
      <c r="L136" s="141"/>
    </row>
    <row r="137" spans="12:12" ht="15.75" customHeight="1">
      <c r="L137" s="141"/>
    </row>
    <row r="138" spans="12:12" ht="15" customHeight="1">
      <c r="L138" s="141"/>
    </row>
    <row r="139" spans="12:12" ht="15.75" customHeight="1">
      <c r="L139" s="141"/>
    </row>
    <row r="140" spans="12:12" ht="15.75" customHeight="1">
      <c r="L140" s="141"/>
    </row>
    <row r="141" spans="12:12" ht="15" customHeight="1">
      <c r="L141" s="141"/>
    </row>
    <row r="142" spans="12:12" ht="15.75" customHeight="1">
      <c r="L142" s="141"/>
    </row>
    <row r="143" spans="12:12" ht="15.75" customHeight="1">
      <c r="L143" s="141"/>
    </row>
    <row r="144" spans="12:12" ht="15.75" customHeight="1">
      <c r="L144" s="141"/>
    </row>
    <row r="145" spans="12:12" ht="15.75" customHeight="1">
      <c r="L145" s="141"/>
    </row>
    <row r="146" spans="12:12" ht="15" customHeight="1">
      <c r="L146" s="154"/>
    </row>
    <row r="147" spans="12:12" ht="15.75" customHeight="1"/>
    <row r="149" spans="12:12" ht="15.75" customHeight="1"/>
    <row r="151" spans="12:12" ht="15.75" customHeight="1"/>
    <row r="152" spans="12:12" ht="15.75" customHeight="1"/>
    <row r="154" spans="12:12" ht="15.75" customHeight="1"/>
    <row r="155" spans="12:12" ht="15.75" customHeight="1"/>
    <row r="156" spans="12:12" ht="15.75" customHeight="1"/>
    <row r="157" spans="12:12" ht="15.75" customHeight="1"/>
    <row r="159" spans="12:12" ht="15.75" customHeight="1"/>
    <row r="160" spans="12:12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5" ht="15.75" customHeight="1"/>
    <row r="176" ht="15.75" customHeight="1"/>
    <row r="177" ht="15.75" customHeight="1"/>
    <row r="179" ht="15.75" customHeight="1"/>
    <row r="181" ht="15.75" customHeight="1"/>
    <row r="182" ht="15.75" customHeight="1"/>
    <row r="183" ht="15.75" customHeight="1"/>
    <row r="184" ht="15.75" customHeight="1"/>
    <row r="186" ht="15.75" customHeight="1"/>
    <row r="187" ht="15.75" customHeight="1"/>
    <row r="189" ht="15.75" customHeight="1"/>
    <row r="190" ht="15.75" customHeight="1"/>
    <row r="191" ht="15.75" customHeight="1"/>
    <row r="192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9" ht="15.75" customHeight="1"/>
    <row r="220" ht="15.75" customHeight="1"/>
    <row r="222" ht="15.75" customHeight="1"/>
    <row r="223" ht="15.75" customHeight="1"/>
    <row r="225" ht="15.75" customHeight="1"/>
    <row r="227" ht="15.75" customHeight="1"/>
    <row r="228" ht="15.75" customHeight="1"/>
    <row r="230" ht="15.75" customHeight="1"/>
    <row r="231" ht="15.75" customHeight="1"/>
    <row r="233" ht="15.75" customHeight="1"/>
    <row r="235" ht="15.75" customHeight="1"/>
    <row r="237" ht="15.75" customHeight="1"/>
    <row r="239" ht="15.75" customHeight="1"/>
    <row r="240" ht="15.75" customHeight="1"/>
    <row r="242" ht="15.75" customHeight="1"/>
    <row r="243" ht="15.75" customHeight="1"/>
    <row r="244" ht="15.75" customHeight="1"/>
    <row r="246" ht="15.75" customHeight="1"/>
    <row r="248" ht="15.75" customHeight="1"/>
    <row r="250" ht="15.75" customHeight="1"/>
    <row r="251" ht="15.75" customHeight="1"/>
    <row r="253" ht="15.75" customHeight="1"/>
    <row r="254" ht="15.75" customHeight="1"/>
    <row r="255" ht="15.75" customHeight="1"/>
    <row r="257" ht="15.75" customHeight="1"/>
    <row r="259" ht="15.75" customHeight="1"/>
    <row r="260" ht="15.75" customHeight="1"/>
    <row r="261" ht="15.75" customHeight="1"/>
    <row r="263" ht="15.75" customHeight="1"/>
    <row r="265" ht="15.75" customHeight="1"/>
    <row r="266" ht="15.75" customHeight="1"/>
    <row r="268" ht="15.75" customHeight="1"/>
    <row r="269" ht="15.75" customHeight="1"/>
    <row r="271" ht="15.75" customHeight="1"/>
    <row r="272" ht="15.75" customHeight="1"/>
    <row r="273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FIN PROPÓSITO</vt:lpstr>
      <vt:lpstr>Estático</vt:lpstr>
      <vt:lpstr>Porfinporproposito</vt:lpstr>
      <vt:lpstr>Hoja 3</vt:lpstr>
      <vt:lpstr>FIN</vt:lpstr>
      <vt:lpstr>PROPÓSITO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Miguel Escalante Vazquez</cp:lastModifiedBy>
  <dcterms:modified xsi:type="dcterms:W3CDTF">2023-07-28T21:17:01Z</dcterms:modified>
</cp:coreProperties>
</file>