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32.30\Planeacion\PLANEACION 2023\TRANSPARENCIA 2023\Fracción IV\AVANCE MIR\3ER. TRIMESTRE\"/>
    </mc:Choice>
  </mc:AlternateContent>
  <bookViews>
    <workbookView xWindow="0" yWindow="0" windowWidth="20490" windowHeight="7755"/>
  </bookViews>
  <sheets>
    <sheet name="MIR DIFGDL" sheetId="2" r:id="rId1"/>
    <sheet name="SID" sheetId="4" state="hidden" r:id="rId2"/>
    <sheet name="Estático" sheetId="5" state="hidden" r:id="rId3"/>
    <sheet name="Copia de MIR 1" sheetId="6" state="hidden" r:id="rId4"/>
    <sheet name="Copia de MIR" sheetId="7" state="hidden" r:id="rId5"/>
    <sheet name="Subida" sheetId="8" state="hidden" r:id="rId6"/>
    <sheet name="finproposito" sheetId="9" state="hidden" r:id="rId7"/>
    <sheet name="ESTADÍSTICAS (DINÁMICO)" sheetId="13" state="hidden" r:id="rId8"/>
  </sheets>
  <calcPr calcId="152511"/>
</workbook>
</file>

<file path=xl/calcChain.xml><?xml version="1.0" encoding="utf-8"?>
<calcChain xmlns="http://schemas.openxmlformats.org/spreadsheetml/2006/main">
  <c r="G29" i="8" l="1"/>
  <c r="G28" i="8"/>
  <c r="G19" i="8"/>
  <c r="G18" i="8"/>
  <c r="G16" i="8"/>
  <c r="G13" i="8"/>
  <c r="O34" i="7"/>
  <c r="O33" i="7"/>
  <c r="I4" i="4"/>
  <c r="I3" i="4"/>
  <c r="I2" i="4"/>
  <c r="H1657" i="13"/>
  <c r="D1656" i="13"/>
  <c r="M1654" i="13"/>
  <c r="J1653" i="13"/>
  <c r="G1652" i="13"/>
  <c r="D1651" i="13"/>
  <c r="A1650" i="13"/>
  <c r="K1648" i="13"/>
  <c r="H1647" i="13"/>
  <c r="E1646" i="13"/>
  <c r="A1645" i="13"/>
  <c r="I1643" i="13"/>
  <c r="E1642" i="13"/>
  <c r="A1641" i="13"/>
  <c r="I1639" i="13"/>
  <c r="E1638" i="13"/>
  <c r="A1637" i="13"/>
  <c r="K1635" i="13"/>
  <c r="H1634" i="13"/>
  <c r="E1633" i="13"/>
  <c r="B1632" i="13"/>
  <c r="L1630" i="13"/>
  <c r="I1629" i="13"/>
  <c r="F1628" i="13"/>
  <c r="C1627" i="13"/>
  <c r="L1656" i="13"/>
  <c r="G1655" i="13"/>
  <c r="D1654" i="13"/>
  <c r="A1653" i="13"/>
  <c r="K1651" i="13"/>
  <c r="H1650" i="13"/>
  <c r="E1649" i="13"/>
  <c r="B1648" i="13"/>
  <c r="L1646" i="13"/>
  <c r="H1645" i="13"/>
  <c r="D1644" i="13"/>
  <c r="M1642" i="13"/>
  <c r="H1641" i="13"/>
  <c r="D1640" i="13"/>
  <c r="M1638" i="13"/>
  <c r="H1637" i="13"/>
  <c r="E1636" i="13"/>
  <c r="B1635" i="13"/>
  <c r="L1633" i="13"/>
  <c r="I1632" i="13"/>
  <c r="F1631" i="13"/>
  <c r="C1630" i="13"/>
  <c r="M1628" i="13"/>
  <c r="J1627" i="13"/>
  <c r="G1626" i="13"/>
  <c r="J1657" i="13"/>
  <c r="F1656" i="13"/>
  <c r="B1655" i="13"/>
  <c r="L1653" i="13"/>
  <c r="I1652" i="13"/>
  <c r="F1651" i="13"/>
  <c r="C1650" i="13"/>
  <c r="M1648" i="13"/>
  <c r="J1647" i="13"/>
  <c r="G1646" i="13"/>
  <c r="C1645" i="13"/>
  <c r="L1643" i="13"/>
  <c r="G1642" i="13"/>
  <c r="C1641" i="13"/>
  <c r="L1639" i="13"/>
  <c r="G1638" i="13"/>
  <c r="C1637" i="13"/>
  <c r="M1635" i="13"/>
  <c r="J1634" i="13"/>
  <c r="G1633" i="13"/>
  <c r="D1632" i="13"/>
  <c r="A1631" i="13"/>
  <c r="K1629" i="13"/>
  <c r="H1628" i="13"/>
  <c r="E1627" i="13"/>
  <c r="B1626" i="13"/>
  <c r="L1624" i="13"/>
  <c r="I1623" i="13"/>
  <c r="F1622" i="13"/>
  <c r="C1621" i="13"/>
  <c r="M1619" i="13"/>
  <c r="J1618" i="13"/>
  <c r="E1656" i="13"/>
  <c r="E1651" i="13"/>
  <c r="F1646" i="13"/>
  <c r="B1641" i="13"/>
  <c r="L1635" i="13"/>
  <c r="M1630" i="13"/>
  <c r="H1626" i="13"/>
  <c r="G1624" i="13"/>
  <c r="L1622" i="13"/>
  <c r="D1621" i="13"/>
  <c r="H1619" i="13"/>
  <c r="M1617" i="13"/>
  <c r="J1616" i="13"/>
  <c r="G1615" i="13"/>
  <c r="D1614" i="13"/>
  <c r="A1613" i="13"/>
  <c r="K1611" i="13"/>
  <c r="H1610" i="13"/>
  <c r="E1609" i="13"/>
  <c r="B1608" i="13"/>
  <c r="L1606" i="13"/>
  <c r="I1605" i="13"/>
  <c r="F1604" i="13"/>
  <c r="C1603" i="13"/>
  <c r="M1601" i="13"/>
  <c r="J1600" i="13"/>
  <c r="G1599" i="13"/>
  <c r="D1598" i="13"/>
  <c r="A1597" i="13"/>
  <c r="K1595" i="13"/>
  <c r="H1594" i="13"/>
  <c r="E1593" i="13"/>
  <c r="J1654" i="13"/>
  <c r="K1649" i="13"/>
  <c r="J1644" i="13"/>
  <c r="F1639" i="13"/>
  <c r="E1634" i="13"/>
  <c r="F1629" i="13"/>
  <c r="J1625" i="13"/>
  <c r="A1624" i="13"/>
  <c r="E1622" i="13"/>
  <c r="J1620" i="13"/>
  <c r="B1619" i="13"/>
  <c r="H1617" i="13"/>
  <c r="E1616" i="13"/>
  <c r="D1657" i="13"/>
  <c r="M1655" i="13"/>
  <c r="I1654" i="13"/>
  <c r="F1653" i="13"/>
  <c r="C1652" i="13"/>
  <c r="M1650" i="13"/>
  <c r="J1649" i="13"/>
  <c r="G1648" i="13"/>
  <c r="D1647" i="13"/>
  <c r="A1646" i="13"/>
  <c r="I1644" i="13"/>
  <c r="E1643" i="13"/>
  <c r="A1642" i="13"/>
  <c r="I1640" i="13"/>
  <c r="E1639" i="13"/>
  <c r="A1638" i="13"/>
  <c r="J1636" i="13"/>
  <c r="G1635" i="13"/>
  <c r="D1634" i="13"/>
  <c r="A1633" i="13"/>
  <c r="K1631" i="13"/>
  <c r="H1630" i="13"/>
  <c r="E1629" i="13"/>
  <c r="B1628" i="13"/>
  <c r="L1657" i="13"/>
  <c r="G1656" i="13"/>
  <c r="C1655" i="13"/>
  <c r="M1653" i="13"/>
  <c r="J1652" i="13"/>
  <c r="G1651" i="13"/>
  <c r="D1650" i="13"/>
  <c r="A1649" i="13"/>
  <c r="K1647" i="13"/>
  <c r="H1646" i="13"/>
  <c r="D1645" i="13"/>
  <c r="M1643" i="13"/>
  <c r="H1642" i="13"/>
  <c r="D1641" i="13"/>
  <c r="M1639" i="13"/>
  <c r="H1638" i="13"/>
  <c r="D1637" i="13"/>
  <c r="A1636" i="13"/>
  <c r="K1634" i="13"/>
  <c r="H1633" i="13"/>
  <c r="E1632" i="13"/>
  <c r="B1631" i="13"/>
  <c r="L1629" i="13"/>
  <c r="I1628" i="13"/>
  <c r="F1627" i="13"/>
  <c r="C1626" i="13"/>
  <c r="F1657" i="13"/>
  <c r="B1656" i="13"/>
  <c r="K1654" i="13"/>
  <c r="H1653" i="13"/>
  <c r="E1652" i="13"/>
  <c r="B1651" i="13"/>
  <c r="L1649" i="13"/>
  <c r="I1648" i="13"/>
  <c r="F1647" i="13"/>
  <c r="C1646" i="13"/>
  <c r="L1644" i="13"/>
  <c r="G1643" i="13"/>
  <c r="C1642" i="13"/>
  <c r="L1640" i="13"/>
  <c r="G1639" i="13"/>
  <c r="C1638" i="13"/>
  <c r="L1636" i="13"/>
  <c r="I1635" i="13"/>
  <c r="F1634" i="13"/>
  <c r="C1633" i="13"/>
  <c r="M1631" i="13"/>
  <c r="J1630" i="13"/>
  <c r="G1629" i="13"/>
  <c r="D1628" i="13"/>
  <c r="A1627" i="13"/>
  <c r="K1625" i="13"/>
  <c r="H1624" i="13"/>
  <c r="E1623" i="13"/>
  <c r="B1622" i="13"/>
  <c r="L1620" i="13"/>
  <c r="I1619" i="13"/>
  <c r="F1618" i="13"/>
  <c r="A1655" i="13"/>
  <c r="B1650" i="13"/>
  <c r="B1645" i="13"/>
  <c r="J1639" i="13"/>
  <c r="I1634" i="13"/>
  <c r="J1629" i="13"/>
  <c r="M1625" i="13"/>
  <c r="B1624" i="13"/>
  <c r="G1622" i="13"/>
  <c r="K1620" i="13"/>
  <c r="C1619" i="13"/>
  <c r="I1617" i="13"/>
  <c r="F1616" i="13"/>
  <c r="C1615" i="13"/>
  <c r="M1613" i="13"/>
  <c r="J1612" i="13"/>
  <c r="G1611" i="13"/>
  <c r="D1610" i="13"/>
  <c r="A1609" i="13"/>
  <c r="K1607" i="13"/>
  <c r="H1606" i="13"/>
  <c r="E1605" i="13"/>
  <c r="B1604" i="13"/>
  <c r="L1602" i="13"/>
  <c r="I1601" i="13"/>
  <c r="F1600" i="13"/>
  <c r="C1599" i="13"/>
  <c r="M1597" i="13"/>
  <c r="J1596" i="13"/>
  <c r="G1595" i="13"/>
  <c r="D1594" i="13"/>
  <c r="A1593" i="13"/>
  <c r="G1653" i="13"/>
  <c r="H1648" i="13"/>
  <c r="F1643" i="13"/>
  <c r="B1638" i="13"/>
  <c r="B1633" i="13"/>
  <c r="C1628" i="13"/>
  <c r="D1625" i="13"/>
  <c r="H1623" i="13"/>
  <c r="M1621" i="13"/>
  <c r="E1620" i="13"/>
  <c r="I1618" i="13"/>
  <c r="D1617" i="13"/>
  <c r="A1616" i="13"/>
  <c r="H1655" i="13"/>
  <c r="B1653" i="13"/>
  <c r="I1650" i="13"/>
  <c r="C1648" i="13"/>
  <c r="I1645" i="13"/>
  <c r="A1643" i="13"/>
  <c r="E1640" i="13"/>
  <c r="I1637" i="13"/>
  <c r="C1635" i="13"/>
  <c r="J1632" i="13"/>
  <c r="D1630" i="13"/>
  <c r="K1627" i="13"/>
  <c r="C1656" i="13"/>
  <c r="I1653" i="13"/>
  <c r="C1651" i="13"/>
  <c r="J1648" i="13"/>
  <c r="D1646" i="13"/>
  <c r="H1643" i="13"/>
  <c r="M1640" i="13"/>
  <c r="D1638" i="13"/>
  <c r="J1635" i="13"/>
  <c r="D1633" i="13"/>
  <c r="K1630" i="13"/>
  <c r="E1628" i="13"/>
  <c r="L1625" i="13"/>
  <c r="J1655" i="13"/>
  <c r="D1653" i="13"/>
  <c r="K1650" i="13"/>
  <c r="E1648" i="13"/>
  <c r="L1645" i="13"/>
  <c r="C1643" i="13"/>
  <c r="G1640" i="13"/>
  <c r="L1637" i="13"/>
  <c r="E1635" i="13"/>
  <c r="L1632" i="13"/>
  <c r="F1630" i="13"/>
  <c r="M1627" i="13"/>
  <c r="G1625" i="13"/>
  <c r="A1623" i="13"/>
  <c r="H1620" i="13"/>
  <c r="B1618" i="13"/>
  <c r="L1648" i="13"/>
  <c r="F1638" i="13"/>
  <c r="G1628" i="13"/>
  <c r="J1623" i="13"/>
  <c r="F1620" i="13"/>
  <c r="E1617" i="13"/>
  <c r="L1614" i="13"/>
  <c r="F1612" i="13"/>
  <c r="M1609" i="13"/>
  <c r="G1607" i="13"/>
  <c r="A1605" i="13"/>
  <c r="H1602" i="13"/>
  <c r="B1600" i="13"/>
  <c r="I1597" i="13"/>
  <c r="C1595" i="13"/>
  <c r="E1657" i="13"/>
  <c r="E1647" i="13"/>
  <c r="K1636" i="13"/>
  <c r="M1626" i="13"/>
  <c r="C1623" i="13"/>
  <c r="L1619" i="13"/>
  <c r="M1616" i="13"/>
  <c r="B1615" i="13"/>
  <c r="L1613" i="13"/>
  <c r="I1612" i="13"/>
  <c r="F1611" i="13"/>
  <c r="C1610" i="13"/>
  <c r="M1608" i="13"/>
  <c r="J1607" i="13"/>
  <c r="G1606" i="13"/>
  <c r="D1605" i="13"/>
  <c r="A1604" i="13"/>
  <c r="K1602" i="13"/>
  <c r="H1601" i="13"/>
  <c r="E1600" i="13"/>
  <c r="B1599" i="13"/>
  <c r="L1597" i="13"/>
  <c r="I1596" i="13"/>
  <c r="F1595" i="13"/>
  <c r="C1594" i="13"/>
  <c r="M1592" i="13"/>
  <c r="C1653" i="13"/>
  <c r="D1648" i="13"/>
  <c r="B1643" i="13"/>
  <c r="J1637" i="13"/>
  <c r="K1632" i="13"/>
  <c r="L1627" i="13"/>
  <c r="B1625" i="13"/>
  <c r="G1623" i="13"/>
  <c r="L1621" i="13"/>
  <c r="C1620" i="13"/>
  <c r="H1618" i="13"/>
  <c r="C1617" i="13"/>
  <c r="M1615" i="13"/>
  <c r="J1614" i="13"/>
  <c r="G1613" i="13"/>
  <c r="D1612" i="13"/>
  <c r="A1611" i="13"/>
  <c r="K1609" i="13"/>
  <c r="H1608" i="13"/>
  <c r="E1607" i="13"/>
  <c r="B1606" i="13"/>
  <c r="L1604" i="13"/>
  <c r="I1603" i="13"/>
  <c r="F1602" i="13"/>
  <c r="C1601" i="13"/>
  <c r="M1599" i="13"/>
  <c r="J1598" i="13"/>
  <c r="G1597" i="13"/>
  <c r="D1596" i="13"/>
  <c r="A1595" i="13"/>
  <c r="K1593" i="13"/>
  <c r="I1656" i="13"/>
  <c r="C1636" i="13"/>
  <c r="M1622" i="13"/>
  <c r="K1616" i="13"/>
  <c r="L1611" i="13"/>
  <c r="M1606" i="13"/>
  <c r="A1602" i="13"/>
  <c r="B1597" i="13"/>
  <c r="I1592" i="13"/>
  <c r="F1591" i="13"/>
  <c r="C1590" i="13"/>
  <c r="M1588" i="13"/>
  <c r="J1587" i="13"/>
  <c r="G1586" i="13"/>
  <c r="M1657" i="13"/>
  <c r="D1655" i="13"/>
  <c r="K1652" i="13"/>
  <c r="E1650" i="13"/>
  <c r="L1647" i="13"/>
  <c r="E1645" i="13"/>
  <c r="I1642" i="13"/>
  <c r="A1640" i="13"/>
  <c r="E1637" i="13"/>
  <c r="L1634" i="13"/>
  <c r="F1632" i="13"/>
  <c r="M1629" i="13"/>
  <c r="G1627" i="13"/>
  <c r="L1655" i="13"/>
  <c r="E1653" i="13"/>
  <c r="L1650" i="13"/>
  <c r="F1648" i="13"/>
  <c r="M1645" i="13"/>
  <c r="D1643" i="13"/>
  <c r="H1640" i="13"/>
  <c r="M1637" i="13"/>
  <c r="F1635" i="13"/>
  <c r="M1632" i="13"/>
  <c r="G1630" i="13"/>
  <c r="A1628" i="13"/>
  <c r="H1625" i="13"/>
  <c r="F1655" i="13"/>
  <c r="M1652" i="13"/>
  <c r="G1650" i="13"/>
  <c r="A1648" i="13"/>
  <c r="G1645" i="13"/>
  <c r="L1642" i="13"/>
  <c r="C1640" i="13"/>
  <c r="G1637" i="13"/>
  <c r="A1635" i="13"/>
  <c r="H1632" i="13"/>
  <c r="B1630" i="13"/>
  <c r="I1627" i="13"/>
  <c r="C1625" i="13"/>
  <c r="J1622" i="13"/>
  <c r="D1620" i="13"/>
  <c r="I1657" i="13"/>
  <c r="I1647" i="13"/>
  <c r="B1637" i="13"/>
  <c r="D1627" i="13"/>
  <c r="D1623" i="13"/>
  <c r="A1620" i="13"/>
  <c r="A1617" i="13"/>
  <c r="H1614" i="13"/>
  <c r="B1612" i="13"/>
  <c r="I1609" i="13"/>
  <c r="C1607" i="13"/>
  <c r="J1604" i="13"/>
  <c r="D1602" i="13"/>
  <c r="K1599" i="13"/>
  <c r="E1597" i="13"/>
  <c r="L1594" i="13"/>
  <c r="A1656" i="13"/>
  <c r="B1646" i="13"/>
  <c r="H1635" i="13"/>
  <c r="E1626" i="13"/>
  <c r="K1622" i="13"/>
  <c r="G1619" i="13"/>
  <c r="I1616" i="13"/>
  <c r="K1614" i="13"/>
  <c r="H1613" i="13"/>
  <c r="E1612" i="13"/>
  <c r="B1611" i="13"/>
  <c r="L1609" i="13"/>
  <c r="I1608" i="13"/>
  <c r="F1607" i="13"/>
  <c r="C1606" i="13"/>
  <c r="M1604" i="13"/>
  <c r="J1603" i="13"/>
  <c r="G1602" i="13"/>
  <c r="D1601" i="13"/>
  <c r="A1600" i="13"/>
  <c r="K1598" i="13"/>
  <c r="H1597" i="13"/>
  <c r="E1596" i="13"/>
  <c r="B1595" i="13"/>
  <c r="L1593" i="13"/>
  <c r="A1657" i="13"/>
  <c r="M1651" i="13"/>
  <c r="A1647" i="13"/>
  <c r="J1641" i="13"/>
  <c r="G1636" i="13"/>
  <c r="H1631" i="13"/>
  <c r="L1626" i="13"/>
  <c r="J1624" i="13"/>
  <c r="B1623" i="13"/>
  <c r="F1621" i="13"/>
  <c r="K1619" i="13"/>
  <c r="C1618" i="13"/>
  <c r="L1616" i="13"/>
  <c r="I1615" i="13"/>
  <c r="F1614" i="13"/>
  <c r="C1613" i="13"/>
  <c r="M1611" i="13"/>
  <c r="J1610" i="13"/>
  <c r="G1609" i="13"/>
  <c r="D1608" i="13"/>
  <c r="A1607" i="13"/>
  <c r="K1605" i="13"/>
  <c r="H1604" i="13"/>
  <c r="E1603" i="13"/>
  <c r="B1602" i="13"/>
  <c r="L1600" i="13"/>
  <c r="I1599" i="13"/>
  <c r="F1598" i="13"/>
  <c r="C1597" i="13"/>
  <c r="M1595" i="13"/>
  <c r="J1594" i="13"/>
  <c r="G1593" i="13"/>
  <c r="I1651" i="13"/>
  <c r="D1631" i="13"/>
  <c r="E1621" i="13"/>
  <c r="H1615" i="13"/>
  <c r="I1610" i="13"/>
  <c r="J1605" i="13"/>
  <c r="K1600" i="13"/>
  <c r="L1595" i="13"/>
  <c r="E1592" i="13"/>
  <c r="B1591" i="13"/>
  <c r="L1589" i="13"/>
  <c r="I1588" i="13"/>
  <c r="F1587" i="13"/>
  <c r="C1586" i="13"/>
  <c r="M1656" i="13"/>
  <c r="E1654" i="13"/>
  <c r="L1651" i="13"/>
  <c r="F1649" i="13"/>
  <c r="M1646" i="13"/>
  <c r="E1644" i="13"/>
  <c r="I1641" i="13"/>
  <c r="A1639" i="13"/>
  <c r="F1636" i="13"/>
  <c r="M1633" i="13"/>
  <c r="G1631" i="13"/>
  <c r="A1629" i="13"/>
  <c r="G1657" i="13"/>
  <c r="L1654" i="13"/>
  <c r="F1652" i="13"/>
  <c r="M1649" i="13"/>
  <c r="G1647" i="13"/>
  <c r="M1644" i="13"/>
  <c r="D1642" i="13"/>
  <c r="H1639" i="13"/>
  <c r="M1636" i="13"/>
  <c r="G1634" i="13"/>
  <c r="A1632" i="13"/>
  <c r="H1629" i="13"/>
  <c r="B1627" i="13"/>
  <c r="B1657" i="13"/>
  <c r="G1654" i="13"/>
  <c r="A1652" i="13"/>
  <c r="H1649" i="13"/>
  <c r="B1647" i="13"/>
  <c r="G1644" i="13"/>
  <c r="L1641" i="13"/>
  <c r="C1639" i="13"/>
  <c r="H1636" i="13"/>
  <c r="B1634" i="13"/>
  <c r="I1631" i="13"/>
  <c r="C1629" i="13"/>
  <c r="J1626" i="13"/>
  <c r="D1624" i="13"/>
  <c r="K1621" i="13"/>
  <c r="E1619" i="13"/>
  <c r="K1653" i="13"/>
  <c r="J1643" i="13"/>
  <c r="F1633" i="13"/>
  <c r="E1625" i="13"/>
  <c r="A1622" i="13"/>
  <c r="K1618" i="13"/>
  <c r="B1616" i="13"/>
  <c r="I1613" i="13"/>
  <c r="C1611" i="13"/>
  <c r="J1608" i="13"/>
  <c r="D1606" i="13"/>
  <c r="K1603" i="13"/>
  <c r="E1601" i="13"/>
  <c r="L1598" i="13"/>
  <c r="F1596" i="13"/>
  <c r="M1593" i="13"/>
  <c r="D1652" i="13"/>
  <c r="B1642" i="13"/>
  <c r="L1631" i="13"/>
  <c r="K1624" i="13"/>
  <c r="H1621" i="13"/>
  <c r="D1618" i="13"/>
  <c r="J1615" i="13"/>
  <c r="G1614" i="13"/>
  <c r="D1613" i="13"/>
  <c r="A1612" i="13"/>
  <c r="K1610" i="13"/>
  <c r="H1609" i="13"/>
  <c r="E1608" i="13"/>
  <c r="B1607" i="13"/>
  <c r="L1605" i="13"/>
  <c r="I1604" i="13"/>
  <c r="F1603" i="13"/>
  <c r="C1602" i="13"/>
  <c r="M1600" i="13"/>
  <c r="J1599" i="13"/>
  <c r="G1598" i="13"/>
  <c r="D1597" i="13"/>
  <c r="A1596" i="13"/>
  <c r="K1594" i="13"/>
  <c r="H1593" i="13"/>
  <c r="I1655" i="13"/>
  <c r="J1650" i="13"/>
  <c r="J1645" i="13"/>
  <c r="F1640" i="13"/>
  <c r="D1635" i="13"/>
  <c r="E1630" i="13"/>
  <c r="D1626" i="13"/>
  <c r="E1624" i="13"/>
  <c r="I1622" i="13"/>
  <c r="A1621" i="13"/>
  <c r="F1619" i="13"/>
  <c r="K1617" i="13"/>
  <c r="H1616" i="13"/>
  <c r="E1615" i="13"/>
  <c r="B1614" i="13"/>
  <c r="L1612" i="13"/>
  <c r="I1611" i="13"/>
  <c r="F1610" i="13"/>
  <c r="C1609" i="13"/>
  <c r="M1607" i="13"/>
  <c r="J1606" i="13"/>
  <c r="G1605" i="13"/>
  <c r="D1604" i="13"/>
  <c r="A1603" i="13"/>
  <c r="K1601" i="13"/>
  <c r="H1600" i="13"/>
  <c r="E1599" i="13"/>
  <c r="B1598" i="13"/>
  <c r="L1596" i="13"/>
  <c r="I1595" i="13"/>
  <c r="F1594" i="13"/>
  <c r="C1593" i="13"/>
  <c r="J1646" i="13"/>
  <c r="I1626" i="13"/>
  <c r="J1619" i="13"/>
  <c r="E1614" i="13"/>
  <c r="F1609" i="13"/>
  <c r="G1604" i="13"/>
  <c r="H1599" i="13"/>
  <c r="I1594" i="13"/>
  <c r="A1592" i="13"/>
  <c r="K1590" i="13"/>
  <c r="H1589" i="13"/>
  <c r="E1588" i="13"/>
  <c r="B1587" i="13"/>
  <c r="H1651" i="13"/>
  <c r="E1641" i="13"/>
  <c r="C1631" i="13"/>
  <c r="B1652" i="13"/>
  <c r="M1641" i="13"/>
  <c r="J1631" i="13"/>
  <c r="C1654" i="13"/>
  <c r="C1644" i="13"/>
  <c r="K1633" i="13"/>
  <c r="M1623" i="13"/>
  <c r="F1642" i="13"/>
  <c r="E1618" i="13"/>
  <c r="F1608" i="13"/>
  <c r="H1598" i="13"/>
  <c r="J1640" i="13"/>
  <c r="L1617" i="13"/>
  <c r="J1611" i="13"/>
  <c r="K1606" i="13"/>
  <c r="L1601" i="13"/>
  <c r="M1596" i="13"/>
  <c r="F1654" i="13"/>
  <c r="A1634" i="13"/>
  <c r="D1622" i="13"/>
  <c r="D1616" i="13"/>
  <c r="E1611" i="13"/>
  <c r="F1606" i="13"/>
  <c r="G1601" i="13"/>
  <c r="H1596" i="13"/>
  <c r="F1641" i="13"/>
  <c r="C1608" i="13"/>
  <c r="J1591" i="13"/>
  <c r="K1586" i="13"/>
  <c r="L1584" i="13"/>
  <c r="G1583" i="13"/>
  <c r="D1582" i="13"/>
  <c r="A1581" i="13"/>
  <c r="K1579" i="13"/>
  <c r="H1578" i="13"/>
  <c r="E1577" i="13"/>
  <c r="B1576" i="13"/>
  <c r="L1574" i="13"/>
  <c r="H1573" i="13"/>
  <c r="D1572" i="13"/>
  <c r="M1570" i="13"/>
  <c r="J1569" i="13"/>
  <c r="G1568" i="13"/>
  <c r="D1567" i="13"/>
  <c r="A1566" i="13"/>
  <c r="K1564" i="13"/>
  <c r="H1563" i="13"/>
  <c r="F1645" i="13"/>
  <c r="A1626" i="13"/>
  <c r="D1619" i="13"/>
  <c r="A1614" i="13"/>
  <c r="B1609" i="13"/>
  <c r="C1604" i="13"/>
  <c r="D1599" i="13"/>
  <c r="E1594" i="13"/>
  <c r="M1591" i="13"/>
  <c r="J1590" i="13"/>
  <c r="G1589" i="13"/>
  <c r="D1588" i="13"/>
  <c r="A1587" i="13"/>
  <c r="J1585" i="13"/>
  <c r="F1584" i="13"/>
  <c r="B1583" i="13"/>
  <c r="L1581" i="13"/>
  <c r="I1580" i="13"/>
  <c r="F1579" i="13"/>
  <c r="C1578" i="13"/>
  <c r="M1576" i="13"/>
  <c r="J1575" i="13"/>
  <c r="G1574" i="13"/>
  <c r="C1573" i="13"/>
  <c r="L1571" i="13"/>
  <c r="H1570" i="13"/>
  <c r="E1569" i="13"/>
  <c r="B1568" i="13"/>
  <c r="L1566" i="13"/>
  <c r="I1565" i="13"/>
  <c r="F1564" i="13"/>
  <c r="C1563" i="13"/>
  <c r="J1638" i="13"/>
  <c r="K1623" i="13"/>
  <c r="F1617" i="13"/>
  <c r="G1612" i="13"/>
  <c r="H1607" i="13"/>
  <c r="I1602" i="13"/>
  <c r="J1597" i="13"/>
  <c r="K1592" i="13"/>
  <c r="H1591" i="13"/>
  <c r="E1590" i="13"/>
  <c r="B1589" i="13"/>
  <c r="L1587" i="13"/>
  <c r="I1586" i="13"/>
  <c r="E1585" i="13"/>
  <c r="A1584" i="13"/>
  <c r="J1582" i="13"/>
  <c r="G1581" i="13"/>
  <c r="D1580" i="13"/>
  <c r="A1579" i="13"/>
  <c r="K1577" i="13"/>
  <c r="H1576" i="13"/>
  <c r="E1575" i="13"/>
  <c r="B1574" i="13"/>
  <c r="J1572" i="13"/>
  <c r="F1571" i="13"/>
  <c r="C1570" i="13"/>
  <c r="M1568" i="13"/>
  <c r="J1567" i="13"/>
  <c r="G1566" i="13"/>
  <c r="D1565" i="13"/>
  <c r="A1564" i="13"/>
  <c r="L1652" i="13"/>
  <c r="M1610" i="13"/>
  <c r="F1592" i="13"/>
  <c r="G1587" i="13"/>
  <c r="E1582" i="13"/>
  <c r="F1577" i="13"/>
  <c r="E1572" i="13"/>
  <c r="E1567" i="13"/>
  <c r="L1562" i="13"/>
  <c r="H1561" i="13"/>
  <c r="D1560" i="13"/>
  <c r="M1558" i="13"/>
  <c r="J1557" i="13"/>
  <c r="G1556" i="13"/>
  <c r="D1555" i="13"/>
  <c r="A1554" i="13"/>
  <c r="K1552" i="13"/>
  <c r="H1551" i="13"/>
  <c r="E1550" i="13"/>
  <c r="B1549" i="13"/>
  <c r="L1547" i="13"/>
  <c r="I1546" i="13"/>
  <c r="F1545" i="13"/>
  <c r="C1544" i="13"/>
  <c r="M1542" i="13"/>
  <c r="J1541" i="13"/>
  <c r="G1540" i="13"/>
  <c r="D1539" i="13"/>
  <c r="A1538" i="13"/>
  <c r="I1536" i="13"/>
  <c r="E1535" i="13"/>
  <c r="A1534" i="13"/>
  <c r="I1532" i="13"/>
  <c r="E1531" i="13"/>
  <c r="A1530" i="13"/>
  <c r="I1528" i="13"/>
  <c r="E1527" i="13"/>
  <c r="A1526" i="13"/>
  <c r="I1524" i="13"/>
  <c r="E1523" i="13"/>
  <c r="A1522" i="13"/>
  <c r="I1520" i="13"/>
  <c r="E1519" i="13"/>
  <c r="A1518" i="13"/>
  <c r="I1516" i="13"/>
  <c r="E1515" i="13"/>
  <c r="A1514" i="13"/>
  <c r="K1512" i="13"/>
  <c r="H1511" i="13"/>
  <c r="E1510" i="13"/>
  <c r="B1509" i="13"/>
  <c r="L1507" i="13"/>
  <c r="I1506" i="13"/>
  <c r="F1505" i="13"/>
  <c r="C1504" i="13"/>
  <c r="M1502" i="13"/>
  <c r="J1501" i="13"/>
  <c r="G1500" i="13"/>
  <c r="D1499" i="13"/>
  <c r="A1498" i="13"/>
  <c r="K1496" i="13"/>
  <c r="H1495" i="13"/>
  <c r="E1494" i="13"/>
  <c r="B1493" i="13"/>
  <c r="B1620" i="13"/>
  <c r="L1599" i="13"/>
  <c r="I1589" i="13"/>
  <c r="H1584" i="13"/>
  <c r="H1579" i="13"/>
  <c r="I1574" i="13"/>
  <c r="G1569" i="13"/>
  <c r="H1564" i="13"/>
  <c r="C1562" i="13"/>
  <c r="L1560" i="13"/>
  <c r="G1559" i="13"/>
  <c r="D1558" i="13"/>
  <c r="A1557" i="13"/>
  <c r="K1555" i="13"/>
  <c r="H1554" i="13"/>
  <c r="E1553" i="13"/>
  <c r="B1552" i="13"/>
  <c r="L1550" i="13"/>
  <c r="I1549" i="13"/>
  <c r="F1548" i="13"/>
  <c r="C1547" i="13"/>
  <c r="M1545" i="13"/>
  <c r="J1544" i="13"/>
  <c r="G1543" i="13"/>
  <c r="D1542" i="13"/>
  <c r="A1541" i="13"/>
  <c r="K1539" i="13"/>
  <c r="H1538" i="13"/>
  <c r="D1537" i="13"/>
  <c r="M1535" i="13"/>
  <c r="H1534" i="13"/>
  <c r="D1533" i="13"/>
  <c r="M1531" i="13"/>
  <c r="H1530" i="13"/>
  <c r="D1529" i="13"/>
  <c r="M1527" i="13"/>
  <c r="H1526" i="13"/>
  <c r="D1525" i="13"/>
  <c r="M1523" i="13"/>
  <c r="H1522" i="13"/>
  <c r="D1521" i="13"/>
  <c r="M1519" i="13"/>
  <c r="H1518" i="13"/>
  <c r="D1517" i="13"/>
  <c r="M1515" i="13"/>
  <c r="H1514" i="13"/>
  <c r="E1513" i="13"/>
  <c r="B1512" i="13"/>
  <c r="L1510" i="13"/>
  <c r="I1509" i="13"/>
  <c r="F1508" i="13"/>
  <c r="C1507" i="13"/>
  <c r="M1505" i="13"/>
  <c r="J1504" i="13"/>
  <c r="G1503" i="13"/>
  <c r="D1502" i="13"/>
  <c r="A1501" i="13"/>
  <c r="K1499" i="13"/>
  <c r="H1498" i="13"/>
  <c r="E1497" i="13"/>
  <c r="B1496" i="13"/>
  <c r="L1494" i="13"/>
  <c r="I1493" i="13"/>
  <c r="F1492" i="13"/>
  <c r="I1598" i="13"/>
  <c r="D1584" i="13"/>
  <c r="E1574" i="13"/>
  <c r="D1564" i="13"/>
  <c r="J1560" i="13"/>
  <c r="C1558" i="13"/>
  <c r="J1555" i="13"/>
  <c r="D1553" i="13"/>
  <c r="K1550" i="13"/>
  <c r="E1548" i="13"/>
  <c r="L1545" i="13"/>
  <c r="F1543" i="13"/>
  <c r="M1540" i="13"/>
  <c r="G1538" i="13"/>
  <c r="B1649" i="13"/>
  <c r="I1638" i="13"/>
  <c r="J1628" i="13"/>
  <c r="I1649" i="13"/>
  <c r="D1639" i="13"/>
  <c r="D1629" i="13"/>
  <c r="J1651" i="13"/>
  <c r="G1641" i="13"/>
  <c r="E1631" i="13"/>
  <c r="G1621" i="13"/>
  <c r="C1632" i="13"/>
  <c r="K1615" i="13"/>
  <c r="M1605" i="13"/>
  <c r="B1596" i="13"/>
  <c r="I1630" i="13"/>
  <c r="F1615" i="13"/>
  <c r="G1610" i="13"/>
  <c r="H1605" i="13"/>
  <c r="I1600" i="13"/>
  <c r="J1595" i="13"/>
  <c r="G1649" i="13"/>
  <c r="B1629" i="13"/>
  <c r="I1620" i="13"/>
  <c r="A1615" i="13"/>
  <c r="B1610" i="13"/>
  <c r="C1605" i="13"/>
  <c r="D1600" i="13"/>
  <c r="E1595" i="13"/>
  <c r="I1624" i="13"/>
  <c r="D1603" i="13"/>
  <c r="G1590" i="13"/>
  <c r="L1585" i="13"/>
  <c r="G1584" i="13"/>
  <c r="C1583" i="13"/>
  <c r="M1581" i="13"/>
  <c r="J1580" i="13"/>
  <c r="G1579" i="13"/>
  <c r="D1578" i="13"/>
  <c r="A1577" i="13"/>
  <c r="K1575" i="13"/>
  <c r="H1574" i="13"/>
  <c r="D1573" i="13"/>
  <c r="M1571" i="13"/>
  <c r="I1570" i="13"/>
  <c r="F1569" i="13"/>
  <c r="C1568" i="13"/>
  <c r="M1566" i="13"/>
  <c r="J1565" i="13"/>
  <c r="G1564" i="13"/>
  <c r="D1563" i="13"/>
  <c r="B1640" i="13"/>
  <c r="C1624" i="13"/>
  <c r="J1617" i="13"/>
  <c r="K1612" i="13"/>
  <c r="L1607" i="13"/>
  <c r="M1602" i="13"/>
  <c r="A1598" i="13"/>
  <c r="B1593" i="13"/>
  <c r="I1591" i="13"/>
  <c r="F1590" i="13"/>
  <c r="C1589" i="13"/>
  <c r="M1587" i="13"/>
  <c r="J1586" i="13"/>
  <c r="F1585" i="13"/>
  <c r="B1584" i="13"/>
  <c r="K1582" i="13"/>
  <c r="H1581" i="13"/>
  <c r="E1580" i="13"/>
  <c r="B1579" i="13"/>
  <c r="L1577" i="13"/>
  <c r="I1576" i="13"/>
  <c r="F1575" i="13"/>
  <c r="C1574" i="13"/>
  <c r="L1572" i="13"/>
  <c r="G1571" i="13"/>
  <c r="D1570" i="13"/>
  <c r="A1569" i="13"/>
  <c r="K1567" i="13"/>
  <c r="H1566" i="13"/>
  <c r="E1565" i="13"/>
  <c r="B1564" i="13"/>
  <c r="B1654" i="13"/>
  <c r="J1633" i="13"/>
  <c r="C1622" i="13"/>
  <c r="C1616" i="13"/>
  <c r="D1611" i="13"/>
  <c r="E1606" i="13"/>
  <c r="F1601" i="13"/>
  <c r="G1596" i="13"/>
  <c r="G1592" i="13"/>
  <c r="D1591" i="13"/>
  <c r="A1590" i="13"/>
  <c r="K1588" i="13"/>
  <c r="H1587" i="13"/>
  <c r="E1586" i="13"/>
  <c r="A1585" i="13"/>
  <c r="I1583" i="13"/>
  <c r="F1582" i="13"/>
  <c r="C1581" i="13"/>
  <c r="M1579" i="13"/>
  <c r="J1578" i="13"/>
  <c r="G1577" i="13"/>
  <c r="D1576" i="13"/>
  <c r="A1575" i="13"/>
  <c r="J1573" i="13"/>
  <c r="F1572" i="13"/>
  <c r="B1571" i="13"/>
  <c r="L1569" i="13"/>
  <c r="I1568" i="13"/>
  <c r="F1567" i="13"/>
  <c r="C1566" i="13"/>
  <c r="M1564" i="13"/>
  <c r="J1563" i="13"/>
  <c r="G1632" i="13"/>
  <c r="A1606" i="13"/>
  <c r="C1591" i="13"/>
  <c r="D1586" i="13"/>
  <c r="B1581" i="13"/>
  <c r="C1576" i="13"/>
  <c r="A1571" i="13"/>
  <c r="B1566" i="13"/>
  <c r="H1562" i="13"/>
  <c r="D1561" i="13"/>
  <c r="M1559" i="13"/>
  <c r="I1558" i="13"/>
  <c r="F1557" i="13"/>
  <c r="C1556" i="13"/>
  <c r="M1554" i="13"/>
  <c r="J1553" i="13"/>
  <c r="G1552" i="13"/>
  <c r="D1551" i="13"/>
  <c r="A1550" i="13"/>
  <c r="K1548" i="13"/>
  <c r="H1547" i="13"/>
  <c r="E1546" i="13"/>
  <c r="B1545" i="13"/>
  <c r="L1543" i="13"/>
  <c r="I1542" i="13"/>
  <c r="F1541" i="13"/>
  <c r="C1540" i="13"/>
  <c r="M1538" i="13"/>
  <c r="I1537" i="13"/>
  <c r="E1536" i="13"/>
  <c r="A1535" i="13"/>
  <c r="I1533" i="13"/>
  <c r="E1532" i="13"/>
  <c r="A1531" i="13"/>
  <c r="I1529" i="13"/>
  <c r="E1528" i="13"/>
  <c r="A1527" i="13"/>
  <c r="I1525" i="13"/>
  <c r="E1524" i="13"/>
  <c r="A1523" i="13"/>
  <c r="I1521" i="13"/>
  <c r="E1520" i="13"/>
  <c r="A1519" i="13"/>
  <c r="I1517" i="13"/>
  <c r="E1516" i="13"/>
  <c r="A1515" i="13"/>
  <c r="J1513" i="13"/>
  <c r="G1512" i="13"/>
  <c r="D1511" i="13"/>
  <c r="A1510" i="13"/>
  <c r="K1508" i="13"/>
  <c r="H1507" i="13"/>
  <c r="E1506" i="13"/>
  <c r="B1505" i="13"/>
  <c r="L1503" i="13"/>
  <c r="I1502" i="13"/>
  <c r="F1501" i="13"/>
  <c r="C1500" i="13"/>
  <c r="M1498" i="13"/>
  <c r="J1497" i="13"/>
  <c r="G1496" i="13"/>
  <c r="D1495" i="13"/>
  <c r="A1494" i="13"/>
  <c r="K1492" i="13"/>
  <c r="I1614" i="13"/>
  <c r="M1594" i="13"/>
  <c r="F1588" i="13"/>
  <c r="D1583" i="13"/>
  <c r="E1578" i="13"/>
  <c r="E1573" i="13"/>
  <c r="D1568" i="13"/>
  <c r="E1563" i="13"/>
  <c r="L1561" i="13"/>
  <c r="G1560" i="13"/>
  <c r="C1559" i="13"/>
  <c r="M1557" i="13"/>
  <c r="J1556" i="13"/>
  <c r="G1555" i="13"/>
  <c r="D1554" i="13"/>
  <c r="A1553" i="13"/>
  <c r="K1551" i="13"/>
  <c r="H1550" i="13"/>
  <c r="E1549" i="13"/>
  <c r="B1548" i="13"/>
  <c r="L1546" i="13"/>
  <c r="I1545" i="13"/>
  <c r="F1544" i="13"/>
  <c r="C1543" i="13"/>
  <c r="M1541" i="13"/>
  <c r="J1540" i="13"/>
  <c r="G1539" i="13"/>
  <c r="D1538" i="13"/>
  <c r="M1536" i="13"/>
  <c r="H1535" i="13"/>
  <c r="D1534" i="13"/>
  <c r="M1532" i="13"/>
  <c r="H1531" i="13"/>
  <c r="D1530" i="13"/>
  <c r="M1528" i="13"/>
  <c r="H1527" i="13"/>
  <c r="D1526" i="13"/>
  <c r="M1524" i="13"/>
  <c r="H1523" i="13"/>
  <c r="D1522" i="13"/>
  <c r="M1520" i="13"/>
  <c r="H1519" i="13"/>
  <c r="D1518" i="13"/>
  <c r="M1516" i="13"/>
  <c r="H1515" i="13"/>
  <c r="D1514" i="13"/>
  <c r="A1513" i="13"/>
  <c r="K1511" i="13"/>
  <c r="H1510" i="13"/>
  <c r="E1509" i="13"/>
  <c r="B1508" i="13"/>
  <c r="L1506" i="13"/>
  <c r="I1505" i="13"/>
  <c r="F1504" i="13"/>
  <c r="C1503" i="13"/>
  <c r="M1501" i="13"/>
  <c r="J1500" i="13"/>
  <c r="G1499" i="13"/>
  <c r="D1498" i="13"/>
  <c r="A1497" i="13"/>
  <c r="K1495" i="13"/>
  <c r="H1494" i="13"/>
  <c r="E1493" i="13"/>
  <c r="J1642" i="13"/>
  <c r="K1591" i="13"/>
  <c r="J1581" i="13"/>
  <c r="I1571" i="13"/>
  <c r="J1562" i="13"/>
  <c r="B1560" i="13"/>
  <c r="H1557" i="13"/>
  <c r="B1555" i="13"/>
  <c r="I1552" i="13"/>
  <c r="C1550" i="13"/>
  <c r="J1547" i="13"/>
  <c r="D1545" i="13"/>
  <c r="K1542" i="13"/>
  <c r="E1540" i="13"/>
  <c r="H1656" i="13"/>
  <c r="I1646" i="13"/>
  <c r="B1636" i="13"/>
  <c r="C1657" i="13"/>
  <c r="C1647" i="13"/>
  <c r="I1636" i="13"/>
  <c r="K1626" i="13"/>
  <c r="D1649" i="13"/>
  <c r="L1638" i="13"/>
  <c r="L1628" i="13"/>
  <c r="A1619" i="13"/>
  <c r="M1624" i="13"/>
  <c r="E1613" i="13"/>
  <c r="G1603" i="13"/>
  <c r="I1593" i="13"/>
  <c r="F1624" i="13"/>
  <c r="C1614" i="13"/>
  <c r="D1609" i="13"/>
  <c r="E1604" i="13"/>
  <c r="F1599" i="13"/>
  <c r="G1594" i="13"/>
  <c r="F1644" i="13"/>
  <c r="I1625" i="13"/>
  <c r="M1618" i="13"/>
  <c r="K1613" i="13"/>
  <c r="L1608" i="13"/>
  <c r="M1603" i="13"/>
  <c r="A1599" i="13"/>
  <c r="B1594" i="13"/>
  <c r="A1618" i="13"/>
  <c r="E1598" i="13"/>
  <c r="D1589" i="13"/>
  <c r="G1585" i="13"/>
  <c r="C1584" i="13"/>
  <c r="L1582" i="13"/>
  <c r="I1581" i="13"/>
  <c r="F1580" i="13"/>
  <c r="C1579" i="13"/>
  <c r="M1577" i="13"/>
  <c r="J1576" i="13"/>
  <c r="G1575" i="13"/>
  <c r="D1574" i="13"/>
  <c r="M1572" i="13"/>
  <c r="H1571" i="13"/>
  <c r="E1570" i="13"/>
  <c r="B1569" i="13"/>
  <c r="L1567" i="13"/>
  <c r="I1566" i="13"/>
  <c r="F1565" i="13"/>
  <c r="C1564" i="13"/>
  <c r="E1655" i="13"/>
  <c r="M1634" i="13"/>
  <c r="H1622" i="13"/>
  <c r="G1616" i="13"/>
  <c r="H1611" i="13"/>
  <c r="I1606" i="13"/>
  <c r="J1601" i="13"/>
  <c r="K1596" i="13"/>
  <c r="H1592" i="13"/>
  <c r="E1591" i="13"/>
  <c r="B1590" i="13"/>
  <c r="L1588" i="13"/>
  <c r="I1587" i="13"/>
  <c r="F1586" i="13"/>
  <c r="B1585" i="13"/>
  <c r="J1583" i="13"/>
  <c r="G1582" i="13"/>
  <c r="D1581" i="13"/>
  <c r="A1580" i="13"/>
  <c r="K1578" i="13"/>
  <c r="H1577" i="13"/>
  <c r="E1576" i="13"/>
  <c r="B1575" i="13"/>
  <c r="L1573" i="13"/>
  <c r="G1572" i="13"/>
  <c r="C1571" i="13"/>
  <c r="M1569" i="13"/>
  <c r="J1568" i="13"/>
  <c r="G1567" i="13"/>
  <c r="D1566" i="13"/>
  <c r="A1565" i="13"/>
  <c r="K1563" i="13"/>
  <c r="C1649" i="13"/>
  <c r="K1628" i="13"/>
  <c r="G1620" i="13"/>
  <c r="M1614" i="13"/>
  <c r="A1610" i="13"/>
  <c r="B1605" i="13"/>
  <c r="C1600" i="13"/>
  <c r="D1595" i="13"/>
  <c r="C1592" i="13"/>
  <c r="M1590" i="13"/>
  <c r="J1589" i="13"/>
  <c r="G1588" i="13"/>
  <c r="D1587" i="13"/>
  <c r="A1586" i="13"/>
  <c r="I1584" i="13"/>
  <c r="E1583" i="13"/>
  <c r="B1582" i="13"/>
  <c r="L1580" i="13"/>
  <c r="I1579" i="13"/>
  <c r="F1578" i="13"/>
  <c r="C1577" i="13"/>
  <c r="M1575" i="13"/>
  <c r="J1574" i="13"/>
  <c r="F1573" i="13"/>
  <c r="B1572" i="13"/>
  <c r="K1570" i="13"/>
  <c r="H1569" i="13"/>
  <c r="E1568" i="13"/>
  <c r="B1567" i="13"/>
  <c r="L1565" i="13"/>
  <c r="I1564" i="13"/>
  <c r="F1563" i="13"/>
  <c r="J1621" i="13"/>
  <c r="B1601" i="13"/>
  <c r="M1589" i="13"/>
  <c r="M1584" i="13"/>
  <c r="L1579" i="13"/>
  <c r="M1574" i="13"/>
  <c r="K1569" i="13"/>
  <c r="L1564" i="13"/>
  <c r="D1562" i="13"/>
  <c r="M1560" i="13"/>
  <c r="H1559" i="13"/>
  <c r="E1558" i="13"/>
  <c r="B1557" i="13"/>
  <c r="L1555" i="13"/>
  <c r="I1554" i="13"/>
  <c r="F1553" i="13"/>
  <c r="C1552" i="13"/>
  <c r="M1550" i="13"/>
  <c r="J1549" i="13"/>
  <c r="G1548" i="13"/>
  <c r="D1547" i="13"/>
  <c r="A1546" i="13"/>
  <c r="K1544" i="13"/>
  <c r="H1543" i="13"/>
  <c r="E1542" i="13"/>
  <c r="B1541" i="13"/>
  <c r="L1539" i="13"/>
  <c r="I1538" i="13"/>
  <c r="E1537" i="13"/>
  <c r="A1536" i="13"/>
  <c r="I1534" i="13"/>
  <c r="E1533" i="13"/>
  <c r="A1532" i="13"/>
  <c r="I1530" i="13"/>
  <c r="E1529" i="13"/>
  <c r="A1528" i="13"/>
  <c r="I1526" i="13"/>
  <c r="E1525" i="13"/>
  <c r="A1524" i="13"/>
  <c r="I1522" i="13"/>
  <c r="E1521" i="13"/>
  <c r="A1520" i="13"/>
  <c r="I1518" i="13"/>
  <c r="E1517" i="13"/>
  <c r="A1516" i="13"/>
  <c r="I1514" i="13"/>
  <c r="F1513" i="13"/>
  <c r="C1512" i="13"/>
  <c r="M1510" i="13"/>
  <c r="J1509" i="13"/>
  <c r="G1508" i="13"/>
  <c r="D1507" i="13"/>
  <c r="A1506" i="13"/>
  <c r="K1504" i="13"/>
  <c r="H1503" i="13"/>
  <c r="E1502" i="13"/>
  <c r="B1501" i="13"/>
  <c r="L1499" i="13"/>
  <c r="I1498" i="13"/>
  <c r="F1497" i="13"/>
  <c r="C1496" i="13"/>
  <c r="M1494" i="13"/>
  <c r="J1493" i="13"/>
  <c r="M1647" i="13"/>
  <c r="J1609" i="13"/>
  <c r="B1592" i="13"/>
  <c r="C1587" i="13"/>
  <c r="A1582" i="13"/>
  <c r="B1577" i="13"/>
  <c r="A1572" i="13"/>
  <c r="A1567" i="13"/>
  <c r="K1562" i="13"/>
  <c r="G1561" i="13"/>
  <c r="C1560" i="13"/>
  <c r="L1558" i="13"/>
  <c r="I1557" i="13"/>
  <c r="F1556" i="13"/>
  <c r="C1555" i="13"/>
  <c r="M1553" i="13"/>
  <c r="J1552" i="13"/>
  <c r="G1551" i="13"/>
  <c r="D1550" i="13"/>
  <c r="A1549" i="13"/>
  <c r="K1547" i="13"/>
  <c r="H1546" i="13"/>
  <c r="E1545" i="13"/>
  <c r="B1544" i="13"/>
  <c r="L1542" i="13"/>
  <c r="I1541" i="13"/>
  <c r="F1540" i="13"/>
  <c r="C1539" i="13"/>
  <c r="M1537" i="13"/>
  <c r="H1536" i="13"/>
  <c r="D1535" i="13"/>
  <c r="M1533" i="13"/>
  <c r="H1532" i="13"/>
  <c r="D1531" i="13"/>
  <c r="M1529" i="13"/>
  <c r="H1528" i="13"/>
  <c r="D1527" i="13"/>
  <c r="M1525" i="13"/>
  <c r="H1524" i="13"/>
  <c r="D1523" i="13"/>
  <c r="M1521" i="13"/>
  <c r="H1520" i="13"/>
  <c r="D1519" i="13"/>
  <c r="M1517" i="13"/>
  <c r="H1516" i="13"/>
  <c r="D1515" i="13"/>
  <c r="M1513" i="13"/>
  <c r="J1512" i="13"/>
  <c r="G1511" i="13"/>
  <c r="D1510" i="13"/>
  <c r="A1509" i="13"/>
  <c r="K1507" i="13"/>
  <c r="H1506" i="13"/>
  <c r="E1505" i="13"/>
  <c r="B1504" i="13"/>
  <c r="L1502" i="13"/>
  <c r="I1501" i="13"/>
  <c r="F1500" i="13"/>
  <c r="C1499" i="13"/>
  <c r="M1497" i="13"/>
  <c r="J1496" i="13"/>
  <c r="G1495" i="13"/>
  <c r="D1494" i="13"/>
  <c r="A1493" i="13"/>
  <c r="G1618" i="13"/>
  <c r="E1589" i="13"/>
  <c r="D1579" i="13"/>
  <c r="C1569" i="13"/>
  <c r="B1562" i="13"/>
  <c r="F1559" i="13"/>
  <c r="M1556" i="13"/>
  <c r="G1554" i="13"/>
  <c r="A1552" i="13"/>
  <c r="H1549" i="13"/>
  <c r="B1547" i="13"/>
  <c r="I1544" i="13"/>
  <c r="C1542" i="13"/>
  <c r="J1539" i="13"/>
  <c r="A1644" i="13"/>
  <c r="C1634" i="13"/>
  <c r="F1626" i="13"/>
  <c r="A1601" i="13"/>
  <c r="A1608" i="13"/>
  <c r="B1639" i="13"/>
  <c r="I1607" i="13"/>
  <c r="B1613" i="13"/>
  <c r="L1583" i="13"/>
  <c r="L1578" i="13"/>
  <c r="M1573" i="13"/>
  <c r="K1568" i="13"/>
  <c r="L1563" i="13"/>
  <c r="D1615" i="13"/>
  <c r="H1595" i="13"/>
  <c r="H1588" i="13"/>
  <c r="F1583" i="13"/>
  <c r="G1578" i="13"/>
  <c r="G1573" i="13"/>
  <c r="F1568" i="13"/>
  <c r="G1563" i="13"/>
  <c r="J1613" i="13"/>
  <c r="A1594" i="13"/>
  <c r="C1588" i="13"/>
  <c r="A1583" i="13"/>
  <c r="B1578" i="13"/>
  <c r="B1573" i="13"/>
  <c r="A1568" i="13"/>
  <c r="B1563" i="13"/>
  <c r="H1583" i="13"/>
  <c r="I1563" i="13"/>
  <c r="A1558" i="13"/>
  <c r="B1553" i="13"/>
  <c r="C1548" i="13"/>
  <c r="D1543" i="13"/>
  <c r="E1538" i="13"/>
  <c r="A1533" i="13"/>
  <c r="I1527" i="13"/>
  <c r="E1522" i="13"/>
  <c r="A1517" i="13"/>
  <c r="L1511" i="13"/>
  <c r="M1506" i="13"/>
  <c r="A1502" i="13"/>
  <c r="B1497" i="13"/>
  <c r="H1627" i="13"/>
  <c r="K1580" i="13"/>
  <c r="G1562" i="13"/>
  <c r="E1557" i="13"/>
  <c r="F1552" i="13"/>
  <c r="G1547" i="13"/>
  <c r="H1542" i="13"/>
  <c r="H1537" i="13"/>
  <c r="D1532" i="13"/>
  <c r="M1526" i="13"/>
  <c r="H1521" i="13"/>
  <c r="D1516" i="13"/>
  <c r="C1511" i="13"/>
  <c r="D1506" i="13"/>
  <c r="E1501" i="13"/>
  <c r="F1496" i="13"/>
  <c r="G1608" i="13"/>
  <c r="F1561" i="13"/>
  <c r="F1551" i="13"/>
  <c r="H1541" i="13"/>
  <c r="G1536" i="13"/>
  <c r="L1533" i="13"/>
  <c r="C1531" i="13"/>
  <c r="G1528" i="13"/>
  <c r="L1525" i="13"/>
  <c r="C1523" i="13"/>
  <c r="G1520" i="13"/>
  <c r="L1517" i="13"/>
  <c r="C1515" i="13"/>
  <c r="I1512" i="13"/>
  <c r="C1510" i="13"/>
  <c r="J1507" i="13"/>
  <c r="D1505" i="13"/>
  <c r="K1502" i="13"/>
  <c r="E1500" i="13"/>
  <c r="L1497" i="13"/>
  <c r="F1495" i="13"/>
  <c r="M1492" i="13"/>
  <c r="G1491" i="13"/>
  <c r="D1490" i="13"/>
  <c r="M1488" i="13"/>
  <c r="H1487" i="13"/>
  <c r="D1486" i="13"/>
  <c r="A1485" i="13"/>
  <c r="I1483" i="13"/>
  <c r="E1482" i="13"/>
  <c r="A1481" i="13"/>
  <c r="I1479" i="13"/>
  <c r="E1478" i="13"/>
  <c r="A1477" i="13"/>
  <c r="I1475" i="13"/>
  <c r="E1474" i="13"/>
  <c r="A1473" i="13"/>
  <c r="I1471" i="13"/>
  <c r="E1470" i="13"/>
  <c r="A1469" i="13"/>
  <c r="I1467" i="13"/>
  <c r="E1466" i="13"/>
  <c r="A1465" i="13"/>
  <c r="I1463" i="13"/>
  <c r="E1462" i="13"/>
  <c r="A1461" i="13"/>
  <c r="I1459" i="13"/>
  <c r="E1458" i="13"/>
  <c r="B1457" i="13"/>
  <c r="L1455" i="13"/>
  <c r="I1454" i="13"/>
  <c r="F1453" i="13"/>
  <c r="C1452" i="13"/>
  <c r="M1450" i="13"/>
  <c r="F1597" i="13"/>
  <c r="M1583" i="13"/>
  <c r="A1574" i="13"/>
  <c r="M1563" i="13"/>
  <c r="I1560" i="13"/>
  <c r="B1558" i="13"/>
  <c r="I1555" i="13"/>
  <c r="C1553" i="13"/>
  <c r="J1550" i="13"/>
  <c r="D1548" i="13"/>
  <c r="K1545" i="13"/>
  <c r="E1543" i="13"/>
  <c r="L1540" i="13"/>
  <c r="F1538" i="13"/>
  <c r="J1535" i="13"/>
  <c r="B1533" i="13"/>
  <c r="F1530" i="13"/>
  <c r="J1527" i="13"/>
  <c r="B1525" i="13"/>
  <c r="F1522" i="13"/>
  <c r="J1519" i="13"/>
  <c r="B1517" i="13"/>
  <c r="F1514" i="13"/>
  <c r="M1511" i="13"/>
  <c r="G1509" i="13"/>
  <c r="A1507" i="13"/>
  <c r="H1504" i="13"/>
  <c r="B1502" i="13"/>
  <c r="I1499" i="13"/>
  <c r="C1497" i="13"/>
  <c r="J1494" i="13"/>
  <c r="E1492" i="13"/>
  <c r="B1491" i="13"/>
  <c r="L1489" i="13"/>
  <c r="G1488" i="13"/>
  <c r="C1487" i="13"/>
  <c r="L1485" i="13"/>
  <c r="H1484" i="13"/>
  <c r="D1483" i="13"/>
  <c r="M1481" i="13"/>
  <c r="H1480" i="13"/>
  <c r="D1479" i="13"/>
  <c r="M1477" i="13"/>
  <c r="H1476" i="13"/>
  <c r="D1475" i="13"/>
  <c r="M1473" i="13"/>
  <c r="H1472" i="13"/>
  <c r="D1471" i="13"/>
  <c r="M1469" i="13"/>
  <c r="H1468" i="13"/>
  <c r="D1467" i="13"/>
  <c r="M1465" i="13"/>
  <c r="H1464" i="13"/>
  <c r="D1463" i="13"/>
  <c r="M1461" i="13"/>
  <c r="H1460" i="13"/>
  <c r="D1459" i="13"/>
  <c r="M1457" i="13"/>
  <c r="J1456" i="13"/>
  <c r="G1455" i="13"/>
  <c r="D1454" i="13"/>
  <c r="A1453" i="13"/>
  <c r="K1451" i="13"/>
  <c r="H1450" i="13"/>
  <c r="E1449" i="13"/>
  <c r="B1448" i="13"/>
  <c r="L1446" i="13"/>
  <c r="I1445" i="13"/>
  <c r="F1444" i="13"/>
  <c r="C1443" i="13"/>
  <c r="M1441" i="13"/>
  <c r="H1440" i="13"/>
  <c r="D1439" i="13"/>
  <c r="M1437" i="13"/>
  <c r="H1436" i="13"/>
  <c r="D1435" i="13"/>
  <c r="H1590" i="13"/>
  <c r="F1570" i="13"/>
  <c r="J1559" i="13"/>
  <c r="K1554" i="13"/>
  <c r="L1549" i="13"/>
  <c r="M1544" i="13"/>
  <c r="A1540" i="13"/>
  <c r="L1534" i="13"/>
  <c r="G1529" i="13"/>
  <c r="C1524" i="13"/>
  <c r="L1518" i="13"/>
  <c r="H1513" i="13"/>
  <c r="I1508" i="13"/>
  <c r="J1503" i="13"/>
  <c r="K1498" i="13"/>
  <c r="L1493" i="13"/>
  <c r="J1490" i="13"/>
  <c r="B1488" i="13"/>
  <c r="G1485" i="13"/>
  <c r="L1482" i="13"/>
  <c r="C1480" i="13"/>
  <c r="G1477" i="13"/>
  <c r="L1474" i="13"/>
  <c r="C1472" i="13"/>
  <c r="G1469" i="13"/>
  <c r="L1466" i="13"/>
  <c r="C1464" i="13"/>
  <c r="G1461" i="13"/>
  <c r="L1458" i="13"/>
  <c r="E1456" i="13"/>
  <c r="L1453" i="13"/>
  <c r="F1451" i="13"/>
  <c r="H1449" i="13"/>
  <c r="M1447" i="13"/>
  <c r="E1446" i="13"/>
  <c r="I1444" i="13"/>
  <c r="A1443" i="13"/>
  <c r="E1441" i="13"/>
  <c r="G1439" i="13"/>
  <c r="J1437" i="13"/>
  <c r="A1436" i="13"/>
  <c r="E1434" i="13"/>
  <c r="A1433" i="13"/>
  <c r="I1431" i="13"/>
  <c r="E1430" i="13"/>
  <c r="F1623" i="13"/>
  <c r="C1580" i="13"/>
  <c r="E1562" i="13"/>
  <c r="C1557" i="13"/>
  <c r="D1552" i="13"/>
  <c r="E1547" i="13"/>
  <c r="F1542" i="13"/>
  <c r="F1537" i="13"/>
  <c r="B1532" i="13"/>
  <c r="J1526" i="13"/>
  <c r="F1521" i="13"/>
  <c r="B1516" i="13"/>
  <c r="A1511" i="13"/>
  <c r="B1506" i="13"/>
  <c r="C1501" i="13"/>
  <c r="D1496" i="13"/>
  <c r="L1491" i="13"/>
  <c r="E1489" i="13"/>
  <c r="I1486" i="13"/>
  <c r="B1484" i="13"/>
  <c r="I1633" i="13"/>
  <c r="J1656" i="13"/>
  <c r="H1652" i="13"/>
  <c r="A1651" i="13"/>
  <c r="B1603" i="13"/>
  <c r="L1623" i="13"/>
  <c r="J1602" i="13"/>
  <c r="F1593" i="13"/>
  <c r="H1582" i="13"/>
  <c r="I1577" i="13"/>
  <c r="H1572" i="13"/>
  <c r="H1567" i="13"/>
  <c r="F1650" i="13"/>
  <c r="E1610" i="13"/>
  <c r="D1592" i="13"/>
  <c r="E1587" i="13"/>
  <c r="C1582" i="13"/>
  <c r="D1577" i="13"/>
  <c r="C1572" i="13"/>
  <c r="C1567" i="13"/>
  <c r="B1644" i="13"/>
  <c r="K1608" i="13"/>
  <c r="L1591" i="13"/>
  <c r="M1586" i="13"/>
  <c r="K1581" i="13"/>
  <c r="L1576" i="13"/>
  <c r="J1571" i="13"/>
  <c r="K1566" i="13"/>
  <c r="L1615" i="13"/>
  <c r="I1578" i="13"/>
  <c r="M1561" i="13"/>
  <c r="K1556" i="13"/>
  <c r="L1551" i="13"/>
  <c r="M1546" i="13"/>
  <c r="A1542" i="13"/>
  <c r="A1537" i="13"/>
  <c r="I1531" i="13"/>
  <c r="E1526" i="13"/>
  <c r="A1521" i="13"/>
  <c r="I1515" i="13"/>
  <c r="I1510" i="13"/>
  <c r="J1505" i="13"/>
  <c r="K1500" i="13"/>
  <c r="L1495" i="13"/>
  <c r="K1604" i="13"/>
  <c r="L1575" i="13"/>
  <c r="C1561" i="13"/>
  <c r="B1556" i="13"/>
  <c r="C1551" i="13"/>
  <c r="D1546" i="13"/>
  <c r="E1541" i="13"/>
  <c r="D1536" i="13"/>
  <c r="M1530" i="13"/>
  <c r="H1525" i="13"/>
  <c r="D1520" i="13"/>
  <c r="M1514" i="13"/>
  <c r="M1509" i="13"/>
  <c r="A1505" i="13"/>
  <c r="B1500" i="13"/>
  <c r="C1495" i="13"/>
  <c r="L1586" i="13"/>
  <c r="K1558" i="13"/>
  <c r="M1548" i="13"/>
  <c r="B1539" i="13"/>
  <c r="L1535" i="13"/>
  <c r="C1533" i="13"/>
  <c r="G1530" i="13"/>
  <c r="L1527" i="13"/>
  <c r="C1525" i="13"/>
  <c r="G1522" i="13"/>
  <c r="L1519" i="13"/>
  <c r="C1517" i="13"/>
  <c r="G1514" i="13"/>
  <c r="A1512" i="13"/>
  <c r="H1509" i="13"/>
  <c r="B1507" i="13"/>
  <c r="I1504" i="13"/>
  <c r="C1502" i="13"/>
  <c r="J1499" i="13"/>
  <c r="D1497" i="13"/>
  <c r="K1494" i="13"/>
  <c r="G1492" i="13"/>
  <c r="C1491" i="13"/>
  <c r="M1489" i="13"/>
  <c r="H1488" i="13"/>
  <c r="D1487" i="13"/>
  <c r="M1485" i="13"/>
  <c r="I1484" i="13"/>
  <c r="E1483" i="13"/>
  <c r="A1482" i="13"/>
  <c r="I1480" i="13"/>
  <c r="E1479" i="13"/>
  <c r="A1478" i="13"/>
  <c r="I1476" i="13"/>
  <c r="E1475" i="13"/>
  <c r="A1474" i="13"/>
  <c r="I1472" i="13"/>
  <c r="E1471" i="13"/>
  <c r="A1470" i="13"/>
  <c r="I1468" i="13"/>
  <c r="E1467" i="13"/>
  <c r="A1466" i="13"/>
  <c r="I1464" i="13"/>
  <c r="E1463" i="13"/>
  <c r="A1462" i="13"/>
  <c r="I1460" i="13"/>
  <c r="E1459" i="13"/>
  <c r="A1458" i="13"/>
  <c r="K1456" i="13"/>
  <c r="H1455" i="13"/>
  <c r="E1454" i="13"/>
  <c r="B1453" i="13"/>
  <c r="L1451" i="13"/>
  <c r="F1637" i="13"/>
  <c r="G1591" i="13"/>
  <c r="F1581" i="13"/>
  <c r="E1571" i="13"/>
  <c r="I1562" i="13"/>
  <c r="A1560" i="13"/>
  <c r="G1557" i="13"/>
  <c r="A1555" i="13"/>
  <c r="H1552" i="13"/>
  <c r="B1550" i="13"/>
  <c r="I1547" i="13"/>
  <c r="C1545" i="13"/>
  <c r="J1542" i="13"/>
  <c r="D1540" i="13"/>
  <c r="J1537" i="13"/>
  <c r="B1535" i="13"/>
  <c r="F1532" i="13"/>
  <c r="J1529" i="13"/>
  <c r="B1527" i="13"/>
  <c r="F1524" i="13"/>
  <c r="J1521" i="13"/>
  <c r="B1519" i="13"/>
  <c r="F1516" i="13"/>
  <c r="K1513" i="13"/>
  <c r="E1511" i="13"/>
  <c r="L1508" i="13"/>
  <c r="F1506" i="13"/>
  <c r="M1503" i="13"/>
  <c r="G1501" i="13"/>
  <c r="A1499" i="13"/>
  <c r="H1496" i="13"/>
  <c r="B1494" i="13"/>
  <c r="A1492" i="13"/>
  <c r="K1490" i="13"/>
  <c r="G1489" i="13"/>
  <c r="C1488" i="13"/>
  <c r="L1486" i="13"/>
  <c r="H1485" i="13"/>
  <c r="D1484" i="13"/>
  <c r="M1482" i="13"/>
  <c r="H1481" i="13"/>
  <c r="D1480" i="13"/>
  <c r="M1478" i="13"/>
  <c r="H1477" i="13"/>
  <c r="D1476" i="13"/>
  <c r="M1474" i="13"/>
  <c r="H1473" i="13"/>
  <c r="D1472" i="13"/>
  <c r="M1470" i="13"/>
  <c r="H1469" i="13"/>
  <c r="D1468" i="13"/>
  <c r="M1466" i="13"/>
  <c r="H1465" i="13"/>
  <c r="D1464" i="13"/>
  <c r="M1462" i="13"/>
  <c r="H1461" i="13"/>
  <c r="D1460" i="13"/>
  <c r="M1458" i="13"/>
  <c r="I1457" i="13"/>
  <c r="F1456" i="13"/>
  <c r="C1455" i="13"/>
  <c r="M1453" i="13"/>
  <c r="J1452" i="13"/>
  <c r="G1451" i="13"/>
  <c r="D1450" i="13"/>
  <c r="A1449" i="13"/>
  <c r="K1447" i="13"/>
  <c r="H1446" i="13"/>
  <c r="E1445" i="13"/>
  <c r="B1444" i="13"/>
  <c r="L1442" i="13"/>
  <c r="H1441" i="13"/>
  <c r="D1440" i="13"/>
  <c r="M1438" i="13"/>
  <c r="H1437" i="13"/>
  <c r="D1436" i="13"/>
  <c r="M1434" i="13"/>
  <c r="H1585" i="13"/>
  <c r="G1565" i="13"/>
  <c r="G1558" i="13"/>
  <c r="H1553" i="13"/>
  <c r="I1548" i="13"/>
  <c r="J1543" i="13"/>
  <c r="K1538" i="13"/>
  <c r="G1533" i="13"/>
  <c r="C1528" i="13"/>
  <c r="L1522" i="13"/>
  <c r="G1517" i="13"/>
  <c r="E1512" i="13"/>
  <c r="F1507" i="13"/>
  <c r="G1502" i="13"/>
  <c r="H1497" i="13"/>
  <c r="I1492" i="13"/>
  <c r="B1490" i="13"/>
  <c r="F1487" i="13"/>
  <c r="L1484" i="13"/>
  <c r="C1482" i="13"/>
  <c r="G1479" i="13"/>
  <c r="L1476" i="13"/>
  <c r="C1474" i="13"/>
  <c r="G1471" i="13"/>
  <c r="L1468" i="13"/>
  <c r="C1466" i="13"/>
  <c r="G1463" i="13"/>
  <c r="L1460" i="13"/>
  <c r="C1458" i="13"/>
  <c r="J1455" i="13"/>
  <c r="D1453" i="13"/>
  <c r="K1450" i="13"/>
  <c r="C1449" i="13"/>
  <c r="H1447" i="13"/>
  <c r="L1445" i="13"/>
  <c r="D1444" i="13"/>
  <c r="I1442" i="13"/>
  <c r="L1440" i="13"/>
  <c r="B1439" i="13"/>
  <c r="E1437" i="13"/>
  <c r="G1435" i="13"/>
  <c r="A1434" i="13"/>
  <c r="I1432" i="13"/>
  <c r="E1431" i="13"/>
  <c r="A1430" i="13"/>
  <c r="E1602" i="13"/>
  <c r="D1575" i="13"/>
  <c r="A1561" i="13"/>
  <c r="M1555" i="13"/>
  <c r="A1551" i="13"/>
  <c r="B1546" i="13"/>
  <c r="C1541" i="13"/>
  <c r="B1536" i="13"/>
  <c r="J1530" i="13"/>
  <c r="F1525" i="13"/>
  <c r="B1520" i="13"/>
  <c r="J1514" i="13"/>
  <c r="K1509" i="13"/>
  <c r="L1504" i="13"/>
  <c r="M1499" i="13"/>
  <c r="A1495" i="13"/>
  <c r="D1491" i="13"/>
  <c r="I1488" i="13"/>
  <c r="A1486" i="13"/>
  <c r="F1483" i="13"/>
  <c r="H1654" i="13"/>
  <c r="K1646" i="13"/>
  <c r="I1621" i="13"/>
  <c r="B1621" i="13"/>
  <c r="C1598" i="13"/>
  <c r="G1617" i="13"/>
  <c r="K1597" i="13"/>
  <c r="A1588" i="13"/>
  <c r="E1581" i="13"/>
  <c r="F1576" i="13"/>
  <c r="D1571" i="13"/>
  <c r="E1566" i="13"/>
  <c r="A1630" i="13"/>
  <c r="F1605" i="13"/>
  <c r="A1591" i="13"/>
  <c r="B1586" i="13"/>
  <c r="M1580" i="13"/>
  <c r="A1576" i="13"/>
  <c r="L1570" i="13"/>
  <c r="M1565" i="13"/>
  <c r="F1625" i="13"/>
  <c r="L1603" i="13"/>
  <c r="I1590" i="13"/>
  <c r="I1585" i="13"/>
  <c r="H1580" i="13"/>
  <c r="I1575" i="13"/>
  <c r="G1570" i="13"/>
  <c r="H1565" i="13"/>
  <c r="C1596" i="13"/>
  <c r="I1573" i="13"/>
  <c r="H1560" i="13"/>
  <c r="H1555" i="13"/>
  <c r="I1550" i="13"/>
  <c r="J1545" i="13"/>
  <c r="K1540" i="13"/>
  <c r="I1535" i="13"/>
  <c r="E1530" i="13"/>
  <c r="A1525" i="13"/>
  <c r="I1519" i="13"/>
  <c r="E1514" i="13"/>
  <c r="F1509" i="13"/>
  <c r="G1504" i="13"/>
  <c r="H1499" i="13"/>
  <c r="I1494" i="13"/>
  <c r="L1590" i="13"/>
  <c r="J1570" i="13"/>
  <c r="L1559" i="13"/>
  <c r="L1554" i="13"/>
  <c r="M1549" i="13"/>
  <c r="A1545" i="13"/>
  <c r="B1540" i="13"/>
  <c r="M1534" i="13"/>
  <c r="H1529" i="13"/>
  <c r="D1524" i="13"/>
  <c r="M1518" i="13"/>
  <c r="I1513" i="13"/>
  <c r="J1508" i="13"/>
  <c r="K1503" i="13"/>
  <c r="L1498" i="13"/>
  <c r="M1493" i="13"/>
  <c r="K1576" i="13"/>
  <c r="E1556" i="13"/>
  <c r="G1546" i="13"/>
  <c r="L1537" i="13"/>
  <c r="C1535" i="13"/>
  <c r="G1532" i="13"/>
  <c r="L1529" i="13"/>
  <c r="C1527" i="13"/>
  <c r="G1524" i="13"/>
  <c r="L1521" i="13"/>
  <c r="C1519" i="13"/>
  <c r="G1516" i="13"/>
  <c r="L1513" i="13"/>
  <c r="F1511" i="13"/>
  <c r="M1508" i="13"/>
  <c r="G1506" i="13"/>
  <c r="A1504" i="13"/>
  <c r="H1501" i="13"/>
  <c r="B1499" i="13"/>
  <c r="I1496" i="13"/>
  <c r="C1494" i="13"/>
  <c r="B1492" i="13"/>
  <c r="L1490" i="13"/>
  <c r="H1489" i="13"/>
  <c r="D1488" i="13"/>
  <c r="M1486" i="13"/>
  <c r="I1485" i="13"/>
  <c r="E1484" i="13"/>
  <c r="A1483" i="13"/>
  <c r="I1481" i="13"/>
  <c r="E1480" i="13"/>
  <c r="A1479" i="13"/>
  <c r="I1477" i="13"/>
  <c r="E1476" i="13"/>
  <c r="A1475" i="13"/>
  <c r="I1473" i="13"/>
  <c r="E1472" i="13"/>
  <c r="A1471" i="13"/>
  <c r="I1469" i="13"/>
  <c r="E1468" i="13"/>
  <c r="A1467" i="13"/>
  <c r="I1465" i="13"/>
  <c r="E1464" i="13"/>
  <c r="A1463" i="13"/>
  <c r="I1461" i="13"/>
  <c r="E1460" i="13"/>
  <c r="A1459" i="13"/>
  <c r="J1457" i="13"/>
  <c r="G1456" i="13"/>
  <c r="D1455" i="13"/>
  <c r="A1454" i="13"/>
  <c r="K1452" i="13"/>
  <c r="H1451" i="13"/>
  <c r="B1617" i="13"/>
  <c r="A1589" i="13"/>
  <c r="M1578" i="13"/>
  <c r="L1568" i="13"/>
  <c r="A1562" i="13"/>
  <c r="E1559" i="13"/>
  <c r="L1556" i="13"/>
  <c r="F1554" i="13"/>
  <c r="M1551" i="13"/>
  <c r="G1549" i="13"/>
  <c r="A1547" i="13"/>
  <c r="H1544" i="13"/>
  <c r="B1542" i="13"/>
  <c r="I1539" i="13"/>
  <c r="B1537" i="13"/>
  <c r="F1534" i="13"/>
  <c r="J1531" i="13"/>
  <c r="B1529" i="13"/>
  <c r="F1526" i="13"/>
  <c r="J1523" i="13"/>
  <c r="B1521" i="13"/>
  <c r="F1518" i="13"/>
  <c r="J1515" i="13"/>
  <c r="C1513" i="13"/>
  <c r="J1510" i="13"/>
  <c r="D1508" i="13"/>
  <c r="K1505" i="13"/>
  <c r="E1503" i="13"/>
  <c r="L1500" i="13"/>
  <c r="F1498" i="13"/>
  <c r="M1495" i="13"/>
  <c r="G1493" i="13"/>
  <c r="J1491" i="13"/>
  <c r="G1490" i="13"/>
  <c r="C1489" i="13"/>
  <c r="L1487" i="13"/>
  <c r="G1486" i="13"/>
  <c r="D1485" i="13"/>
  <c r="M1483" i="13"/>
  <c r="H1482" i="13"/>
  <c r="D1481" i="13"/>
  <c r="M1479" i="13"/>
  <c r="H1478" i="13"/>
  <c r="D1477" i="13"/>
  <c r="M1475" i="13"/>
  <c r="H1474" i="13"/>
  <c r="D1473" i="13"/>
  <c r="M1471" i="13"/>
  <c r="H1470" i="13"/>
  <c r="D1469" i="13"/>
  <c r="M1467" i="13"/>
  <c r="H1466" i="13"/>
  <c r="D1465" i="13"/>
  <c r="M1463" i="13"/>
  <c r="H1462" i="13"/>
  <c r="D1461" i="13"/>
  <c r="M1459" i="13"/>
  <c r="H1458" i="13"/>
  <c r="E1457" i="13"/>
  <c r="B1456" i="13"/>
  <c r="L1454" i="13"/>
  <c r="I1453" i="13"/>
  <c r="F1452" i="13"/>
  <c r="C1451" i="13"/>
  <c r="M1449" i="13"/>
  <c r="J1448" i="13"/>
  <c r="G1447" i="13"/>
  <c r="D1446" i="13"/>
  <c r="A1445" i="13"/>
  <c r="K1443" i="13"/>
  <c r="H1442" i="13"/>
  <c r="D1441" i="13"/>
  <c r="M1439" i="13"/>
  <c r="H1438" i="13"/>
  <c r="D1437" i="13"/>
  <c r="M1435" i="13"/>
  <c r="A1625" i="13"/>
  <c r="G1580" i="13"/>
  <c r="F1562" i="13"/>
  <c r="D1557" i="13"/>
  <c r="E1552" i="13"/>
  <c r="F1547" i="13"/>
  <c r="G1542" i="13"/>
  <c r="G1537" i="13"/>
  <c r="C1532" i="13"/>
  <c r="L1526" i="13"/>
  <c r="G1521" i="13"/>
  <c r="C1516" i="13"/>
  <c r="B1511" i="13"/>
  <c r="C1506" i="13"/>
  <c r="D1501" i="13"/>
  <c r="E1496" i="13"/>
  <c r="M1491" i="13"/>
  <c r="F1489" i="13"/>
  <c r="J1486" i="13"/>
  <c r="C1484" i="13"/>
  <c r="G1481" i="13"/>
  <c r="L1478" i="13"/>
  <c r="C1476" i="13"/>
  <c r="G1473" i="13"/>
  <c r="L1470" i="13"/>
  <c r="C1468" i="13"/>
  <c r="G1465" i="13"/>
  <c r="L1462" i="13"/>
  <c r="C1460" i="13"/>
  <c r="H1457" i="13"/>
  <c r="B1455" i="13"/>
  <c r="I1452" i="13"/>
  <c r="F1450" i="13"/>
  <c r="K1448" i="13"/>
  <c r="B1447" i="13"/>
  <c r="G1445" i="13"/>
  <c r="L1443" i="13"/>
  <c r="C1442" i="13"/>
  <c r="F1440" i="13"/>
  <c r="I1438" i="13"/>
  <c r="L1436" i="13"/>
  <c r="B1435" i="13"/>
  <c r="I1433" i="13"/>
  <c r="E1432" i="13"/>
  <c r="A1431" i="13"/>
  <c r="I1429" i="13"/>
  <c r="D1590" i="13"/>
  <c r="B1570" i="13"/>
  <c r="I1559" i="13"/>
  <c r="J1554" i="13"/>
  <c r="K1549" i="13"/>
  <c r="L1544" i="13"/>
  <c r="M1539" i="13"/>
  <c r="J1534" i="13"/>
  <c r="F1529" i="13"/>
  <c r="B1524" i="13"/>
  <c r="J1518" i="13"/>
  <c r="G1513" i="13"/>
  <c r="H1508" i="13"/>
  <c r="I1503" i="13"/>
  <c r="J1498" i="13"/>
  <c r="K1493" i="13"/>
  <c r="I1490" i="13"/>
  <c r="A1488" i="13"/>
  <c r="F1485" i="13"/>
  <c r="J1482" i="13"/>
  <c r="B1480" i="13"/>
  <c r="A1654" i="13"/>
  <c r="M1612" i="13"/>
  <c r="C1585" i="13"/>
  <c r="B1565" i="13"/>
  <c r="J1584" i="13"/>
  <c r="J1564" i="13"/>
  <c r="E1584" i="13"/>
  <c r="E1564" i="13"/>
  <c r="E1554" i="13"/>
  <c r="E1534" i="13"/>
  <c r="B1513" i="13"/>
  <c r="F1493" i="13"/>
  <c r="I1553" i="13"/>
  <c r="H1533" i="13"/>
  <c r="F1512" i="13"/>
  <c r="J1492" i="13"/>
  <c r="C1537" i="13"/>
  <c r="G1526" i="13"/>
  <c r="L1515" i="13"/>
  <c r="L1505" i="13"/>
  <c r="A1496" i="13"/>
  <c r="D1489" i="13"/>
  <c r="A1484" i="13"/>
  <c r="I1478" i="13"/>
  <c r="E1473" i="13"/>
  <c r="A1468" i="13"/>
  <c r="I1462" i="13"/>
  <c r="F1457" i="13"/>
  <c r="G1452" i="13"/>
  <c r="G1576" i="13"/>
  <c r="D1556" i="13"/>
  <c r="F1546" i="13"/>
  <c r="F1536" i="13"/>
  <c r="J1525" i="13"/>
  <c r="B1515" i="13"/>
  <c r="C1505" i="13"/>
  <c r="E1495" i="13"/>
  <c r="L1488" i="13"/>
  <c r="H1483" i="13"/>
  <c r="D1478" i="13"/>
  <c r="M1472" i="13"/>
  <c r="H1467" i="13"/>
  <c r="D1462" i="13"/>
  <c r="A1457" i="13"/>
  <c r="B1452" i="13"/>
  <c r="C1447" i="13"/>
  <c r="D1442" i="13"/>
  <c r="M1436" i="13"/>
  <c r="B1561" i="13"/>
  <c r="D1541" i="13"/>
  <c r="C1520" i="13"/>
  <c r="A1500" i="13"/>
  <c r="B1486" i="13"/>
  <c r="G1475" i="13"/>
  <c r="L1464" i="13"/>
  <c r="G1454" i="13"/>
  <c r="J1446" i="13"/>
  <c r="A1440" i="13"/>
  <c r="E1433" i="13"/>
  <c r="D1585" i="13"/>
  <c r="H1548" i="13"/>
  <c r="B1528" i="13"/>
  <c r="E1507" i="13"/>
  <c r="A1490" i="13"/>
  <c r="F1481" i="13"/>
  <c r="B1478" i="13"/>
  <c r="F1475" i="13"/>
  <c r="J1472" i="13"/>
  <c r="B1470" i="13"/>
  <c r="F1467" i="13"/>
  <c r="J1464" i="13"/>
  <c r="B1462" i="13"/>
  <c r="F1459" i="13"/>
  <c r="L1456" i="13"/>
  <c r="F1454" i="13"/>
  <c r="M1451" i="13"/>
  <c r="L1449" i="13"/>
  <c r="D1448" i="13"/>
  <c r="I1446" i="13"/>
  <c r="M1444" i="13"/>
  <c r="E1443" i="13"/>
  <c r="I1441" i="13"/>
  <c r="L1439" i="13"/>
  <c r="B1438" i="13"/>
  <c r="E1436" i="13"/>
  <c r="H1434" i="13"/>
  <c r="D1433" i="13"/>
  <c r="M1431" i="13"/>
  <c r="H1430" i="13"/>
  <c r="D1429" i="13"/>
  <c r="M1427" i="13"/>
  <c r="H1426" i="13"/>
  <c r="D1425" i="13"/>
  <c r="M1423" i="13"/>
  <c r="H1422" i="13"/>
  <c r="D1421" i="13"/>
  <c r="M1419" i="13"/>
  <c r="H1418" i="13"/>
  <c r="E1417" i="13"/>
  <c r="B1416" i="13"/>
  <c r="L1414" i="13"/>
  <c r="I1413" i="13"/>
  <c r="F1412" i="13"/>
  <c r="C1411" i="13"/>
  <c r="M1409" i="13"/>
  <c r="J1408" i="13"/>
  <c r="G1407" i="13"/>
  <c r="D1406" i="13"/>
  <c r="A1405" i="13"/>
  <c r="K1403" i="13"/>
  <c r="H1402" i="13"/>
  <c r="E1401" i="13"/>
  <c r="B1400" i="13"/>
  <c r="L1398" i="13"/>
  <c r="I1397" i="13"/>
  <c r="F1396" i="13"/>
  <c r="C1395" i="13"/>
  <c r="M1393" i="13"/>
  <c r="J1392" i="13"/>
  <c r="G1391" i="13"/>
  <c r="D1390" i="13"/>
  <c r="A1389" i="13"/>
  <c r="K1387" i="13"/>
  <c r="H1386" i="13"/>
  <c r="E1385" i="13"/>
  <c r="B1384" i="13"/>
  <c r="L1382" i="13"/>
  <c r="I1381" i="13"/>
  <c r="F1380" i="13"/>
  <c r="C1379" i="13"/>
  <c r="M1377" i="13"/>
  <c r="J1376" i="13"/>
  <c r="G1375" i="13"/>
  <c r="D1374" i="13"/>
  <c r="A1373" i="13"/>
  <c r="K1371" i="13"/>
  <c r="H1370" i="13"/>
  <c r="E1369" i="13"/>
  <c r="B1368" i="13"/>
  <c r="L1366" i="13"/>
  <c r="I1365" i="13"/>
  <c r="F1364" i="13"/>
  <c r="C1363" i="13"/>
  <c r="M1361" i="13"/>
  <c r="J1360" i="13"/>
  <c r="G1359" i="13"/>
  <c r="D1358" i="13"/>
  <c r="A1357" i="13"/>
  <c r="K1355" i="13"/>
  <c r="H1354" i="13"/>
  <c r="E1353" i="13"/>
  <c r="B1352" i="13"/>
  <c r="L1350" i="13"/>
  <c r="I1349" i="13"/>
  <c r="F1348" i="13"/>
  <c r="C1347" i="13"/>
  <c r="M1345" i="13"/>
  <c r="H1344" i="13"/>
  <c r="D1343" i="13"/>
  <c r="M1341" i="13"/>
  <c r="H1340" i="13"/>
  <c r="D1339" i="13"/>
  <c r="B1588" i="13"/>
  <c r="M1567" i="13"/>
  <c r="B1559" i="13"/>
  <c r="C1554" i="13"/>
  <c r="D1549" i="13"/>
  <c r="E1544" i="13"/>
  <c r="F1539" i="13"/>
  <c r="C1534" i="13"/>
  <c r="L1528" i="13"/>
  <c r="G1523" i="13"/>
  <c r="C1518" i="13"/>
  <c r="M1512" i="13"/>
  <c r="A1508" i="13"/>
  <c r="B1503" i="13"/>
  <c r="C1498" i="13"/>
  <c r="D1493" i="13"/>
  <c r="F1490" i="13"/>
  <c r="J1487" i="13"/>
  <c r="C1485" i="13"/>
  <c r="G1482" i="13"/>
  <c r="L1479" i="13"/>
  <c r="C1477" i="13"/>
  <c r="G1474" i="13"/>
  <c r="L1471" i="13"/>
  <c r="C1469" i="13"/>
  <c r="G1466" i="13"/>
  <c r="L1463" i="13"/>
  <c r="C1461" i="13"/>
  <c r="G1458" i="13"/>
  <c r="A1456" i="13"/>
  <c r="H1453" i="13"/>
  <c r="B1451" i="13"/>
  <c r="F1449" i="13"/>
  <c r="J1447" i="13"/>
  <c r="B1446" i="13"/>
  <c r="G1444" i="13"/>
  <c r="K1442" i="13"/>
  <c r="B1441" i="13"/>
  <c r="E1439" i="13"/>
  <c r="G1437" i="13"/>
  <c r="J1435" i="13"/>
  <c r="C1434" i="13"/>
  <c r="L1432" i="13"/>
  <c r="G1431" i="13"/>
  <c r="C1430" i="13"/>
  <c r="L1428" i="13"/>
  <c r="G1427" i="13"/>
  <c r="C1426" i="13"/>
  <c r="L1424" i="13"/>
  <c r="G1423" i="13"/>
  <c r="C1422" i="13"/>
  <c r="L1420" i="13"/>
  <c r="G1419" i="13"/>
  <c r="C1418" i="13"/>
  <c r="M1416" i="13"/>
  <c r="J1415" i="13"/>
  <c r="G1414" i="13"/>
  <c r="D1413" i="13"/>
  <c r="A1412" i="13"/>
  <c r="K1410" i="13"/>
  <c r="H1409" i="13"/>
  <c r="E1408" i="13"/>
  <c r="B1407" i="13"/>
  <c r="L1405" i="13"/>
  <c r="H1556" i="13"/>
  <c r="J1536" i="13"/>
  <c r="F1515" i="13"/>
  <c r="I1495" i="13"/>
  <c r="J1483" i="13"/>
  <c r="B1473" i="13"/>
  <c r="F1462" i="13"/>
  <c r="D1452" i="13"/>
  <c r="C1445" i="13"/>
  <c r="E1438" i="13"/>
  <c r="B1432" i="13"/>
  <c r="A1428" i="13"/>
  <c r="E1425" i="13"/>
  <c r="I1422" i="13"/>
  <c r="A1420" i="13"/>
  <c r="F1417" i="13"/>
  <c r="H1644" i="13"/>
  <c r="D1593" i="13"/>
  <c r="B1580" i="13"/>
  <c r="M1620" i="13"/>
  <c r="J1579" i="13"/>
  <c r="L1618" i="13"/>
  <c r="E1579" i="13"/>
  <c r="J1588" i="13"/>
  <c r="F1549" i="13"/>
  <c r="A1529" i="13"/>
  <c r="C1508" i="13"/>
  <c r="M1585" i="13"/>
  <c r="J1548" i="13"/>
  <c r="D1528" i="13"/>
  <c r="G1507" i="13"/>
  <c r="J1566" i="13"/>
  <c r="G1534" i="13"/>
  <c r="L1523" i="13"/>
  <c r="D1513" i="13"/>
  <c r="F1503" i="13"/>
  <c r="H1493" i="13"/>
  <c r="M1487" i="13"/>
  <c r="I1482" i="13"/>
  <c r="E1477" i="13"/>
  <c r="A1472" i="13"/>
  <c r="I1466" i="13"/>
  <c r="E1461" i="13"/>
  <c r="C1456" i="13"/>
  <c r="D1451" i="13"/>
  <c r="F1566" i="13"/>
  <c r="K1553" i="13"/>
  <c r="M1543" i="13"/>
  <c r="J1533" i="13"/>
  <c r="B1523" i="13"/>
  <c r="H1512" i="13"/>
  <c r="J1502" i="13"/>
  <c r="L1492" i="13"/>
  <c r="G1487" i="13"/>
  <c r="D1482" i="13"/>
  <c r="M1476" i="13"/>
  <c r="H1471" i="13"/>
  <c r="D1466" i="13"/>
  <c r="M1460" i="13"/>
  <c r="K1455" i="13"/>
  <c r="L1450" i="13"/>
  <c r="M1445" i="13"/>
  <c r="M1440" i="13"/>
  <c r="H1435" i="13"/>
  <c r="A1556" i="13"/>
  <c r="C1536" i="13"/>
  <c r="L1514" i="13"/>
  <c r="B1495" i="13"/>
  <c r="G1483" i="13"/>
  <c r="L1472" i="13"/>
  <c r="C1462" i="13"/>
  <c r="A1452" i="13"/>
  <c r="B1445" i="13"/>
  <c r="C1438" i="13"/>
  <c r="A1432" i="13"/>
  <c r="C1565" i="13"/>
  <c r="I1543" i="13"/>
  <c r="J1522" i="13"/>
  <c r="F1502" i="13"/>
  <c r="E1487" i="13"/>
  <c r="J1480" i="13"/>
  <c r="F1477" i="13"/>
  <c r="J1474" i="13"/>
  <c r="B1472" i="13"/>
  <c r="F1469" i="13"/>
  <c r="J1466" i="13"/>
  <c r="B1464" i="13"/>
  <c r="F1461" i="13"/>
  <c r="J1458" i="13"/>
  <c r="D1456" i="13"/>
  <c r="K1453" i="13"/>
  <c r="E1451" i="13"/>
  <c r="G1449" i="13"/>
  <c r="L1447" i="13"/>
  <c r="C1446" i="13"/>
  <c r="H1444" i="13"/>
  <c r="M1442" i="13"/>
  <c r="C1441" i="13"/>
  <c r="F1439" i="13"/>
  <c r="I1437" i="13"/>
  <c r="L1435" i="13"/>
  <c r="D1434" i="13"/>
  <c r="M1432" i="13"/>
  <c r="H1431" i="13"/>
  <c r="D1430" i="13"/>
  <c r="M1428" i="13"/>
  <c r="H1427" i="13"/>
  <c r="D1426" i="13"/>
  <c r="M1424" i="13"/>
  <c r="H1423" i="13"/>
  <c r="D1422" i="13"/>
  <c r="M1420" i="13"/>
  <c r="H1419" i="13"/>
  <c r="D1418" i="13"/>
  <c r="A1417" i="13"/>
  <c r="K1415" i="13"/>
  <c r="H1414" i="13"/>
  <c r="E1413" i="13"/>
  <c r="B1412" i="13"/>
  <c r="L1410" i="13"/>
  <c r="I1409" i="13"/>
  <c r="F1408" i="13"/>
  <c r="C1407" i="13"/>
  <c r="M1405" i="13"/>
  <c r="J1404" i="13"/>
  <c r="G1403" i="13"/>
  <c r="D1402" i="13"/>
  <c r="A1401" i="13"/>
  <c r="K1399" i="13"/>
  <c r="H1398" i="13"/>
  <c r="E1397" i="13"/>
  <c r="B1396" i="13"/>
  <c r="L1394" i="13"/>
  <c r="I1393" i="13"/>
  <c r="F1392" i="13"/>
  <c r="C1391" i="13"/>
  <c r="M1389" i="13"/>
  <c r="J1388" i="13"/>
  <c r="G1387" i="13"/>
  <c r="D1386" i="13"/>
  <c r="A1385" i="13"/>
  <c r="K1383" i="13"/>
  <c r="H1382" i="13"/>
  <c r="E1381" i="13"/>
  <c r="B1380" i="13"/>
  <c r="L1378" i="13"/>
  <c r="I1377" i="13"/>
  <c r="F1376" i="13"/>
  <c r="C1375" i="13"/>
  <c r="M1373" i="13"/>
  <c r="J1372" i="13"/>
  <c r="G1371" i="13"/>
  <c r="D1370" i="13"/>
  <c r="A1369" i="13"/>
  <c r="K1367" i="13"/>
  <c r="H1366" i="13"/>
  <c r="E1365" i="13"/>
  <c r="B1364" i="13"/>
  <c r="L1362" i="13"/>
  <c r="I1361" i="13"/>
  <c r="F1360" i="13"/>
  <c r="C1359" i="13"/>
  <c r="M1357" i="13"/>
  <c r="J1356" i="13"/>
  <c r="G1355" i="13"/>
  <c r="D1354" i="13"/>
  <c r="A1353" i="13"/>
  <c r="K1351" i="13"/>
  <c r="H1350" i="13"/>
  <c r="E1349" i="13"/>
  <c r="B1348" i="13"/>
  <c r="L1346" i="13"/>
  <c r="H1345" i="13"/>
  <c r="D1344" i="13"/>
  <c r="M1342" i="13"/>
  <c r="H1341" i="13"/>
  <c r="D1340" i="13"/>
  <c r="M1338" i="13"/>
  <c r="M1582" i="13"/>
  <c r="A1563" i="13"/>
  <c r="L1557" i="13"/>
  <c r="M1552" i="13"/>
  <c r="A1548" i="13"/>
  <c r="B1543" i="13"/>
  <c r="C1538" i="13"/>
  <c r="L1532" i="13"/>
  <c r="G1527" i="13"/>
  <c r="C1522" i="13"/>
  <c r="L1516" i="13"/>
  <c r="J1511" i="13"/>
  <c r="K1506" i="13"/>
  <c r="L1501" i="13"/>
  <c r="M1496" i="13"/>
  <c r="D1492" i="13"/>
  <c r="J1489" i="13"/>
  <c r="B1487" i="13"/>
  <c r="G1484" i="13"/>
  <c r="L1481" i="13"/>
  <c r="C1479" i="13"/>
  <c r="G1476" i="13"/>
  <c r="L1473" i="13"/>
  <c r="C1471" i="13"/>
  <c r="G1468" i="13"/>
  <c r="L1465" i="13"/>
  <c r="C1463" i="13"/>
  <c r="G1460" i="13"/>
  <c r="L1457" i="13"/>
  <c r="F1455" i="13"/>
  <c r="M1452" i="13"/>
  <c r="I1450" i="13"/>
  <c r="M1448" i="13"/>
  <c r="E1447" i="13"/>
  <c r="J1445" i="13"/>
  <c r="A1444" i="13"/>
  <c r="F1442" i="13"/>
  <c r="I1440" i="13"/>
  <c r="L1438" i="13"/>
  <c r="B1437" i="13"/>
  <c r="E1435" i="13"/>
  <c r="L1433" i="13"/>
  <c r="G1432" i="13"/>
  <c r="C1431" i="13"/>
  <c r="L1429" i="13"/>
  <c r="G1428" i="13"/>
  <c r="C1427" i="13"/>
  <c r="L1425" i="13"/>
  <c r="G1424" i="13"/>
  <c r="C1423" i="13"/>
  <c r="L1421" i="13"/>
  <c r="G1420" i="13"/>
  <c r="C1419" i="13"/>
  <c r="L1417" i="13"/>
  <c r="I1416" i="13"/>
  <c r="F1415" i="13"/>
  <c r="C1414" i="13"/>
  <c r="M1412" i="13"/>
  <c r="J1411" i="13"/>
  <c r="G1410" i="13"/>
  <c r="D1409" i="13"/>
  <c r="A1408" i="13"/>
  <c r="K1406" i="13"/>
  <c r="C1612" i="13"/>
  <c r="I1551" i="13"/>
  <c r="F1531" i="13"/>
  <c r="F1510" i="13"/>
  <c r="H1491" i="13"/>
  <c r="B1481" i="13"/>
  <c r="F1470" i="13"/>
  <c r="J1459" i="13"/>
  <c r="B1450" i="13"/>
  <c r="H1443" i="13"/>
  <c r="G1436" i="13"/>
  <c r="J1430" i="13"/>
  <c r="E1427" i="13"/>
  <c r="I1424" i="13"/>
  <c r="A1422" i="13"/>
  <c r="E1419" i="13"/>
  <c r="K1416" i="13"/>
  <c r="E1414" i="13"/>
  <c r="D1636" i="13"/>
  <c r="H1612" i="13"/>
  <c r="C1575" i="13"/>
  <c r="G1600" i="13"/>
  <c r="K1574" i="13"/>
  <c r="M1598" i="13"/>
  <c r="F1574" i="13"/>
  <c r="H1568" i="13"/>
  <c r="G1544" i="13"/>
  <c r="I1523" i="13"/>
  <c r="D1503" i="13"/>
  <c r="K1565" i="13"/>
  <c r="K1543" i="13"/>
  <c r="M1522" i="13"/>
  <c r="H1502" i="13"/>
  <c r="L1553" i="13"/>
  <c r="L1531" i="13"/>
  <c r="C1521" i="13"/>
  <c r="K1510" i="13"/>
  <c r="M1500" i="13"/>
  <c r="K1491" i="13"/>
  <c r="H1486" i="13"/>
  <c r="E1481" i="13"/>
  <c r="A1476" i="13"/>
  <c r="I1470" i="13"/>
  <c r="E1465" i="13"/>
  <c r="A1460" i="13"/>
  <c r="M1454" i="13"/>
  <c r="D1607" i="13"/>
  <c r="E1561" i="13"/>
  <c r="E1551" i="13"/>
  <c r="G1541" i="13"/>
  <c r="B1531" i="13"/>
  <c r="F1520" i="13"/>
  <c r="B1510" i="13"/>
  <c r="D1500" i="13"/>
  <c r="F1491" i="13"/>
  <c r="C1486" i="13"/>
  <c r="M1480" i="13"/>
  <c r="H1475" i="13"/>
  <c r="D1470" i="13"/>
  <c r="M1464" i="13"/>
  <c r="H1459" i="13"/>
  <c r="H1454" i="13"/>
  <c r="I1449" i="13"/>
  <c r="J1444" i="13"/>
  <c r="H1439" i="13"/>
  <c r="H1603" i="13"/>
  <c r="B1551" i="13"/>
  <c r="L1530" i="13"/>
  <c r="L1509" i="13"/>
  <c r="E1491" i="13"/>
  <c r="L1480" i="13"/>
  <c r="C1470" i="13"/>
  <c r="G1459" i="13"/>
  <c r="A1450" i="13"/>
  <c r="F1443" i="13"/>
  <c r="F1436" i="13"/>
  <c r="I1430" i="13"/>
  <c r="F1558" i="13"/>
  <c r="J1538" i="13"/>
  <c r="F1517" i="13"/>
  <c r="G1497" i="13"/>
  <c r="J1484" i="13"/>
  <c r="F1479" i="13"/>
  <c r="J1476" i="13"/>
  <c r="B1474" i="13"/>
  <c r="F1471" i="13"/>
  <c r="J1468" i="13"/>
  <c r="B1466" i="13"/>
  <c r="F1463" i="13"/>
  <c r="J1460" i="13"/>
  <c r="B1458" i="13"/>
  <c r="I1455" i="13"/>
  <c r="C1453" i="13"/>
  <c r="J1450" i="13"/>
  <c r="B1449" i="13"/>
  <c r="F1447" i="13"/>
  <c r="K1445" i="13"/>
  <c r="C1444" i="13"/>
  <c r="G1442" i="13"/>
  <c r="J1440" i="13"/>
  <c r="A1439" i="13"/>
  <c r="C1437" i="13"/>
  <c r="F1435" i="13"/>
  <c r="M1433" i="13"/>
  <c r="H1432" i="13"/>
  <c r="D1431" i="13"/>
  <c r="M1429" i="13"/>
  <c r="H1428" i="13"/>
  <c r="D1427" i="13"/>
  <c r="M1425" i="13"/>
  <c r="H1424" i="13"/>
  <c r="D1423" i="13"/>
  <c r="M1421" i="13"/>
  <c r="H1420" i="13"/>
  <c r="D1419" i="13"/>
  <c r="M1417" i="13"/>
  <c r="J1416" i="13"/>
  <c r="G1415" i="13"/>
  <c r="D1414" i="13"/>
  <c r="A1413" i="13"/>
  <c r="K1411" i="13"/>
  <c r="H1410" i="13"/>
  <c r="E1409" i="13"/>
  <c r="B1408" i="13"/>
  <c r="L1406" i="13"/>
  <c r="I1405" i="13"/>
  <c r="F1404" i="13"/>
  <c r="C1403" i="13"/>
  <c r="M1401" i="13"/>
  <c r="J1400" i="13"/>
  <c r="G1399" i="13"/>
  <c r="D1398" i="13"/>
  <c r="A1397" i="13"/>
  <c r="K1395" i="13"/>
  <c r="H1394" i="13"/>
  <c r="E1393" i="13"/>
  <c r="B1392" i="13"/>
  <c r="L1390" i="13"/>
  <c r="I1389" i="13"/>
  <c r="F1388" i="13"/>
  <c r="C1387" i="13"/>
  <c r="M1385" i="13"/>
  <c r="J1384" i="13"/>
  <c r="G1383" i="13"/>
  <c r="D1382" i="13"/>
  <c r="A1381" i="13"/>
  <c r="K1379" i="13"/>
  <c r="H1378" i="13"/>
  <c r="E1377" i="13"/>
  <c r="B1376" i="13"/>
  <c r="L1374" i="13"/>
  <c r="I1373" i="13"/>
  <c r="F1372" i="13"/>
  <c r="C1371" i="13"/>
  <c r="M1369" i="13"/>
  <c r="J1368" i="13"/>
  <c r="G1367" i="13"/>
  <c r="D1366" i="13"/>
  <c r="A1365" i="13"/>
  <c r="K1363" i="13"/>
  <c r="H1362" i="13"/>
  <c r="E1361" i="13"/>
  <c r="B1360" i="13"/>
  <c r="L1358" i="13"/>
  <c r="I1357" i="13"/>
  <c r="F1356" i="13"/>
  <c r="C1355" i="13"/>
  <c r="M1353" i="13"/>
  <c r="J1352" i="13"/>
  <c r="G1351" i="13"/>
  <c r="D1350" i="13"/>
  <c r="A1349" i="13"/>
  <c r="K1347" i="13"/>
  <c r="H1346" i="13"/>
  <c r="D1345" i="13"/>
  <c r="M1343" i="13"/>
  <c r="H1342" i="13"/>
  <c r="D1341" i="13"/>
  <c r="M1339" i="13"/>
  <c r="F1613" i="13"/>
  <c r="A1578" i="13"/>
  <c r="J1561" i="13"/>
  <c r="I1556" i="13"/>
  <c r="J1551" i="13"/>
  <c r="K1546" i="13"/>
  <c r="L1541" i="13"/>
  <c r="L1536" i="13"/>
  <c r="G1531" i="13"/>
  <c r="C1526" i="13"/>
  <c r="L1520" i="13"/>
  <c r="G1515" i="13"/>
  <c r="G1510" i="13"/>
  <c r="H1505" i="13"/>
  <c r="I1500" i="13"/>
  <c r="J1495" i="13"/>
  <c r="I1491" i="13"/>
  <c r="B1489" i="13"/>
  <c r="F1486" i="13"/>
  <c r="L1483" i="13"/>
  <c r="C1481" i="13"/>
  <c r="G1478" i="13"/>
  <c r="L1475" i="13"/>
  <c r="C1473" i="13"/>
  <c r="G1470" i="13"/>
  <c r="L1467" i="13"/>
  <c r="C1465" i="13"/>
  <c r="G1462" i="13"/>
  <c r="L1459" i="13"/>
  <c r="D1457" i="13"/>
  <c r="K1454" i="13"/>
  <c r="E1452" i="13"/>
  <c r="C1450" i="13"/>
  <c r="H1448" i="13"/>
  <c r="M1446" i="13"/>
  <c r="D1445" i="13"/>
  <c r="I1443" i="13"/>
  <c r="A1442" i="13"/>
  <c r="C1440" i="13"/>
  <c r="F1438" i="13"/>
  <c r="I1436" i="13"/>
  <c r="L1434" i="13"/>
  <c r="G1433" i="13"/>
  <c r="C1432" i="13"/>
  <c r="L1430" i="13"/>
  <c r="G1429" i="13"/>
  <c r="C1428" i="13"/>
  <c r="L1426" i="13"/>
  <c r="G1425" i="13"/>
  <c r="C1424" i="13"/>
  <c r="L1422" i="13"/>
  <c r="G1421" i="13"/>
  <c r="C1420" i="13"/>
  <c r="L1418" i="13"/>
  <c r="H1417" i="13"/>
  <c r="E1416" i="13"/>
  <c r="B1415" i="13"/>
  <c r="L1413" i="13"/>
  <c r="I1412" i="13"/>
  <c r="F1411" i="13"/>
  <c r="C1410" i="13"/>
  <c r="M1408" i="13"/>
  <c r="J1407" i="13"/>
  <c r="G1406" i="13"/>
  <c r="J1577" i="13"/>
  <c r="J1546" i="13"/>
  <c r="B1526" i="13"/>
  <c r="G1505" i="13"/>
  <c r="A1489" i="13"/>
  <c r="F1478" i="13"/>
  <c r="J1467" i="13"/>
  <c r="C1457" i="13"/>
  <c r="G1448" i="13"/>
  <c r="L1441" i="13"/>
  <c r="J1434" i="13"/>
  <c r="F1429" i="13"/>
  <c r="I1426" i="13"/>
  <c r="A1424" i="13"/>
  <c r="E1421" i="13"/>
  <c r="I1418" i="13"/>
  <c r="C1416" i="13"/>
  <c r="L1610" i="13"/>
  <c r="L1592" i="13"/>
  <c r="A1570" i="13"/>
  <c r="K1589" i="13"/>
  <c r="I1569" i="13"/>
  <c r="F1589" i="13"/>
  <c r="D1569" i="13"/>
  <c r="D1559" i="13"/>
  <c r="H1539" i="13"/>
  <c r="E1518" i="13"/>
  <c r="E1498" i="13"/>
  <c r="H1558" i="13"/>
  <c r="L1538" i="13"/>
  <c r="H1517" i="13"/>
  <c r="I1497" i="13"/>
  <c r="A1544" i="13"/>
  <c r="C1529" i="13"/>
  <c r="G1518" i="13"/>
  <c r="E1508" i="13"/>
  <c r="G1498" i="13"/>
  <c r="H1490" i="13"/>
  <c r="E1485" i="13"/>
  <c r="A1480" i="13"/>
  <c r="I1474" i="13"/>
  <c r="E1469" i="13"/>
  <c r="A1464" i="13"/>
  <c r="I1458" i="13"/>
  <c r="J1453" i="13"/>
  <c r="H1586" i="13"/>
  <c r="J1558" i="13"/>
  <c r="L1548" i="13"/>
  <c r="A1539" i="13"/>
  <c r="F1528" i="13"/>
  <c r="J1517" i="13"/>
  <c r="I1507" i="13"/>
  <c r="K1497" i="13"/>
  <c r="C1490" i="13"/>
  <c r="M1484" i="13"/>
  <c r="H1479" i="13"/>
  <c r="D1474" i="13"/>
  <c r="M1468" i="13"/>
  <c r="H1463" i="13"/>
  <c r="D1458" i="13"/>
  <c r="E1453" i="13"/>
  <c r="F1448" i="13"/>
  <c r="G1443" i="13"/>
  <c r="D1438" i="13"/>
  <c r="H1575" i="13"/>
  <c r="C1546" i="13"/>
  <c r="G1525" i="13"/>
  <c r="M1504" i="13"/>
  <c r="J1488" i="13"/>
  <c r="C1478" i="13"/>
  <c r="G1467" i="13"/>
  <c r="M1456" i="13"/>
  <c r="E1448" i="13"/>
  <c r="J1441" i="13"/>
  <c r="I1434" i="13"/>
  <c r="E1429" i="13"/>
  <c r="G1553" i="13"/>
  <c r="F1533" i="13"/>
  <c r="D1512" i="13"/>
  <c r="H1492" i="13"/>
  <c r="B1482" i="13"/>
  <c r="J1478" i="13"/>
  <c r="B1476" i="13"/>
  <c r="F1473" i="13"/>
  <c r="J1470" i="13"/>
  <c r="B1468" i="13"/>
  <c r="F1465" i="13"/>
  <c r="J1462" i="13"/>
  <c r="B1460" i="13"/>
  <c r="G1457" i="13"/>
  <c r="A1455" i="13"/>
  <c r="H1452" i="13"/>
  <c r="E1450" i="13"/>
  <c r="I1448" i="13"/>
  <c r="A1447" i="13"/>
  <c r="F1445" i="13"/>
  <c r="J1443" i="13"/>
  <c r="B1442" i="13"/>
  <c r="E1440" i="13"/>
  <c r="G1438" i="13"/>
  <c r="J1436" i="13"/>
  <c r="A1435" i="13"/>
  <c r="H1433" i="13"/>
  <c r="D1432" i="13"/>
  <c r="M1430" i="13"/>
  <c r="H1429" i="13"/>
  <c r="D1428" i="13"/>
  <c r="M1426" i="13"/>
  <c r="H1425" i="13"/>
  <c r="D1424" i="13"/>
  <c r="M1422" i="13"/>
  <c r="H1421" i="13"/>
  <c r="D1420" i="13"/>
  <c r="M1418" i="13"/>
  <c r="I1417" i="13"/>
  <c r="F1416" i="13"/>
  <c r="C1415" i="13"/>
  <c r="M1413" i="13"/>
  <c r="J1412" i="13"/>
  <c r="G1411" i="13"/>
  <c r="D1410" i="13"/>
  <c r="A1409" i="13"/>
  <c r="K1407" i="13"/>
  <c r="H1406" i="13"/>
  <c r="E1405" i="13"/>
  <c r="B1404" i="13"/>
  <c r="L1402" i="13"/>
  <c r="I1401" i="13"/>
  <c r="F1400" i="13"/>
  <c r="C1399" i="13"/>
  <c r="M1397" i="13"/>
  <c r="J1396" i="13"/>
  <c r="G1395" i="13"/>
  <c r="D1394" i="13"/>
  <c r="A1393" i="13"/>
  <c r="K1391" i="13"/>
  <c r="H1390" i="13"/>
  <c r="E1389" i="13"/>
  <c r="B1388" i="13"/>
  <c r="L1386" i="13"/>
  <c r="I1385" i="13"/>
  <c r="F1384" i="13"/>
  <c r="C1383" i="13"/>
  <c r="M1381" i="13"/>
  <c r="J1380" i="13"/>
  <c r="K1375" i="13"/>
  <c r="L1370" i="13"/>
  <c r="M1365" i="13"/>
  <c r="A1361" i="13"/>
  <c r="B1356" i="13"/>
  <c r="C1351" i="13"/>
  <c r="D1346" i="13"/>
  <c r="M1340" i="13"/>
  <c r="F1560" i="13"/>
  <c r="I1540" i="13"/>
  <c r="G1519" i="13"/>
  <c r="F1499" i="13"/>
  <c r="K1485" i="13"/>
  <c r="C1475" i="13"/>
  <c r="G1464" i="13"/>
  <c r="C1454" i="13"/>
  <c r="G1446" i="13"/>
  <c r="J1439" i="13"/>
  <c r="C1433" i="13"/>
  <c r="L1427" i="13"/>
  <c r="G1422" i="13"/>
  <c r="D1417" i="13"/>
  <c r="E1412" i="13"/>
  <c r="F1407" i="13"/>
  <c r="J1520" i="13"/>
  <c r="B1465" i="13"/>
  <c r="F1433" i="13"/>
  <c r="I1420" i="13"/>
  <c r="J1413" i="13"/>
  <c r="D1411" i="13"/>
  <c r="K1408" i="13"/>
  <c r="E1406" i="13"/>
  <c r="G1404" i="13"/>
  <c r="K1402" i="13"/>
  <c r="C1401" i="13"/>
  <c r="H1399" i="13"/>
  <c r="L1397" i="13"/>
  <c r="D1396" i="13"/>
  <c r="I1394" i="13"/>
  <c r="M1392" i="13"/>
  <c r="E1391" i="13"/>
  <c r="J1389" i="13"/>
  <c r="A1388" i="13"/>
  <c r="F1386" i="13"/>
  <c r="K1384" i="13"/>
  <c r="B1383" i="13"/>
  <c r="G1381" i="13"/>
  <c r="L1379" i="13"/>
  <c r="C1378" i="13"/>
  <c r="H1376" i="13"/>
  <c r="M1374" i="13"/>
  <c r="D1373" i="13"/>
  <c r="I1371" i="13"/>
  <c r="A1370" i="13"/>
  <c r="E1368" i="13"/>
  <c r="J1366" i="13"/>
  <c r="B1365" i="13"/>
  <c r="F1363" i="13"/>
  <c r="K1361" i="13"/>
  <c r="C1360" i="13"/>
  <c r="G1358" i="13"/>
  <c r="L1356" i="13"/>
  <c r="D1355" i="13"/>
  <c r="H1353" i="13"/>
  <c r="M1351" i="13"/>
  <c r="E1350" i="13"/>
  <c r="I1348" i="13"/>
  <c r="A1347" i="13"/>
  <c r="E1345" i="13"/>
  <c r="G1343" i="13"/>
  <c r="J1341" i="13"/>
  <c r="A1340" i="13"/>
  <c r="E1338" i="13"/>
  <c r="A1337" i="13"/>
  <c r="I1335" i="13"/>
  <c r="E1334" i="13"/>
  <c r="A1333" i="13"/>
  <c r="I1331" i="13"/>
  <c r="E1330" i="13"/>
  <c r="A1329" i="13"/>
  <c r="I1327" i="13"/>
  <c r="E1326" i="13"/>
  <c r="A1325" i="13"/>
  <c r="I1323" i="13"/>
  <c r="E1322" i="13"/>
  <c r="B1321" i="13"/>
  <c r="L1319" i="13"/>
  <c r="I1318" i="13"/>
  <c r="F1317" i="13"/>
  <c r="C1316" i="13"/>
  <c r="M1314" i="13"/>
  <c r="J1313" i="13"/>
  <c r="G1312" i="13"/>
  <c r="D1311" i="13"/>
  <c r="A1310" i="13"/>
  <c r="K1308" i="13"/>
  <c r="H1307" i="13"/>
  <c r="E1306" i="13"/>
  <c r="B1305" i="13"/>
  <c r="L1303" i="13"/>
  <c r="I1302" i="13"/>
  <c r="F1301" i="13"/>
  <c r="C1300" i="13"/>
  <c r="M1298" i="13"/>
  <c r="J1297" i="13"/>
  <c r="G1296" i="13"/>
  <c r="D1295" i="13"/>
  <c r="A1294" i="13"/>
  <c r="K1292" i="13"/>
  <c r="H1291" i="13"/>
  <c r="E1290" i="13"/>
  <c r="B1289" i="13"/>
  <c r="L1287" i="13"/>
  <c r="I1286" i="13"/>
  <c r="F1285" i="13"/>
  <c r="C1284" i="13"/>
  <c r="M1282" i="13"/>
  <c r="I1281" i="13"/>
  <c r="E1280" i="13"/>
  <c r="A1279" i="13"/>
  <c r="I1277" i="13"/>
  <c r="E1276" i="13"/>
  <c r="A1275" i="13"/>
  <c r="J1273" i="13"/>
  <c r="G1272" i="13"/>
  <c r="D1271" i="13"/>
  <c r="A1270" i="13"/>
  <c r="K1268" i="13"/>
  <c r="H1267" i="13"/>
  <c r="E1266" i="13"/>
  <c r="B1265" i="13"/>
  <c r="L1263" i="13"/>
  <c r="I1262" i="13"/>
  <c r="F1261" i="13"/>
  <c r="C1260" i="13"/>
  <c r="M1258" i="13"/>
  <c r="J1257" i="13"/>
  <c r="G1256" i="13"/>
  <c r="D1255" i="13"/>
  <c r="E1560" i="13"/>
  <c r="H1540" i="13"/>
  <c r="F1519" i="13"/>
  <c r="E1499" i="13"/>
  <c r="J1485" i="13"/>
  <c r="B1475" i="13"/>
  <c r="F1464" i="13"/>
  <c r="B1454" i="13"/>
  <c r="F1446" i="13"/>
  <c r="I1439" i="13"/>
  <c r="B1433" i="13"/>
  <c r="F1428" i="13"/>
  <c r="J1425" i="13"/>
  <c r="B1423" i="13"/>
  <c r="F1420" i="13"/>
  <c r="K1417" i="13"/>
  <c r="E1415" i="13"/>
  <c r="L1412" i="13"/>
  <c r="F1410" i="13"/>
  <c r="M1407" i="13"/>
  <c r="H1405" i="13"/>
  <c r="M1403" i="13"/>
  <c r="E1402" i="13"/>
  <c r="I1400" i="13"/>
  <c r="A1399" i="13"/>
  <c r="F1397" i="13"/>
  <c r="J1395" i="13"/>
  <c r="B1394" i="13"/>
  <c r="G1392" i="13"/>
  <c r="K1390" i="13"/>
  <c r="C1389" i="13"/>
  <c r="H1387" i="13"/>
  <c r="L1385" i="13"/>
  <c r="D1384" i="13"/>
  <c r="I1382" i="13"/>
  <c r="M1380" i="13"/>
  <c r="E1379" i="13"/>
  <c r="J1377" i="13"/>
  <c r="A1376" i="13"/>
  <c r="F1374" i="13"/>
  <c r="K1372" i="13"/>
  <c r="B1371" i="13"/>
  <c r="G1369" i="13"/>
  <c r="L1367" i="13"/>
  <c r="C1366" i="13"/>
  <c r="H1364" i="13"/>
  <c r="M1362" i="13"/>
  <c r="D1361" i="13"/>
  <c r="I1359" i="13"/>
  <c r="A1358" i="13"/>
  <c r="E1356" i="13"/>
  <c r="J1354" i="13"/>
  <c r="B1353" i="13"/>
  <c r="F1351" i="13"/>
  <c r="K1349" i="13"/>
  <c r="C1348" i="13"/>
  <c r="G1346" i="13"/>
  <c r="J1344" i="13"/>
  <c r="A1343" i="13"/>
  <c r="C1341" i="13"/>
  <c r="F1339" i="13"/>
  <c r="M1337" i="13"/>
  <c r="H1336" i="13"/>
  <c r="D1335" i="13"/>
  <c r="M1333" i="13"/>
  <c r="H1332" i="13"/>
  <c r="D1331" i="13"/>
  <c r="M1329" i="13"/>
  <c r="H1328" i="13"/>
  <c r="D1327" i="13"/>
  <c r="M1325" i="13"/>
  <c r="H1324" i="13"/>
  <c r="D1323" i="13"/>
  <c r="M1321" i="13"/>
  <c r="J1320" i="13"/>
  <c r="G1319" i="13"/>
  <c r="D1318" i="13"/>
  <c r="A1317" i="13"/>
  <c r="K1315" i="13"/>
  <c r="H1314" i="13"/>
  <c r="E1313" i="13"/>
  <c r="B1312" i="13"/>
  <c r="L1310" i="13"/>
  <c r="I1309" i="13"/>
  <c r="F1308" i="13"/>
  <c r="C1307" i="13"/>
  <c r="M1305" i="13"/>
  <c r="J1304" i="13"/>
  <c r="G1303" i="13"/>
  <c r="D1302" i="13"/>
  <c r="A1301" i="13"/>
  <c r="K1299" i="13"/>
  <c r="H1298" i="13"/>
  <c r="E1297" i="13"/>
  <c r="B1296" i="13"/>
  <c r="L1294" i="13"/>
  <c r="I1293" i="13"/>
  <c r="F1292" i="13"/>
  <c r="C1291" i="13"/>
  <c r="M1289" i="13"/>
  <c r="J1288" i="13"/>
  <c r="G1287" i="13"/>
  <c r="D1286" i="13"/>
  <c r="A1285" i="13"/>
  <c r="K1283" i="13"/>
  <c r="H1282" i="13"/>
  <c r="D1281" i="13"/>
  <c r="M1279" i="13"/>
  <c r="H1278" i="13"/>
  <c r="D1277" i="13"/>
  <c r="M1275" i="13"/>
  <c r="H1274" i="13"/>
  <c r="E1273" i="13"/>
  <c r="B1272" i="13"/>
  <c r="L1270" i="13"/>
  <c r="G1379" i="13"/>
  <c r="H1374" i="13"/>
  <c r="I1369" i="13"/>
  <c r="J1364" i="13"/>
  <c r="K1359" i="13"/>
  <c r="L1354" i="13"/>
  <c r="M1349" i="13"/>
  <c r="M1344" i="13"/>
  <c r="H1339" i="13"/>
  <c r="F1555" i="13"/>
  <c r="G1535" i="13"/>
  <c r="C1514" i="13"/>
  <c r="G1494" i="13"/>
  <c r="C1483" i="13"/>
  <c r="G1472" i="13"/>
  <c r="L1461" i="13"/>
  <c r="J1451" i="13"/>
  <c r="L1444" i="13"/>
  <c r="A1438" i="13"/>
  <c r="L1431" i="13"/>
  <c r="G1426" i="13"/>
  <c r="C1421" i="13"/>
  <c r="A1416" i="13"/>
  <c r="B1411" i="13"/>
  <c r="C1406" i="13"/>
  <c r="H1500" i="13"/>
  <c r="J1454" i="13"/>
  <c r="I1428" i="13"/>
  <c r="A1418" i="13"/>
  <c r="B1413" i="13"/>
  <c r="I1410" i="13"/>
  <c r="C1408" i="13"/>
  <c r="J1405" i="13"/>
  <c r="A1404" i="13"/>
  <c r="F1402" i="13"/>
  <c r="K1400" i="13"/>
  <c r="B1399" i="13"/>
  <c r="G1397" i="13"/>
  <c r="L1395" i="13"/>
  <c r="C1394" i="13"/>
  <c r="H1392" i="13"/>
  <c r="M1390" i="13"/>
  <c r="D1389" i="13"/>
  <c r="I1387" i="13"/>
  <c r="A1386" i="13"/>
  <c r="E1384" i="13"/>
  <c r="J1382" i="13"/>
  <c r="B1381" i="13"/>
  <c r="F1379" i="13"/>
  <c r="K1377" i="13"/>
  <c r="C1376" i="13"/>
  <c r="G1374" i="13"/>
  <c r="L1372" i="13"/>
  <c r="D1371" i="13"/>
  <c r="H1369" i="13"/>
  <c r="M1367" i="13"/>
  <c r="E1366" i="13"/>
  <c r="I1364" i="13"/>
  <c r="A1363" i="13"/>
  <c r="F1361" i="13"/>
  <c r="J1359" i="13"/>
  <c r="B1358" i="13"/>
  <c r="G1356" i="13"/>
  <c r="K1354" i="13"/>
  <c r="C1353" i="13"/>
  <c r="H1351" i="13"/>
  <c r="L1349" i="13"/>
  <c r="D1348" i="13"/>
  <c r="I1346" i="13"/>
  <c r="L1344" i="13"/>
  <c r="B1343" i="13"/>
  <c r="E1341" i="13"/>
  <c r="G1339" i="13"/>
  <c r="A1338" i="13"/>
  <c r="I1336" i="13"/>
  <c r="E1335" i="13"/>
  <c r="A1334" i="13"/>
  <c r="I1332" i="13"/>
  <c r="E1331" i="13"/>
  <c r="A1330" i="13"/>
  <c r="I1328" i="13"/>
  <c r="E1327" i="13"/>
  <c r="A1326" i="13"/>
  <c r="I1324" i="13"/>
  <c r="E1323" i="13"/>
  <c r="A1322" i="13"/>
  <c r="K1320" i="13"/>
  <c r="H1319" i="13"/>
  <c r="E1318" i="13"/>
  <c r="B1317" i="13"/>
  <c r="L1315" i="13"/>
  <c r="I1314" i="13"/>
  <c r="F1313" i="13"/>
  <c r="C1312" i="13"/>
  <c r="M1310" i="13"/>
  <c r="J1309" i="13"/>
  <c r="G1308" i="13"/>
  <c r="D1307" i="13"/>
  <c r="A1306" i="13"/>
  <c r="K1304" i="13"/>
  <c r="H1303" i="13"/>
  <c r="E1302" i="13"/>
  <c r="B1301" i="13"/>
  <c r="L1299" i="13"/>
  <c r="I1298" i="13"/>
  <c r="F1297" i="13"/>
  <c r="C1296" i="13"/>
  <c r="M1294" i="13"/>
  <c r="J1293" i="13"/>
  <c r="G1292" i="13"/>
  <c r="D1291" i="13"/>
  <c r="A1290" i="13"/>
  <c r="K1288" i="13"/>
  <c r="H1287" i="13"/>
  <c r="E1286" i="13"/>
  <c r="B1285" i="13"/>
  <c r="L1283" i="13"/>
  <c r="I1282" i="13"/>
  <c r="E1281" i="13"/>
  <c r="A1280" i="13"/>
  <c r="I1278" i="13"/>
  <c r="E1277" i="13"/>
  <c r="A1276" i="13"/>
  <c r="I1274" i="13"/>
  <c r="F1273" i="13"/>
  <c r="C1272" i="13"/>
  <c r="M1270" i="13"/>
  <c r="J1269" i="13"/>
  <c r="G1268" i="13"/>
  <c r="D1267" i="13"/>
  <c r="A1266" i="13"/>
  <c r="K1264" i="13"/>
  <c r="H1263" i="13"/>
  <c r="E1262" i="13"/>
  <c r="B1261" i="13"/>
  <c r="L1259" i="13"/>
  <c r="I1258" i="13"/>
  <c r="F1257" i="13"/>
  <c r="C1256" i="13"/>
  <c r="M1254" i="13"/>
  <c r="E1555" i="13"/>
  <c r="F1535" i="13"/>
  <c r="B1514" i="13"/>
  <c r="F1494" i="13"/>
  <c r="B1483" i="13"/>
  <c r="F1472" i="13"/>
  <c r="J1461" i="13"/>
  <c r="I1451" i="13"/>
  <c r="K1444" i="13"/>
  <c r="L1437" i="13"/>
  <c r="J1431" i="13"/>
  <c r="J1427" i="13"/>
  <c r="B1425" i="13"/>
  <c r="F1422" i="13"/>
  <c r="J1419" i="13"/>
  <c r="C1417" i="13"/>
  <c r="J1414" i="13"/>
  <c r="D1412" i="13"/>
  <c r="K1409" i="13"/>
  <c r="E1407" i="13"/>
  <c r="C1405" i="13"/>
  <c r="H1403" i="13"/>
  <c r="L1401" i="13"/>
  <c r="D1400" i="13"/>
  <c r="I1398" i="13"/>
  <c r="M1396" i="13"/>
  <c r="E1395" i="13"/>
  <c r="J1393" i="13"/>
  <c r="A1392" i="13"/>
  <c r="F1390" i="13"/>
  <c r="K1388" i="13"/>
  <c r="B1387" i="13"/>
  <c r="G1385" i="13"/>
  <c r="L1383" i="13"/>
  <c r="C1382" i="13"/>
  <c r="H1380" i="13"/>
  <c r="M1378" i="13"/>
  <c r="D1377" i="13"/>
  <c r="I1375" i="13"/>
  <c r="A1374" i="13"/>
  <c r="E1372" i="13"/>
  <c r="J1370" i="13"/>
  <c r="B1369" i="13"/>
  <c r="F1367" i="13"/>
  <c r="K1365" i="13"/>
  <c r="C1364" i="13"/>
  <c r="G1362" i="13"/>
  <c r="L1360" i="13"/>
  <c r="D1359" i="13"/>
  <c r="H1357" i="13"/>
  <c r="M1355" i="13"/>
  <c r="E1354" i="13"/>
  <c r="I1352" i="13"/>
  <c r="A1351" i="13"/>
  <c r="F1349" i="13"/>
  <c r="J1347" i="13"/>
  <c r="B1346" i="13"/>
  <c r="E1344" i="13"/>
  <c r="G1342" i="13"/>
  <c r="J1340" i="13"/>
  <c r="A1339" i="13"/>
  <c r="H1337" i="13"/>
  <c r="D1336" i="13"/>
  <c r="M1334" i="13"/>
  <c r="H1333" i="13"/>
  <c r="D1332" i="13"/>
  <c r="M1330" i="13"/>
  <c r="H1329" i="13"/>
  <c r="D1328" i="13"/>
  <c r="M1326" i="13"/>
  <c r="H1325" i="13"/>
  <c r="D1324" i="13"/>
  <c r="M1322" i="13"/>
  <c r="I1321" i="13"/>
  <c r="F1320" i="13"/>
  <c r="C1319" i="13"/>
  <c r="M1317" i="13"/>
  <c r="J1316" i="13"/>
  <c r="G1315" i="13"/>
  <c r="D1314" i="13"/>
  <c r="A1313" i="13"/>
  <c r="K1311" i="13"/>
  <c r="H1310" i="13"/>
  <c r="E1309" i="13"/>
  <c r="B1308" i="13"/>
  <c r="L1306" i="13"/>
  <c r="I1305" i="13"/>
  <c r="F1304" i="13"/>
  <c r="C1303" i="13"/>
  <c r="M1301" i="13"/>
  <c r="J1300" i="13"/>
  <c r="G1299" i="13"/>
  <c r="D1298" i="13"/>
  <c r="A1297" i="13"/>
  <c r="K1295" i="13"/>
  <c r="H1294" i="13"/>
  <c r="E1293" i="13"/>
  <c r="B1292" i="13"/>
  <c r="L1290" i="13"/>
  <c r="I1289" i="13"/>
  <c r="F1288" i="13"/>
  <c r="C1287" i="13"/>
  <c r="M1285" i="13"/>
  <c r="J1284" i="13"/>
  <c r="G1283" i="13"/>
  <c r="D1282" i="13"/>
  <c r="M1280" i="13"/>
  <c r="H1279" i="13"/>
  <c r="D1278" i="13"/>
  <c r="M1276" i="13"/>
  <c r="H1275" i="13"/>
  <c r="D1274" i="13"/>
  <c r="A1273" i="13"/>
  <c r="K1271" i="13"/>
  <c r="H1270" i="13"/>
  <c r="D1378" i="13"/>
  <c r="E1373" i="13"/>
  <c r="F1368" i="13"/>
  <c r="G1363" i="13"/>
  <c r="H1358" i="13"/>
  <c r="I1353" i="13"/>
  <c r="J1348" i="13"/>
  <c r="H1343" i="13"/>
  <c r="J1593" i="13"/>
  <c r="G1550" i="13"/>
  <c r="C1530" i="13"/>
  <c r="D1509" i="13"/>
  <c r="A1491" i="13"/>
  <c r="G1480" i="13"/>
  <c r="L1469" i="13"/>
  <c r="C1459" i="13"/>
  <c r="K1449" i="13"/>
  <c r="D1443" i="13"/>
  <c r="C1436" i="13"/>
  <c r="G1430" i="13"/>
  <c r="C1425" i="13"/>
  <c r="L1419" i="13"/>
  <c r="K1414" i="13"/>
  <c r="L1409" i="13"/>
  <c r="I1561" i="13"/>
  <c r="E1486" i="13"/>
  <c r="K1446" i="13"/>
  <c r="A1426" i="13"/>
  <c r="H1415" i="13"/>
  <c r="G1412" i="13"/>
  <c r="A1410" i="13"/>
  <c r="H1407" i="13"/>
  <c r="D1405" i="13"/>
  <c r="I1403" i="13"/>
  <c r="A1402" i="13"/>
  <c r="E1400" i="13"/>
  <c r="J1398" i="13"/>
  <c r="B1397" i="13"/>
  <c r="F1395" i="13"/>
  <c r="K1393" i="13"/>
  <c r="C1392" i="13"/>
  <c r="G1390" i="13"/>
  <c r="L1388" i="13"/>
  <c r="D1387" i="13"/>
  <c r="H1385" i="13"/>
  <c r="M1383" i="13"/>
  <c r="E1382" i="13"/>
  <c r="I1380" i="13"/>
  <c r="A1379" i="13"/>
  <c r="F1377" i="13"/>
  <c r="J1375" i="13"/>
  <c r="B1374" i="13"/>
  <c r="G1372" i="13"/>
  <c r="K1370" i="13"/>
  <c r="C1369" i="13"/>
  <c r="H1367" i="13"/>
  <c r="L1365" i="13"/>
  <c r="D1364" i="13"/>
  <c r="I1362" i="13"/>
  <c r="M1360" i="13"/>
  <c r="E1359" i="13"/>
  <c r="J1357" i="13"/>
  <c r="A1356" i="13"/>
  <c r="F1354" i="13"/>
  <c r="K1352" i="13"/>
  <c r="B1351" i="13"/>
  <c r="G1349" i="13"/>
  <c r="L1347" i="13"/>
  <c r="C1346" i="13"/>
  <c r="F1344" i="13"/>
  <c r="I1342" i="13"/>
  <c r="L1340" i="13"/>
  <c r="B1339" i="13"/>
  <c r="I1337" i="13"/>
  <c r="E1336" i="13"/>
  <c r="A1335" i="13"/>
  <c r="I1333" i="13"/>
  <c r="E1332" i="13"/>
  <c r="A1331" i="13"/>
  <c r="I1329" i="13"/>
  <c r="E1328" i="13"/>
  <c r="A1327" i="13"/>
  <c r="I1325" i="13"/>
  <c r="E1324" i="13"/>
  <c r="A1323" i="13"/>
  <c r="J1321" i="13"/>
  <c r="G1320" i="13"/>
  <c r="D1319" i="13"/>
  <c r="A1318" i="13"/>
  <c r="K1316" i="13"/>
  <c r="H1315" i="13"/>
  <c r="E1314" i="13"/>
  <c r="B1313" i="13"/>
  <c r="L1311" i="13"/>
  <c r="I1310" i="13"/>
  <c r="F1309" i="13"/>
  <c r="C1308" i="13"/>
  <c r="M1306" i="13"/>
  <c r="J1305" i="13"/>
  <c r="G1304" i="13"/>
  <c r="D1303" i="13"/>
  <c r="A1302" i="13"/>
  <c r="K1300" i="13"/>
  <c r="H1299" i="13"/>
  <c r="E1298" i="13"/>
  <c r="B1297" i="13"/>
  <c r="L1295" i="13"/>
  <c r="I1294" i="13"/>
  <c r="F1293" i="13"/>
  <c r="C1292" i="13"/>
  <c r="M1290" i="13"/>
  <c r="J1289" i="13"/>
  <c r="G1288" i="13"/>
  <c r="D1287" i="13"/>
  <c r="A1286" i="13"/>
  <c r="K1284" i="13"/>
  <c r="H1283" i="13"/>
  <c r="E1282" i="13"/>
  <c r="A1281" i="13"/>
  <c r="I1279" i="13"/>
  <c r="E1278" i="13"/>
  <c r="A1277" i="13"/>
  <c r="I1275" i="13"/>
  <c r="E1274" i="13"/>
  <c r="B1273" i="13"/>
  <c r="L1271" i="13"/>
  <c r="I1270" i="13"/>
  <c r="F1269" i="13"/>
  <c r="C1268" i="13"/>
  <c r="M1266" i="13"/>
  <c r="J1265" i="13"/>
  <c r="G1264" i="13"/>
  <c r="D1263" i="13"/>
  <c r="A1262" i="13"/>
  <c r="K1260" i="13"/>
  <c r="H1259" i="13"/>
  <c r="E1258" i="13"/>
  <c r="B1257" i="13"/>
  <c r="L1255" i="13"/>
  <c r="J1592" i="13"/>
  <c r="F1550" i="13"/>
  <c r="B1530" i="13"/>
  <c r="C1509" i="13"/>
  <c r="M1490" i="13"/>
  <c r="F1480" i="13"/>
  <c r="J1469" i="13"/>
  <c r="B1459" i="13"/>
  <c r="J1449" i="13"/>
  <c r="B1443" i="13"/>
  <c r="B1436" i="13"/>
  <c r="F1430" i="13"/>
  <c r="B1427" i="13"/>
  <c r="F1424" i="13"/>
  <c r="J1421" i="13"/>
  <c r="B1419" i="13"/>
  <c r="H1416" i="13"/>
  <c r="B1414" i="13"/>
  <c r="I1411" i="13"/>
  <c r="C1409" i="13"/>
  <c r="J1406" i="13"/>
  <c r="K1404" i="13"/>
  <c r="B1403" i="13"/>
  <c r="G1401" i="13"/>
  <c r="L1399" i="13"/>
  <c r="C1398" i="13"/>
  <c r="H1396" i="13"/>
  <c r="M1394" i="13"/>
  <c r="D1393" i="13"/>
  <c r="I1391" i="13"/>
  <c r="A1390" i="13"/>
  <c r="E1388" i="13"/>
  <c r="J1386" i="13"/>
  <c r="B1385" i="13"/>
  <c r="F1383" i="13"/>
  <c r="K1381" i="13"/>
  <c r="C1380" i="13"/>
  <c r="G1378" i="13"/>
  <c r="L1376" i="13"/>
  <c r="D1375" i="13"/>
  <c r="H1373" i="13"/>
  <c r="M1371" i="13"/>
  <c r="E1370" i="13"/>
  <c r="I1368" i="13"/>
  <c r="A1367" i="13"/>
  <c r="F1365" i="13"/>
  <c r="J1363" i="13"/>
  <c r="B1362" i="13"/>
  <c r="G1360" i="13"/>
  <c r="K1358" i="13"/>
  <c r="C1357" i="13"/>
  <c r="H1355" i="13"/>
  <c r="L1353" i="13"/>
  <c r="D1352" i="13"/>
  <c r="I1350" i="13"/>
  <c r="M1348" i="13"/>
  <c r="E1347" i="13"/>
  <c r="I1345" i="13"/>
  <c r="L1343" i="13"/>
  <c r="B1342" i="13"/>
  <c r="E1340" i="13"/>
  <c r="H1338" i="13"/>
  <c r="D1337" i="13"/>
  <c r="M1335" i="13"/>
  <c r="H1334" i="13"/>
  <c r="D1333" i="13"/>
  <c r="M1331" i="13"/>
  <c r="H1330" i="13"/>
  <c r="D1329" i="13"/>
  <c r="M1327" i="13"/>
  <c r="H1326" i="13"/>
  <c r="D1325" i="13"/>
  <c r="M1323" i="13"/>
  <c r="H1322" i="13"/>
  <c r="E1321" i="13"/>
  <c r="B1320" i="13"/>
  <c r="L1318" i="13"/>
  <c r="I1317" i="13"/>
  <c r="F1316" i="13"/>
  <c r="C1315" i="13"/>
  <c r="M1313" i="13"/>
  <c r="J1312" i="13"/>
  <c r="G1311" i="13"/>
  <c r="D1310" i="13"/>
  <c r="A1309" i="13"/>
  <c r="K1307" i="13"/>
  <c r="H1306" i="13"/>
  <c r="E1305" i="13"/>
  <c r="B1304" i="13"/>
  <c r="L1302" i="13"/>
  <c r="I1301" i="13"/>
  <c r="F1300" i="13"/>
  <c r="C1299" i="13"/>
  <c r="M1297" i="13"/>
  <c r="J1296" i="13"/>
  <c r="G1295" i="13"/>
  <c r="D1294" i="13"/>
  <c r="A1293" i="13"/>
  <c r="K1291" i="13"/>
  <c r="H1290" i="13"/>
  <c r="E1289" i="13"/>
  <c r="B1288" i="13"/>
  <c r="L1286" i="13"/>
  <c r="I1285" i="13"/>
  <c r="F1284" i="13"/>
  <c r="C1283" i="13"/>
  <c r="M1281" i="13"/>
  <c r="H1280" i="13"/>
  <c r="D1279" i="13"/>
  <c r="M1277" i="13"/>
  <c r="H1276" i="13"/>
  <c r="D1275" i="13"/>
  <c r="M1273" i="13"/>
  <c r="J1272" i="13"/>
  <c r="G1271" i="13"/>
  <c r="D1270" i="13"/>
  <c r="A1377" i="13"/>
  <c r="B1372" i="13"/>
  <c r="C1367" i="13"/>
  <c r="D1362" i="13"/>
  <c r="E1357" i="13"/>
  <c r="F1352" i="13"/>
  <c r="G1347" i="13"/>
  <c r="D1342" i="13"/>
  <c r="A1573" i="13"/>
  <c r="H1545" i="13"/>
  <c r="L1524" i="13"/>
  <c r="E1504" i="13"/>
  <c r="F1488" i="13"/>
  <c r="L1477" i="13"/>
  <c r="C1467" i="13"/>
  <c r="I1456" i="13"/>
  <c r="C1448" i="13"/>
  <c r="G1441" i="13"/>
  <c r="G1434" i="13"/>
  <c r="C1429" i="13"/>
  <c r="L1423" i="13"/>
  <c r="G1418" i="13"/>
  <c r="H1413" i="13"/>
  <c r="I1408" i="13"/>
  <c r="K1541" i="13"/>
  <c r="J1475" i="13"/>
  <c r="B1440" i="13"/>
  <c r="E1423" i="13"/>
  <c r="M1414" i="13"/>
  <c r="L1411" i="13"/>
  <c r="F1409" i="13"/>
  <c r="M1406" i="13"/>
  <c r="L1404" i="13"/>
  <c r="D1403" i="13"/>
  <c r="H1401" i="13"/>
  <c r="M1399" i="13"/>
  <c r="E1398" i="13"/>
  <c r="I1396" i="13"/>
  <c r="A1395" i="13"/>
  <c r="F1393" i="13"/>
  <c r="J1391" i="13"/>
  <c r="B1390" i="13"/>
  <c r="G1388" i="13"/>
  <c r="K1386" i="13"/>
  <c r="C1385" i="13"/>
  <c r="H1383" i="13"/>
  <c r="L1381" i="13"/>
  <c r="D1380" i="13"/>
  <c r="I1378" i="13"/>
  <c r="M1376" i="13"/>
  <c r="E1375" i="13"/>
  <c r="J1373" i="13"/>
  <c r="A1372" i="13"/>
  <c r="F1370" i="13"/>
  <c r="K1368" i="13"/>
  <c r="B1367" i="13"/>
  <c r="G1365" i="13"/>
  <c r="L1363" i="13"/>
  <c r="C1362" i="13"/>
  <c r="H1360" i="13"/>
  <c r="M1358" i="13"/>
  <c r="D1357" i="13"/>
  <c r="I1355" i="13"/>
  <c r="A1354" i="13"/>
  <c r="E1352" i="13"/>
  <c r="J1350" i="13"/>
  <c r="B1349" i="13"/>
  <c r="F1347" i="13"/>
  <c r="J1345" i="13"/>
  <c r="A1344" i="13"/>
  <c r="C1342" i="13"/>
  <c r="F1340" i="13"/>
  <c r="I1338" i="13"/>
  <c r="E1337" i="13"/>
  <c r="A1336" i="13"/>
  <c r="I1334" i="13"/>
  <c r="E1333" i="13"/>
  <c r="A1332" i="13"/>
  <c r="I1330" i="13"/>
  <c r="E1329" i="13"/>
  <c r="A1328" i="13"/>
  <c r="I1326" i="13"/>
  <c r="E1325" i="13"/>
  <c r="A1324" i="13"/>
  <c r="I1322" i="13"/>
  <c r="F1321" i="13"/>
  <c r="C1320" i="13"/>
  <c r="M1318" i="13"/>
  <c r="J1317" i="13"/>
  <c r="G1316" i="13"/>
  <c r="D1315" i="13"/>
  <c r="A1314" i="13"/>
  <c r="K1312" i="13"/>
  <c r="H1311" i="13"/>
  <c r="E1310" i="13"/>
  <c r="B1309" i="13"/>
  <c r="L1307" i="13"/>
  <c r="I1306" i="13"/>
  <c r="F1305" i="13"/>
  <c r="C1304" i="13"/>
  <c r="M1302" i="13"/>
  <c r="J1301" i="13"/>
  <c r="G1300" i="13"/>
  <c r="D1299" i="13"/>
  <c r="A1298" i="13"/>
  <c r="K1296" i="13"/>
  <c r="H1295" i="13"/>
  <c r="E1294" i="13"/>
  <c r="B1293" i="13"/>
  <c r="L1291" i="13"/>
  <c r="I1290" i="13"/>
  <c r="F1289" i="13"/>
  <c r="C1288" i="13"/>
  <c r="M1286" i="13"/>
  <c r="J1285" i="13"/>
  <c r="G1284" i="13"/>
  <c r="D1283" i="13"/>
  <c r="A1282" i="13"/>
  <c r="I1280" i="13"/>
  <c r="E1279" i="13"/>
  <c r="A1278" i="13"/>
  <c r="I1276" i="13"/>
  <c r="E1275" i="13"/>
  <c r="A1274" i="13"/>
  <c r="K1272" i="13"/>
  <c r="H1271" i="13"/>
  <c r="E1270" i="13"/>
  <c r="B1269" i="13"/>
  <c r="L1267" i="13"/>
  <c r="I1266" i="13"/>
  <c r="F1265" i="13"/>
  <c r="C1264" i="13"/>
  <c r="M1262" i="13"/>
  <c r="J1261" i="13"/>
  <c r="G1260" i="13"/>
  <c r="D1259" i="13"/>
  <c r="A1258" i="13"/>
  <c r="K1256" i="13"/>
  <c r="H1255" i="13"/>
  <c r="I1572" i="13"/>
  <c r="G1545" i="13"/>
  <c r="J1524" i="13"/>
  <c r="D1504" i="13"/>
  <c r="E1488" i="13"/>
  <c r="J1477" i="13"/>
  <c r="B1467" i="13"/>
  <c r="H1456" i="13"/>
  <c r="A1448" i="13"/>
  <c r="F1441" i="13"/>
  <c r="F1434" i="13"/>
  <c r="B1429" i="13"/>
  <c r="F1426" i="13"/>
  <c r="J1423" i="13"/>
  <c r="B1421" i="13"/>
  <c r="F1418" i="13"/>
  <c r="M1415" i="13"/>
  <c r="G1413" i="13"/>
  <c r="A1411" i="13"/>
  <c r="H1408" i="13"/>
  <c r="B1406" i="13"/>
  <c r="E1404" i="13"/>
  <c r="J1402" i="13"/>
  <c r="B1401" i="13"/>
  <c r="F1399" i="13"/>
  <c r="K1397" i="13"/>
  <c r="C1396" i="13"/>
  <c r="G1394" i="13"/>
  <c r="L1392" i="13"/>
  <c r="D1391" i="13"/>
  <c r="H1389" i="13"/>
  <c r="M1387" i="13"/>
  <c r="E1386" i="13"/>
  <c r="I1384" i="13"/>
  <c r="A1383" i="13"/>
  <c r="F1381" i="13"/>
  <c r="J1379" i="13"/>
  <c r="B1378" i="13"/>
  <c r="G1376" i="13"/>
  <c r="K1374" i="13"/>
  <c r="C1373" i="13"/>
  <c r="H1371" i="13"/>
  <c r="L1369" i="13"/>
  <c r="D1368" i="13"/>
  <c r="I1366" i="13"/>
  <c r="M1364" i="13"/>
  <c r="E1363" i="13"/>
  <c r="J1361" i="13"/>
  <c r="A1360" i="13"/>
  <c r="F1358" i="13"/>
  <c r="K1356" i="13"/>
  <c r="B1355" i="13"/>
  <c r="G1353" i="13"/>
  <c r="L1351" i="13"/>
  <c r="C1350" i="13"/>
  <c r="H1348" i="13"/>
  <c r="M1346" i="13"/>
  <c r="C1345" i="13"/>
  <c r="F1343" i="13"/>
  <c r="I1341" i="13"/>
  <c r="L1339" i="13"/>
  <c r="D1338" i="13"/>
  <c r="M1336" i="13"/>
  <c r="H1335" i="13"/>
  <c r="D1334" i="13"/>
  <c r="M1332" i="13"/>
  <c r="H1331" i="13"/>
  <c r="D1330" i="13"/>
  <c r="M1328" i="13"/>
  <c r="H1327" i="13"/>
  <c r="D1326" i="13"/>
  <c r="M1324" i="13"/>
  <c r="H1323" i="13"/>
  <c r="D1322" i="13"/>
  <c r="A1321" i="13"/>
  <c r="K1319" i="13"/>
  <c r="H1318" i="13"/>
  <c r="E1317" i="13"/>
  <c r="B1316" i="13"/>
  <c r="L1314" i="13"/>
  <c r="I1313" i="13"/>
  <c r="F1312" i="13"/>
  <c r="C1311" i="13"/>
  <c r="M1309" i="13"/>
  <c r="J1308" i="13"/>
  <c r="G1307" i="13"/>
  <c r="D1306" i="13"/>
  <c r="A1305" i="13"/>
  <c r="K1303" i="13"/>
  <c r="H1302" i="13"/>
  <c r="E1301" i="13"/>
  <c r="B1300" i="13"/>
  <c r="L1298" i="13"/>
  <c r="I1297" i="13"/>
  <c r="F1296" i="13"/>
  <c r="C1295" i="13"/>
  <c r="M1293" i="13"/>
  <c r="J1292" i="13"/>
  <c r="G1291" i="13"/>
  <c r="D1290" i="13"/>
  <c r="A1289" i="13"/>
  <c r="K1287" i="13"/>
  <c r="H1286" i="13"/>
  <c r="E1285" i="13"/>
  <c r="B1284" i="13"/>
  <c r="L1282" i="13"/>
  <c r="H1281" i="13"/>
  <c r="D1280" i="13"/>
  <c r="M1278" i="13"/>
  <c r="H1277" i="13"/>
  <c r="D1276" i="13"/>
  <c r="M1274" i="13"/>
  <c r="I1273" i="13"/>
  <c r="F1272" i="13"/>
  <c r="C1271" i="13"/>
  <c r="M1269" i="13"/>
  <c r="I1269" i="13"/>
  <c r="F1268" i="13"/>
  <c r="C1267" i="13"/>
  <c r="M1265" i="13"/>
  <c r="J1264" i="13"/>
  <c r="G1263" i="13"/>
  <c r="D1262" i="13"/>
  <c r="A1261" i="13"/>
  <c r="K1259" i="13"/>
  <c r="H1258" i="13"/>
  <c r="E1257" i="13"/>
  <c r="B1256" i="13"/>
  <c r="L1254" i="13"/>
  <c r="B1554" i="13"/>
  <c r="B1534" i="13"/>
  <c r="L1512" i="13"/>
  <c r="C1493" i="13"/>
  <c r="F1482" i="13"/>
  <c r="J1471" i="13"/>
  <c r="B1461" i="13"/>
  <c r="A1451" i="13"/>
  <c r="E1444" i="13"/>
  <c r="F1437" i="13"/>
  <c r="F1431" i="13"/>
  <c r="I1427" i="13"/>
  <c r="A1425" i="13"/>
  <c r="E1422" i="13"/>
  <c r="I1419" i="13"/>
  <c r="B1417" i="13"/>
  <c r="I1414" i="13"/>
  <c r="C1412" i="13"/>
  <c r="J1409" i="13"/>
  <c r="D1407" i="13"/>
  <c r="B1405" i="13"/>
  <c r="F1403" i="13"/>
  <c r="K1401" i="13"/>
  <c r="C1400" i="13"/>
  <c r="G1398" i="13"/>
  <c r="L1396" i="13"/>
  <c r="D1395" i="13"/>
  <c r="H1393" i="13"/>
  <c r="M1391" i="13"/>
  <c r="E1390" i="13"/>
  <c r="I1388" i="13"/>
  <c r="A1387" i="13"/>
  <c r="F1385" i="13"/>
  <c r="J1383" i="13"/>
  <c r="B1382" i="13"/>
  <c r="G1380" i="13"/>
  <c r="K1378" i="13"/>
  <c r="C1377" i="13"/>
  <c r="H1375" i="13"/>
  <c r="L1373" i="13"/>
  <c r="D1372" i="13"/>
  <c r="I1370" i="13"/>
  <c r="M1368" i="13"/>
  <c r="E1367" i="13"/>
  <c r="J1365" i="13"/>
  <c r="A1364" i="13"/>
  <c r="F1362" i="13"/>
  <c r="K1360" i="13"/>
  <c r="B1359" i="13"/>
  <c r="G1357" i="13"/>
  <c r="L1355" i="13"/>
  <c r="C1354" i="13"/>
  <c r="H1352" i="13"/>
  <c r="M1350" i="13"/>
  <c r="D1349" i="13"/>
  <c r="I1347" i="13"/>
  <c r="A1346" i="13"/>
  <c r="C1344" i="13"/>
  <c r="F1342" i="13"/>
  <c r="I1340" i="13"/>
  <c r="L1338" i="13"/>
  <c r="G1337" i="13"/>
  <c r="C1336" i="13"/>
  <c r="L1334" i="13"/>
  <c r="G1333" i="13"/>
  <c r="C1332" i="13"/>
  <c r="L1330" i="13"/>
  <c r="G1329" i="13"/>
  <c r="C1328" i="13"/>
  <c r="L1326" i="13"/>
  <c r="G1325" i="13"/>
  <c r="C1324" i="13"/>
  <c r="L1322" i="13"/>
  <c r="H1321" i="13"/>
  <c r="E1320" i="13"/>
  <c r="B1319" i="13"/>
  <c r="L1317" i="13"/>
  <c r="I1316" i="13"/>
  <c r="F1315" i="13"/>
  <c r="C1314" i="13"/>
  <c r="M1312" i="13"/>
  <c r="J1311" i="13"/>
  <c r="G1310" i="13"/>
  <c r="D1309" i="13"/>
  <c r="A1308" i="13"/>
  <c r="K1306" i="13"/>
  <c r="H1305" i="13"/>
  <c r="E1304" i="13"/>
  <c r="B1303" i="13"/>
  <c r="L1301" i="13"/>
  <c r="I1300" i="13"/>
  <c r="F1299" i="13"/>
  <c r="C1298" i="13"/>
  <c r="M1296" i="13"/>
  <c r="J1295" i="13"/>
  <c r="G1294" i="13"/>
  <c r="D1293" i="13"/>
  <c r="A1292" i="13"/>
  <c r="K1290" i="13"/>
  <c r="H1289" i="13"/>
  <c r="E1288" i="13"/>
  <c r="B1287" i="13"/>
  <c r="L1285" i="13"/>
  <c r="I1284" i="13"/>
  <c r="F1283" i="13"/>
  <c r="C1282" i="13"/>
  <c r="L1280" i="13"/>
  <c r="G1279" i="13"/>
  <c r="C1278" i="13"/>
  <c r="L1276" i="13"/>
  <c r="G1275" i="13"/>
  <c r="C1274" i="13"/>
  <c r="M1272" i="13"/>
  <c r="J1271" i="13"/>
  <c r="G1270" i="13"/>
  <c r="D1269" i="13"/>
  <c r="A1268" i="13"/>
  <c r="K1266" i="13"/>
  <c r="H1265" i="13"/>
  <c r="E1264" i="13"/>
  <c r="B1263" i="13"/>
  <c r="L1261" i="13"/>
  <c r="I1260" i="13"/>
  <c r="F1259" i="13"/>
  <c r="C1258" i="13"/>
  <c r="M1256" i="13"/>
  <c r="J1255" i="13"/>
  <c r="I1582" i="13"/>
  <c r="I1489" i="13"/>
  <c r="L1448" i="13"/>
  <c r="J1426" i="13"/>
  <c r="D1416" i="13"/>
  <c r="F1406" i="13"/>
  <c r="I1399" i="13"/>
  <c r="B1393" i="13"/>
  <c r="G1386" i="13"/>
  <c r="M1379" i="13"/>
  <c r="F1373" i="13"/>
  <c r="K1366" i="13"/>
  <c r="D1360" i="13"/>
  <c r="M1562" i="13"/>
  <c r="A1487" i="13"/>
  <c r="D1447" i="13"/>
  <c r="B1426" i="13"/>
  <c r="I1415" i="13"/>
  <c r="K1405" i="13"/>
  <c r="D1399" i="13"/>
  <c r="I1392" i="13"/>
  <c r="B1386" i="13"/>
  <c r="H1379" i="13"/>
  <c r="M1372" i="13"/>
  <c r="F1366" i="13"/>
  <c r="L1359" i="13"/>
  <c r="D1353" i="13"/>
  <c r="J1346" i="13"/>
  <c r="I1339" i="13"/>
  <c r="B1334" i="13"/>
  <c r="J1328" i="13"/>
  <c r="F1323" i="13"/>
  <c r="F1318" i="13"/>
  <c r="G1313" i="13"/>
  <c r="H1308" i="13"/>
  <c r="I1303" i="13"/>
  <c r="J1298" i="13"/>
  <c r="K1293" i="13"/>
  <c r="L1288" i="13"/>
  <c r="M1283" i="13"/>
  <c r="J1278" i="13"/>
  <c r="G1273" i="13"/>
  <c r="H1268" i="13"/>
  <c r="I1263" i="13"/>
  <c r="J1258" i="13"/>
  <c r="G1254" i="13"/>
  <c r="D1253" i="13"/>
  <c r="A1252" i="13"/>
  <c r="K1250" i="13"/>
  <c r="G1249" i="13"/>
  <c r="C1248" i="13"/>
  <c r="L1246" i="13"/>
  <c r="G1245" i="13"/>
  <c r="C1244" i="13"/>
  <c r="L1242" i="13"/>
  <c r="G1241" i="13"/>
  <c r="C1240" i="13"/>
  <c r="L1238" i="13"/>
  <c r="G1237" i="13"/>
  <c r="C1236" i="13"/>
  <c r="L1234" i="13"/>
  <c r="G1233" i="13"/>
  <c r="C1232" i="13"/>
  <c r="L1230" i="13"/>
  <c r="G1229" i="13"/>
  <c r="C1228" i="13"/>
  <c r="L1226" i="13"/>
  <c r="H1225" i="13"/>
  <c r="E1224" i="13"/>
  <c r="B1223" i="13"/>
  <c r="L1221" i="13"/>
  <c r="I1220" i="13"/>
  <c r="F1219" i="13"/>
  <c r="C1218" i="13"/>
  <c r="M1216" i="13"/>
  <c r="J1215" i="13"/>
  <c r="G1214" i="13"/>
  <c r="D1213" i="13"/>
  <c r="A1212" i="13"/>
  <c r="K1210" i="13"/>
  <c r="H1209" i="13"/>
  <c r="E1208" i="13"/>
  <c r="B1207" i="13"/>
  <c r="L1205" i="13"/>
  <c r="I1204" i="13"/>
  <c r="F1203" i="13"/>
  <c r="C1202" i="13"/>
  <c r="M1200" i="13"/>
  <c r="J1199" i="13"/>
  <c r="G1198" i="13"/>
  <c r="D1197" i="13"/>
  <c r="A1196" i="13"/>
  <c r="K1194" i="13"/>
  <c r="H1193" i="13"/>
  <c r="E1192" i="13"/>
  <c r="B1191" i="13"/>
  <c r="L1189" i="13"/>
  <c r="I1188" i="13"/>
  <c r="F1187" i="13"/>
  <c r="C1186" i="13"/>
  <c r="M1184" i="13"/>
  <c r="J1183" i="13"/>
  <c r="G1182" i="13"/>
  <c r="D1181" i="13"/>
  <c r="A1180" i="13"/>
  <c r="K1178" i="13"/>
  <c r="H1177" i="13"/>
  <c r="E1176" i="13"/>
  <c r="B1175" i="13"/>
  <c r="L1173" i="13"/>
  <c r="I1172" i="13"/>
  <c r="F1171" i="13"/>
  <c r="C1170" i="13"/>
  <c r="M1168" i="13"/>
  <c r="J1167" i="13"/>
  <c r="G1166" i="13"/>
  <c r="E1269" i="13"/>
  <c r="B1268" i="13"/>
  <c r="L1266" i="13"/>
  <c r="I1265" i="13"/>
  <c r="F1264" i="13"/>
  <c r="C1263" i="13"/>
  <c r="M1261" i="13"/>
  <c r="J1260" i="13"/>
  <c r="G1259" i="13"/>
  <c r="D1258" i="13"/>
  <c r="A1257" i="13"/>
  <c r="K1255" i="13"/>
  <c r="K1587" i="13"/>
  <c r="C1549" i="13"/>
  <c r="J1528" i="13"/>
  <c r="M1507" i="13"/>
  <c r="E1490" i="13"/>
  <c r="J1479" i="13"/>
  <c r="B1469" i="13"/>
  <c r="F1458" i="13"/>
  <c r="D1449" i="13"/>
  <c r="J1442" i="13"/>
  <c r="I1435" i="13"/>
  <c r="B1430" i="13"/>
  <c r="A1427" i="13"/>
  <c r="E1424" i="13"/>
  <c r="I1421" i="13"/>
  <c r="A1419" i="13"/>
  <c r="G1416" i="13"/>
  <c r="A1414" i="13"/>
  <c r="H1411" i="13"/>
  <c r="B1409" i="13"/>
  <c r="I1406" i="13"/>
  <c r="I1404" i="13"/>
  <c r="A1403" i="13"/>
  <c r="F1401" i="13"/>
  <c r="J1399" i="13"/>
  <c r="B1398" i="13"/>
  <c r="G1396" i="13"/>
  <c r="K1394" i="13"/>
  <c r="C1393" i="13"/>
  <c r="H1391" i="13"/>
  <c r="L1389" i="13"/>
  <c r="D1388" i="13"/>
  <c r="I1386" i="13"/>
  <c r="M1384" i="13"/>
  <c r="E1383" i="13"/>
  <c r="J1381" i="13"/>
  <c r="A1380" i="13"/>
  <c r="F1378" i="13"/>
  <c r="K1376" i="13"/>
  <c r="B1375" i="13"/>
  <c r="G1373" i="13"/>
  <c r="L1371" i="13"/>
  <c r="C1370" i="13"/>
  <c r="H1368" i="13"/>
  <c r="M1366" i="13"/>
  <c r="D1365" i="13"/>
  <c r="I1363" i="13"/>
  <c r="A1362" i="13"/>
  <c r="E1360" i="13"/>
  <c r="J1358" i="13"/>
  <c r="B1357" i="13"/>
  <c r="F1355" i="13"/>
  <c r="K1353" i="13"/>
  <c r="C1352" i="13"/>
  <c r="G1350" i="13"/>
  <c r="L1348" i="13"/>
  <c r="D1347" i="13"/>
  <c r="G1345" i="13"/>
  <c r="J1343" i="13"/>
  <c r="A1342" i="13"/>
  <c r="C1340" i="13"/>
  <c r="G1338" i="13"/>
  <c r="C1337" i="13"/>
  <c r="L1335" i="13"/>
  <c r="G1334" i="13"/>
  <c r="C1333" i="13"/>
  <c r="L1331" i="13"/>
  <c r="G1330" i="13"/>
  <c r="C1329" i="13"/>
  <c r="L1327" i="13"/>
  <c r="G1326" i="13"/>
  <c r="C1325" i="13"/>
  <c r="L1323" i="13"/>
  <c r="G1322" i="13"/>
  <c r="D1321" i="13"/>
  <c r="A1320" i="13"/>
  <c r="K1318" i="13"/>
  <c r="H1317" i="13"/>
  <c r="E1316" i="13"/>
  <c r="B1315" i="13"/>
  <c r="L1313" i="13"/>
  <c r="I1312" i="13"/>
  <c r="F1311" i="13"/>
  <c r="C1310" i="13"/>
  <c r="M1308" i="13"/>
  <c r="J1307" i="13"/>
  <c r="G1306" i="13"/>
  <c r="D1305" i="13"/>
  <c r="A1304" i="13"/>
  <c r="K1302" i="13"/>
  <c r="H1301" i="13"/>
  <c r="E1300" i="13"/>
  <c r="B1299" i="13"/>
  <c r="L1297" i="13"/>
  <c r="I1296" i="13"/>
  <c r="F1295" i="13"/>
  <c r="C1294" i="13"/>
  <c r="M1292" i="13"/>
  <c r="J1291" i="13"/>
  <c r="G1290" i="13"/>
  <c r="D1289" i="13"/>
  <c r="A1288" i="13"/>
  <c r="K1286" i="13"/>
  <c r="H1285" i="13"/>
  <c r="E1284" i="13"/>
  <c r="B1283" i="13"/>
  <c r="L1281" i="13"/>
  <c r="G1280" i="13"/>
  <c r="C1279" i="13"/>
  <c r="L1277" i="13"/>
  <c r="G1276" i="13"/>
  <c r="C1275" i="13"/>
  <c r="L1273" i="13"/>
  <c r="I1272" i="13"/>
  <c r="F1271" i="13"/>
  <c r="C1270" i="13"/>
  <c r="M1268" i="13"/>
  <c r="J1267" i="13"/>
  <c r="G1266" i="13"/>
  <c r="D1265" i="13"/>
  <c r="A1264" i="13"/>
  <c r="K1262" i="13"/>
  <c r="H1261" i="13"/>
  <c r="E1260" i="13"/>
  <c r="B1259" i="13"/>
  <c r="L1257" i="13"/>
  <c r="I1256" i="13"/>
  <c r="F1255" i="13"/>
  <c r="M1547" i="13"/>
  <c r="B1479" i="13"/>
  <c r="E1442" i="13"/>
  <c r="B1424" i="13"/>
  <c r="K1413" i="13"/>
  <c r="H1404" i="13"/>
  <c r="A1398" i="13"/>
  <c r="F1391" i="13"/>
  <c r="L1384" i="13"/>
  <c r="E1378" i="13"/>
  <c r="J1371" i="13"/>
  <c r="C1365" i="13"/>
  <c r="I1358" i="13"/>
  <c r="A1543" i="13"/>
  <c r="F1476" i="13"/>
  <c r="G1440" i="13"/>
  <c r="F1423" i="13"/>
  <c r="C1413" i="13"/>
  <c r="C1404" i="13"/>
  <c r="H1397" i="13"/>
  <c r="A1391" i="13"/>
  <c r="G1384" i="13"/>
  <c r="L1377" i="13"/>
  <c r="E1371" i="13"/>
  <c r="K1364" i="13"/>
  <c r="C1358" i="13"/>
  <c r="I1351" i="13"/>
  <c r="A1345" i="13"/>
  <c r="B1338" i="13"/>
  <c r="J1332" i="13"/>
  <c r="F1327" i="13"/>
  <c r="B1322" i="13"/>
  <c r="C1317" i="13"/>
  <c r="D1312" i="13"/>
  <c r="E1307" i="13"/>
  <c r="F1302" i="13"/>
  <c r="G1297" i="13"/>
  <c r="H1292" i="13"/>
  <c r="I1287" i="13"/>
  <c r="J1282" i="13"/>
  <c r="F1277" i="13"/>
  <c r="D1272" i="13"/>
  <c r="E1267" i="13"/>
  <c r="F1262" i="13"/>
  <c r="G1257" i="13"/>
  <c r="C1254" i="13"/>
  <c r="M1252" i="13"/>
  <c r="J1251" i="13"/>
  <c r="G1250" i="13"/>
  <c r="C1249" i="13"/>
  <c r="L1247" i="13"/>
  <c r="G1246" i="13"/>
  <c r="C1245" i="13"/>
  <c r="L1243" i="13"/>
  <c r="G1242" i="13"/>
  <c r="C1241" i="13"/>
  <c r="L1239" i="13"/>
  <c r="G1238" i="13"/>
  <c r="C1237" i="13"/>
  <c r="L1235" i="13"/>
  <c r="G1234" i="13"/>
  <c r="C1233" i="13"/>
  <c r="L1231" i="13"/>
  <c r="G1230" i="13"/>
  <c r="C1229" i="13"/>
  <c r="L1227" i="13"/>
  <c r="G1226" i="13"/>
  <c r="D1225" i="13"/>
  <c r="A1224" i="13"/>
  <c r="K1222" i="13"/>
  <c r="H1221" i="13"/>
  <c r="E1220" i="13"/>
  <c r="B1219" i="13"/>
  <c r="L1217" i="13"/>
  <c r="I1216" i="13"/>
  <c r="F1215" i="13"/>
  <c r="C1214" i="13"/>
  <c r="M1212" i="13"/>
  <c r="J1211" i="13"/>
  <c r="G1210" i="13"/>
  <c r="D1209" i="13"/>
  <c r="A1208" i="13"/>
  <c r="K1206" i="13"/>
  <c r="H1205" i="13"/>
  <c r="E1204" i="13"/>
  <c r="B1203" i="13"/>
  <c r="L1201" i="13"/>
  <c r="I1200" i="13"/>
  <c r="F1199" i="13"/>
  <c r="C1198" i="13"/>
  <c r="M1196" i="13"/>
  <c r="J1195" i="13"/>
  <c r="G1194" i="13"/>
  <c r="D1193" i="13"/>
  <c r="A1192" i="13"/>
  <c r="K1190" i="13"/>
  <c r="H1189" i="13"/>
  <c r="E1188" i="13"/>
  <c r="B1187" i="13"/>
  <c r="L1185" i="13"/>
  <c r="I1184" i="13"/>
  <c r="F1183" i="13"/>
  <c r="C1182" i="13"/>
  <c r="M1180" i="13"/>
  <c r="J1179" i="13"/>
  <c r="G1178" i="13"/>
  <c r="D1177" i="13"/>
  <c r="A1176" i="13"/>
  <c r="K1174" i="13"/>
  <c r="H1173" i="13"/>
  <c r="E1172" i="13"/>
  <c r="B1171" i="13"/>
  <c r="L1169" i="13"/>
  <c r="I1168" i="13"/>
  <c r="F1167" i="13"/>
  <c r="C1166" i="13"/>
  <c r="M1164" i="13"/>
  <c r="A1269" i="13"/>
  <c r="K1267" i="13"/>
  <c r="H1266" i="13"/>
  <c r="E1265" i="13"/>
  <c r="B1264" i="13"/>
  <c r="L1262" i="13"/>
  <c r="I1261" i="13"/>
  <c r="F1260" i="13"/>
  <c r="C1259" i="13"/>
  <c r="M1257" i="13"/>
  <c r="J1256" i="13"/>
  <c r="G1255" i="13"/>
  <c r="I1567" i="13"/>
  <c r="D1544" i="13"/>
  <c r="F1523" i="13"/>
  <c r="A1503" i="13"/>
  <c r="I1487" i="13"/>
  <c r="B1477" i="13"/>
  <c r="F1466" i="13"/>
  <c r="M1455" i="13"/>
  <c r="I1447" i="13"/>
  <c r="A1441" i="13"/>
  <c r="B1434" i="13"/>
  <c r="A1429" i="13"/>
  <c r="E1426" i="13"/>
  <c r="I1423" i="13"/>
  <c r="A1421" i="13"/>
  <c r="E1418" i="13"/>
  <c r="L1415" i="13"/>
  <c r="F1413" i="13"/>
  <c r="M1410" i="13"/>
  <c r="G1408" i="13"/>
  <c r="A1406" i="13"/>
  <c r="D1404" i="13"/>
  <c r="I1402" i="13"/>
  <c r="M1400" i="13"/>
  <c r="E1399" i="13"/>
  <c r="J1397" i="13"/>
  <c r="A1396" i="13"/>
  <c r="F1394" i="13"/>
  <c r="K1392" i="13"/>
  <c r="B1391" i="13"/>
  <c r="G1389" i="13"/>
  <c r="L1387" i="13"/>
  <c r="C1386" i="13"/>
  <c r="H1384" i="13"/>
  <c r="M1382" i="13"/>
  <c r="D1381" i="13"/>
  <c r="I1379" i="13"/>
  <c r="A1378" i="13"/>
  <c r="E1376" i="13"/>
  <c r="J1374" i="13"/>
  <c r="B1373" i="13"/>
  <c r="F1371" i="13"/>
  <c r="K1369" i="13"/>
  <c r="C1368" i="13"/>
  <c r="G1366" i="13"/>
  <c r="L1364" i="13"/>
  <c r="D1363" i="13"/>
  <c r="H1361" i="13"/>
  <c r="M1359" i="13"/>
  <c r="E1358" i="13"/>
  <c r="I1356" i="13"/>
  <c r="A1355" i="13"/>
  <c r="F1353" i="13"/>
  <c r="J1351" i="13"/>
  <c r="B1350" i="13"/>
  <c r="G1348" i="13"/>
  <c r="K1346" i="13"/>
  <c r="B1345" i="13"/>
  <c r="E1343" i="13"/>
  <c r="G1341" i="13"/>
  <c r="J1339" i="13"/>
  <c r="C1338" i="13"/>
  <c r="L1336" i="13"/>
  <c r="G1335" i="13"/>
  <c r="C1334" i="13"/>
  <c r="L1332" i="13"/>
  <c r="G1331" i="13"/>
  <c r="C1330" i="13"/>
  <c r="L1328" i="13"/>
  <c r="G1327" i="13"/>
  <c r="C1326" i="13"/>
  <c r="L1324" i="13"/>
  <c r="G1323" i="13"/>
  <c r="C1322" i="13"/>
  <c r="M1320" i="13"/>
  <c r="J1319" i="13"/>
  <c r="G1318" i="13"/>
  <c r="D1317" i="13"/>
  <c r="A1316" i="13"/>
  <c r="K1314" i="13"/>
  <c r="H1313" i="13"/>
  <c r="E1312" i="13"/>
  <c r="B1311" i="13"/>
  <c r="L1309" i="13"/>
  <c r="I1308" i="13"/>
  <c r="F1307" i="13"/>
  <c r="C1306" i="13"/>
  <c r="M1304" i="13"/>
  <c r="J1303" i="13"/>
  <c r="G1302" i="13"/>
  <c r="D1301" i="13"/>
  <c r="A1300" i="13"/>
  <c r="K1298" i="13"/>
  <c r="H1297" i="13"/>
  <c r="E1296" i="13"/>
  <c r="B1295" i="13"/>
  <c r="L1293" i="13"/>
  <c r="I1292" i="13"/>
  <c r="F1291" i="13"/>
  <c r="C1290" i="13"/>
  <c r="M1288" i="13"/>
  <c r="J1287" i="13"/>
  <c r="G1286" i="13"/>
  <c r="D1285" i="13"/>
  <c r="A1284" i="13"/>
  <c r="K1282" i="13"/>
  <c r="G1281" i="13"/>
  <c r="C1280" i="13"/>
  <c r="L1278" i="13"/>
  <c r="G1277" i="13"/>
  <c r="C1276" i="13"/>
  <c r="L1274" i="13"/>
  <c r="H1273" i="13"/>
  <c r="E1272" i="13"/>
  <c r="B1271" i="13"/>
  <c r="L1269" i="13"/>
  <c r="I1268" i="13"/>
  <c r="F1267" i="13"/>
  <c r="C1266" i="13"/>
  <c r="M1264" i="13"/>
  <c r="J1263" i="13"/>
  <c r="G1262" i="13"/>
  <c r="D1261" i="13"/>
  <c r="A1260" i="13"/>
  <c r="K1258" i="13"/>
  <c r="H1257" i="13"/>
  <c r="E1256" i="13"/>
  <c r="B1255" i="13"/>
  <c r="F1527" i="13"/>
  <c r="F1468" i="13"/>
  <c r="C1435" i="13"/>
  <c r="F1421" i="13"/>
  <c r="E1411" i="13"/>
  <c r="M1402" i="13"/>
  <c r="E1396" i="13"/>
  <c r="K1389" i="13"/>
  <c r="D1383" i="13"/>
  <c r="I1376" i="13"/>
  <c r="B1370" i="13"/>
  <c r="H1363" i="13"/>
  <c r="M1356" i="13"/>
  <c r="B1522" i="13"/>
  <c r="J1465" i="13"/>
  <c r="J1433" i="13"/>
  <c r="J1420" i="13"/>
  <c r="J1410" i="13"/>
  <c r="G1402" i="13"/>
  <c r="M1395" i="13"/>
  <c r="F1389" i="13"/>
  <c r="K1382" i="13"/>
  <c r="D1376" i="13"/>
  <c r="J1369" i="13"/>
  <c r="B1363" i="13"/>
  <c r="H1356" i="13"/>
  <c r="A1350" i="13"/>
  <c r="C1343" i="13"/>
  <c r="J1336" i="13"/>
  <c r="F1331" i="13"/>
  <c r="B1326" i="13"/>
  <c r="L1320" i="13"/>
  <c r="M1315" i="13"/>
  <c r="A1311" i="13"/>
  <c r="B1306" i="13"/>
  <c r="C1301" i="13"/>
  <c r="D1296" i="13"/>
  <c r="E1291" i="13"/>
  <c r="F1286" i="13"/>
  <c r="F1281" i="13"/>
  <c r="B1276" i="13"/>
  <c r="A1271" i="13"/>
  <c r="B1266" i="13"/>
  <c r="C1261" i="13"/>
  <c r="D1256" i="13"/>
  <c r="L1253" i="13"/>
  <c r="I1252" i="13"/>
  <c r="F1251" i="13"/>
  <c r="C1250" i="13"/>
  <c r="L1248" i="13"/>
  <c r="G1247" i="13"/>
  <c r="C1246" i="13"/>
  <c r="L1244" i="13"/>
  <c r="G1243" i="13"/>
  <c r="C1242" i="13"/>
  <c r="L1240" i="13"/>
  <c r="G1239" i="13"/>
  <c r="C1238" i="13"/>
  <c r="L1236" i="13"/>
  <c r="G1235" i="13"/>
  <c r="C1234" i="13"/>
  <c r="L1232" i="13"/>
  <c r="G1231" i="13"/>
  <c r="C1230" i="13"/>
  <c r="L1228" i="13"/>
  <c r="G1227" i="13"/>
  <c r="C1226" i="13"/>
  <c r="M1224" i="13"/>
  <c r="J1223" i="13"/>
  <c r="G1222" i="13"/>
  <c r="D1221" i="13"/>
  <c r="A1220" i="13"/>
  <c r="K1218" i="13"/>
  <c r="H1217" i="13"/>
  <c r="E1216" i="13"/>
  <c r="B1215" i="13"/>
  <c r="L1213" i="13"/>
  <c r="I1212" i="13"/>
  <c r="F1211" i="13"/>
  <c r="C1210" i="13"/>
  <c r="M1208" i="13"/>
  <c r="J1207" i="13"/>
  <c r="G1206" i="13"/>
  <c r="D1205" i="13"/>
  <c r="A1204" i="13"/>
  <c r="K1202" i="13"/>
  <c r="H1201" i="13"/>
  <c r="E1200" i="13"/>
  <c r="B1199" i="13"/>
  <c r="L1197" i="13"/>
  <c r="I1196" i="13"/>
  <c r="F1195" i="13"/>
  <c r="C1194" i="13"/>
  <c r="M1192" i="13"/>
  <c r="J1191" i="13"/>
  <c r="G1190" i="13"/>
  <c r="D1189" i="13"/>
  <c r="A1188" i="13"/>
  <c r="K1186" i="13"/>
  <c r="H1185" i="13"/>
  <c r="E1184" i="13"/>
  <c r="B1183" i="13"/>
  <c r="L1181" i="13"/>
  <c r="I1180" i="13"/>
  <c r="F1179" i="13"/>
  <c r="C1178" i="13"/>
  <c r="M1176" i="13"/>
  <c r="J1175" i="13"/>
  <c r="G1174" i="13"/>
  <c r="D1173" i="13"/>
  <c r="A1172" i="13"/>
  <c r="K1170" i="13"/>
  <c r="H1169" i="13"/>
  <c r="E1168" i="13"/>
  <c r="B1167" i="13"/>
  <c r="L1165" i="13"/>
  <c r="J1268" i="13"/>
  <c r="G1267" i="13"/>
  <c r="D1266" i="13"/>
  <c r="A1265" i="13"/>
  <c r="K1263" i="13"/>
  <c r="H1262" i="13"/>
  <c r="E1261" i="13"/>
  <c r="B1260" i="13"/>
  <c r="L1258" i="13"/>
  <c r="I1257" i="13"/>
  <c r="F1256" i="13"/>
  <c r="C1255" i="13"/>
  <c r="A1559" i="13"/>
  <c r="E1539" i="13"/>
  <c r="B1518" i="13"/>
  <c r="B1498" i="13"/>
  <c r="B1485" i="13"/>
  <c r="F1474" i="13"/>
  <c r="J1463" i="13"/>
  <c r="G1453" i="13"/>
  <c r="A1446" i="13"/>
  <c r="C1439" i="13"/>
  <c r="J1432" i="13"/>
  <c r="E1428" i="13"/>
  <c r="I1425" i="13"/>
  <c r="A1423" i="13"/>
  <c r="E1420" i="13"/>
  <c r="J1417" i="13"/>
  <c r="D1415" i="13"/>
  <c r="K1412" i="13"/>
  <c r="E1410" i="13"/>
  <c r="L1407" i="13"/>
  <c r="G1405" i="13"/>
  <c r="L1403" i="13"/>
  <c r="C1402" i="13"/>
  <c r="H1400" i="13"/>
  <c r="M1398" i="13"/>
  <c r="D1397" i="13"/>
  <c r="I1395" i="13"/>
  <c r="A1394" i="13"/>
  <c r="E1392" i="13"/>
  <c r="J1390" i="13"/>
  <c r="B1389" i="13"/>
  <c r="F1387" i="13"/>
  <c r="K1385" i="13"/>
  <c r="C1384" i="13"/>
  <c r="G1382" i="13"/>
  <c r="L1380" i="13"/>
  <c r="D1379" i="13"/>
  <c r="H1377" i="13"/>
  <c r="M1375" i="13"/>
  <c r="E1374" i="13"/>
  <c r="I1372" i="13"/>
  <c r="A1371" i="13"/>
  <c r="F1369" i="13"/>
  <c r="J1367" i="13"/>
  <c r="B1366" i="13"/>
  <c r="G1364" i="13"/>
  <c r="K1362" i="13"/>
  <c r="C1361" i="13"/>
  <c r="H1359" i="13"/>
  <c r="L1357" i="13"/>
  <c r="D1356" i="13"/>
  <c r="I1354" i="13"/>
  <c r="M1352" i="13"/>
  <c r="E1351" i="13"/>
  <c r="J1349" i="13"/>
  <c r="A1348" i="13"/>
  <c r="F1346" i="13"/>
  <c r="I1344" i="13"/>
  <c r="L1342" i="13"/>
  <c r="B1341" i="13"/>
  <c r="E1339" i="13"/>
  <c r="L1337" i="13"/>
  <c r="G1336" i="13"/>
  <c r="C1335" i="13"/>
  <c r="L1333" i="13"/>
  <c r="G1332" i="13"/>
  <c r="C1331" i="13"/>
  <c r="L1329" i="13"/>
  <c r="G1328" i="13"/>
  <c r="C1327" i="13"/>
  <c r="L1325" i="13"/>
  <c r="G1324" i="13"/>
  <c r="C1323" i="13"/>
  <c r="L1321" i="13"/>
  <c r="I1320" i="13"/>
  <c r="F1319" i="13"/>
  <c r="C1318" i="13"/>
  <c r="M1316" i="13"/>
  <c r="J1315" i="13"/>
  <c r="G1314" i="13"/>
  <c r="D1313" i="13"/>
  <c r="A1312" i="13"/>
  <c r="K1310" i="13"/>
  <c r="H1309" i="13"/>
  <c r="E1308" i="13"/>
  <c r="B1307" i="13"/>
  <c r="L1305" i="13"/>
  <c r="I1304" i="13"/>
  <c r="F1303" i="13"/>
  <c r="C1302" i="13"/>
  <c r="M1300" i="13"/>
  <c r="J1299" i="13"/>
  <c r="G1298" i="13"/>
  <c r="D1297" i="13"/>
  <c r="A1296" i="13"/>
  <c r="K1294" i="13"/>
  <c r="H1293" i="13"/>
  <c r="E1292" i="13"/>
  <c r="B1291" i="13"/>
  <c r="L1289" i="13"/>
  <c r="I1288" i="13"/>
  <c r="F1287" i="13"/>
  <c r="C1286" i="13"/>
  <c r="M1284" i="13"/>
  <c r="J1283" i="13"/>
  <c r="G1282" i="13"/>
  <c r="C1281" i="13"/>
  <c r="L1279" i="13"/>
  <c r="G1278" i="13"/>
  <c r="C1277" i="13"/>
  <c r="L1275" i="13"/>
  <c r="G1274" i="13"/>
  <c r="D1273" i="13"/>
  <c r="A1272" i="13"/>
  <c r="K1270" i="13"/>
  <c r="H1269" i="13"/>
  <c r="E1268" i="13"/>
  <c r="B1267" i="13"/>
  <c r="L1265" i="13"/>
  <c r="I1264" i="13"/>
  <c r="F1263" i="13"/>
  <c r="C1262" i="13"/>
  <c r="M1260" i="13"/>
  <c r="J1259" i="13"/>
  <c r="G1258" i="13"/>
  <c r="D1257" i="13"/>
  <c r="A1256" i="13"/>
  <c r="K1254" i="13"/>
  <c r="J1506" i="13"/>
  <c r="K1457" i="13"/>
  <c r="J1429" i="13"/>
  <c r="J1418" i="13"/>
  <c r="L1408" i="13"/>
  <c r="D1401" i="13"/>
  <c r="J1394" i="13"/>
  <c r="C1388" i="13"/>
  <c r="H1381" i="13"/>
  <c r="A1375" i="13"/>
  <c r="G1368" i="13"/>
  <c r="L1361" i="13"/>
  <c r="E1355" i="13"/>
  <c r="K1501" i="13"/>
  <c r="E1455" i="13"/>
  <c r="J1428" i="13"/>
  <c r="B1418" i="13"/>
  <c r="D1408" i="13"/>
  <c r="L1400" i="13"/>
  <c r="E1394" i="13"/>
  <c r="J1387" i="13"/>
  <c r="C1381" i="13"/>
  <c r="I1374" i="13"/>
  <c r="A1368" i="13"/>
  <c r="G1361" i="13"/>
  <c r="M1354" i="13"/>
  <c r="E1348" i="13"/>
  <c r="F1341" i="13"/>
  <c r="F1335" i="13"/>
  <c r="B1330" i="13"/>
  <c r="J1324" i="13"/>
  <c r="I1319" i="13"/>
  <c r="J1314" i="13"/>
  <c r="K1309" i="13"/>
  <c r="L1304" i="13"/>
  <c r="M1299" i="13"/>
  <c r="A1295" i="13"/>
  <c r="B1290" i="13"/>
  <c r="C1285" i="13"/>
  <c r="B1280" i="13"/>
  <c r="J1274" i="13"/>
  <c r="K1269" i="13"/>
  <c r="L1264" i="13"/>
  <c r="M1259" i="13"/>
  <c r="A1255" i="13"/>
  <c r="H1253" i="13"/>
  <c r="E1252" i="13"/>
  <c r="B1251" i="13"/>
  <c r="L1249" i="13"/>
  <c r="G1248" i="13"/>
  <c r="C1247" i="13"/>
  <c r="L1245" i="13"/>
  <c r="G1244" i="13"/>
  <c r="C1243" i="13"/>
  <c r="L1241" i="13"/>
  <c r="G1240" i="13"/>
  <c r="C1239" i="13"/>
  <c r="L1237" i="13"/>
  <c r="G1236" i="13"/>
  <c r="C1235" i="13"/>
  <c r="L1233" i="13"/>
  <c r="G1232" i="13"/>
  <c r="C1231" i="13"/>
  <c r="L1229" i="13"/>
  <c r="G1228" i="13"/>
  <c r="C1227" i="13"/>
  <c r="L1225" i="13"/>
  <c r="I1224" i="13"/>
  <c r="F1223" i="13"/>
  <c r="C1222" i="13"/>
  <c r="M1220" i="13"/>
  <c r="J1219" i="13"/>
  <c r="G1218" i="13"/>
  <c r="D1217" i="13"/>
  <c r="A1216" i="13"/>
  <c r="K1214" i="13"/>
  <c r="H1213" i="13"/>
  <c r="E1212" i="13"/>
  <c r="B1211" i="13"/>
  <c r="L1209" i="13"/>
  <c r="I1208" i="13"/>
  <c r="F1207" i="13"/>
  <c r="C1206" i="13"/>
  <c r="M1204" i="13"/>
  <c r="J1203" i="13"/>
  <c r="G1202" i="13"/>
  <c r="D1201" i="13"/>
  <c r="A1200" i="13"/>
  <c r="K1198" i="13"/>
  <c r="H1197" i="13"/>
  <c r="E1196" i="13"/>
  <c r="B1195" i="13"/>
  <c r="L1193" i="13"/>
  <c r="I1192" i="13"/>
  <c r="F1191" i="13"/>
  <c r="C1190" i="13"/>
  <c r="M1188" i="13"/>
  <c r="J1187" i="13"/>
  <c r="G1186" i="13"/>
  <c r="D1185" i="13"/>
  <c r="A1184" i="13"/>
  <c r="K1182" i="13"/>
  <c r="H1181" i="13"/>
  <c r="E1180" i="13"/>
  <c r="B1179" i="13"/>
  <c r="L1177" i="13"/>
  <c r="I1176" i="13"/>
  <c r="F1175" i="13"/>
  <c r="C1174" i="13"/>
  <c r="M1172" i="13"/>
  <c r="J1171" i="13"/>
  <c r="G1170" i="13"/>
  <c r="D1169" i="13"/>
  <c r="A1168" i="13"/>
  <c r="K1166" i="13"/>
  <c r="H1165" i="13"/>
  <c r="A1164" i="13"/>
  <c r="K1162" i="13"/>
  <c r="H1161" i="13"/>
  <c r="E1160" i="13"/>
  <c r="B1159" i="13"/>
  <c r="L1157" i="13"/>
  <c r="I1156" i="13"/>
  <c r="F1155" i="13"/>
  <c r="C1154" i="13"/>
  <c r="L1152" i="13"/>
  <c r="G1151" i="13"/>
  <c r="C1150" i="13"/>
  <c r="L1148" i="13"/>
  <c r="G1147" i="13"/>
  <c r="C1146" i="13"/>
  <c r="L1144" i="13"/>
  <c r="G1143" i="13"/>
  <c r="C1142" i="13"/>
  <c r="L1140" i="13"/>
  <c r="G1139" i="13"/>
  <c r="C1138" i="13"/>
  <c r="L1136" i="13"/>
  <c r="G1135" i="13"/>
  <c r="C1134" i="13"/>
  <c r="B1538" i="13"/>
  <c r="J1473" i="13"/>
  <c r="J1438" i="13"/>
  <c r="J1422" i="13"/>
  <c r="H1412" i="13"/>
  <c r="J1403" i="13"/>
  <c r="C1397" i="13"/>
  <c r="I1390" i="13"/>
  <c r="A1384" i="13"/>
  <c r="G1377" i="13"/>
  <c r="M1370" i="13"/>
  <c r="E1364" i="13"/>
  <c r="K1357" i="13"/>
  <c r="D1351" i="13"/>
  <c r="G1344" i="13"/>
  <c r="J1337" i="13"/>
  <c r="F1332" i="13"/>
  <c r="B1327" i="13"/>
  <c r="K1321" i="13"/>
  <c r="L1316" i="13"/>
  <c r="M1311" i="13"/>
  <c r="A1307" i="13"/>
  <c r="B1302" i="13"/>
  <c r="C1297" i="13"/>
  <c r="D1292" i="13"/>
  <c r="E1287" i="13"/>
  <c r="F1282" i="13"/>
  <c r="B1277" i="13"/>
  <c r="M1271" i="13"/>
  <c r="A1267" i="13"/>
  <c r="B1262" i="13"/>
  <c r="C1257" i="13"/>
  <c r="B1254" i="13"/>
  <c r="L1252" i="13"/>
  <c r="I1251" i="13"/>
  <c r="F1250" i="13"/>
  <c r="B1249" i="13"/>
  <c r="J1247" i="13"/>
  <c r="F1246" i="13"/>
  <c r="B1245" i="13"/>
  <c r="J1243" i="13"/>
  <c r="F1242" i="13"/>
  <c r="B1241" i="13"/>
  <c r="J1239" i="13"/>
  <c r="F1238" i="13"/>
  <c r="B1237" i="13"/>
  <c r="J1235" i="13"/>
  <c r="F1234" i="13"/>
  <c r="B1233" i="13"/>
  <c r="J1231" i="13"/>
  <c r="F1230" i="13"/>
  <c r="B1229" i="13"/>
  <c r="J1227" i="13"/>
  <c r="F1226" i="13"/>
  <c r="C1225" i="13"/>
  <c r="M1223" i="13"/>
  <c r="J1222" i="13"/>
  <c r="G1221" i="13"/>
  <c r="D1220" i="13"/>
  <c r="A1219" i="13"/>
  <c r="K1217" i="13"/>
  <c r="H1216" i="13"/>
  <c r="E1215" i="13"/>
  <c r="B1214" i="13"/>
  <c r="L1212" i="13"/>
  <c r="I1211" i="13"/>
  <c r="F1210" i="13"/>
  <c r="C1209" i="13"/>
  <c r="M1207" i="13"/>
  <c r="J1206" i="13"/>
  <c r="G1205" i="13"/>
  <c r="D1204" i="13"/>
  <c r="A1203" i="13"/>
  <c r="K1201" i="13"/>
  <c r="H1200" i="13"/>
  <c r="E1199" i="13"/>
  <c r="B1198" i="13"/>
  <c r="L1196" i="13"/>
  <c r="I1195" i="13"/>
  <c r="F1194" i="13"/>
  <c r="C1193" i="13"/>
  <c r="M1191" i="13"/>
  <c r="J1190" i="13"/>
  <c r="G1189" i="13"/>
  <c r="D1188" i="13"/>
  <c r="A1187" i="13"/>
  <c r="K1185" i="13"/>
  <c r="H1184" i="13"/>
  <c r="E1183" i="13"/>
  <c r="B1182" i="13"/>
  <c r="L1180" i="13"/>
  <c r="I1179" i="13"/>
  <c r="F1178" i="13"/>
  <c r="C1177" i="13"/>
  <c r="M1175" i="13"/>
  <c r="J1174" i="13"/>
  <c r="G1173" i="13"/>
  <c r="D1172" i="13"/>
  <c r="A1171" i="13"/>
  <c r="K1169" i="13"/>
  <c r="H1168" i="13"/>
  <c r="E1167" i="13"/>
  <c r="B1166" i="13"/>
  <c r="L1164" i="13"/>
  <c r="L1552" i="13"/>
  <c r="F1414" i="13"/>
  <c r="D1385" i="13"/>
  <c r="A1359" i="13"/>
  <c r="I1343" i="13"/>
  <c r="J1331" i="13"/>
  <c r="C1321" i="13"/>
  <c r="E1311" i="13"/>
  <c r="G1301" i="13"/>
  <c r="I1291" i="13"/>
  <c r="J1281" i="13"/>
  <c r="E1271" i="13"/>
  <c r="G1261" i="13"/>
  <c r="M1253" i="13"/>
  <c r="G1251" i="13"/>
  <c r="M1248" i="13"/>
  <c r="D1246" i="13"/>
  <c r="H1243" i="13"/>
  <c r="M1240" i="13"/>
  <c r="D1238" i="13"/>
  <c r="H1235" i="13"/>
  <c r="M1232" i="13"/>
  <c r="D1230" i="13"/>
  <c r="H1227" i="13"/>
  <c r="A1225" i="13"/>
  <c r="H1222" i="13"/>
  <c r="B1220" i="13"/>
  <c r="I1217" i="13"/>
  <c r="C1215" i="13"/>
  <c r="J1212" i="13"/>
  <c r="D1210" i="13"/>
  <c r="K1207" i="13"/>
  <c r="E1205" i="13"/>
  <c r="L1202" i="13"/>
  <c r="F1200" i="13"/>
  <c r="M1197" i="13"/>
  <c r="G1195" i="13"/>
  <c r="A1193" i="13"/>
  <c r="H1190" i="13"/>
  <c r="B1188" i="13"/>
  <c r="I1185" i="13"/>
  <c r="C1183" i="13"/>
  <c r="J1180" i="13"/>
  <c r="D1178" i="13"/>
  <c r="K1175" i="13"/>
  <c r="E1173" i="13"/>
  <c r="L1170" i="13"/>
  <c r="F1168" i="13"/>
  <c r="M1165" i="13"/>
  <c r="H1163" i="13"/>
  <c r="M1161" i="13"/>
  <c r="D1160" i="13"/>
  <c r="I1158" i="13"/>
  <c r="A1157" i="13"/>
  <c r="E1155" i="13"/>
  <c r="I1153" i="13"/>
  <c r="M1151" i="13"/>
  <c r="B1150" i="13"/>
  <c r="E1148" i="13"/>
  <c r="H1146" i="13"/>
  <c r="J1144" i="13"/>
  <c r="A1143" i="13"/>
  <c r="D1141" i="13"/>
  <c r="F1139" i="13"/>
  <c r="I1137" i="13"/>
  <c r="M1135" i="13"/>
  <c r="B1134" i="13"/>
  <c r="H1132" i="13"/>
  <c r="D1131" i="13"/>
  <c r="M1129" i="13"/>
  <c r="H1128" i="13"/>
  <c r="D1127" i="13"/>
  <c r="M1125" i="13"/>
  <c r="H1124" i="13"/>
  <c r="D1123" i="13"/>
  <c r="M1121" i="13"/>
  <c r="H1120" i="13"/>
  <c r="D1119" i="13"/>
  <c r="M1117" i="13"/>
  <c r="H1116" i="13"/>
  <c r="D1115" i="13"/>
  <c r="M1113" i="13"/>
  <c r="H1112" i="13"/>
  <c r="D1111" i="13"/>
  <c r="M1109" i="13"/>
  <c r="H1108" i="13"/>
  <c r="D1107" i="13"/>
  <c r="M1105" i="13"/>
  <c r="J1104" i="13"/>
  <c r="G1103" i="13"/>
  <c r="D1102" i="13"/>
  <c r="A1101" i="13"/>
  <c r="K1099" i="13"/>
  <c r="H1098" i="13"/>
  <c r="E1097" i="13"/>
  <c r="B1096" i="13"/>
  <c r="L1094" i="13"/>
  <c r="I1093" i="13"/>
  <c r="F1092" i="13"/>
  <c r="C1091" i="13"/>
  <c r="M1089" i="13"/>
  <c r="J1088" i="13"/>
  <c r="G1087" i="13"/>
  <c r="D1086" i="13"/>
  <c r="A1085" i="13"/>
  <c r="K1083" i="13"/>
  <c r="H1082" i="13"/>
  <c r="E1081" i="13"/>
  <c r="B1080" i="13"/>
  <c r="L1078" i="13"/>
  <c r="I1077" i="13"/>
  <c r="F1076" i="13"/>
  <c r="C1075" i="13"/>
  <c r="M1073" i="13"/>
  <c r="J1072" i="13"/>
  <c r="G1071" i="13"/>
  <c r="D1070" i="13"/>
  <c r="A1069" i="13"/>
  <c r="K1067" i="13"/>
  <c r="H1066" i="13"/>
  <c r="E1065" i="13"/>
  <c r="B1064" i="13"/>
  <c r="L1062" i="13"/>
  <c r="I1061" i="13"/>
  <c r="F1060" i="13"/>
  <c r="C1059" i="13"/>
  <c r="M1057" i="13"/>
  <c r="J1056" i="13"/>
  <c r="G1055" i="13"/>
  <c r="D1054" i="13"/>
  <c r="A1053" i="13"/>
  <c r="K1051" i="13"/>
  <c r="H1050" i="13"/>
  <c r="E1049" i="13"/>
  <c r="B1048" i="13"/>
  <c r="L1046" i="13"/>
  <c r="I1045" i="13"/>
  <c r="F1044" i="13"/>
  <c r="C1043" i="13"/>
  <c r="M1041" i="13"/>
  <c r="J1040" i="13"/>
  <c r="G1039" i="13"/>
  <c r="D1038" i="13"/>
  <c r="A1037" i="13"/>
  <c r="K1035" i="13"/>
  <c r="H1034" i="13"/>
  <c r="E1033" i="13"/>
  <c r="B1032" i="13"/>
  <c r="L1030" i="13"/>
  <c r="I1029" i="13"/>
  <c r="F1028" i="13"/>
  <c r="C1027" i="13"/>
  <c r="M1025" i="13"/>
  <c r="J1024" i="13"/>
  <c r="G1023" i="13"/>
  <c r="D1022" i="13"/>
  <c r="A1021" i="13"/>
  <c r="K1019" i="13"/>
  <c r="H1018" i="13"/>
  <c r="E1017" i="13"/>
  <c r="B1016" i="13"/>
  <c r="L1014" i="13"/>
  <c r="I1013" i="13"/>
  <c r="F1012" i="13"/>
  <c r="C1011" i="13"/>
  <c r="M1009" i="13"/>
  <c r="J1008" i="13"/>
  <c r="G1007" i="13"/>
  <c r="D1006" i="13"/>
  <c r="A1005" i="13"/>
  <c r="K1003" i="13"/>
  <c r="H1002" i="13"/>
  <c r="E1001" i="13"/>
  <c r="J1532" i="13"/>
  <c r="M1411" i="13"/>
  <c r="I1383" i="13"/>
  <c r="F1357" i="13"/>
  <c r="E1342" i="13"/>
  <c r="J1330" i="13"/>
  <c r="D1320" i="13"/>
  <c r="F1310" i="13"/>
  <c r="H1300" i="13"/>
  <c r="J1290" i="13"/>
  <c r="J1280" i="13"/>
  <c r="F1270" i="13"/>
  <c r="H1260" i="13"/>
  <c r="J1253" i="13"/>
  <c r="D1251" i="13"/>
  <c r="I1248" i="13"/>
  <c r="A1246" i="13"/>
  <c r="E1243" i="13"/>
  <c r="I1240" i="13"/>
  <c r="A1238" i="13"/>
  <c r="E1235" i="13"/>
  <c r="I1232" i="13"/>
  <c r="A1230" i="13"/>
  <c r="E1227" i="13"/>
  <c r="K1224" i="13"/>
  <c r="E1222" i="13"/>
  <c r="L1219" i="13"/>
  <c r="F1217" i="13"/>
  <c r="M1214" i="13"/>
  <c r="G1212" i="13"/>
  <c r="A1210" i="13"/>
  <c r="H1207" i="13"/>
  <c r="B1205" i="13"/>
  <c r="I1202" i="13"/>
  <c r="C1200" i="13"/>
  <c r="J1197" i="13"/>
  <c r="D1195" i="13"/>
  <c r="K1192" i="13"/>
  <c r="E1190" i="13"/>
  <c r="L1187" i="13"/>
  <c r="F1185" i="13"/>
  <c r="M1182" i="13"/>
  <c r="G1180" i="13"/>
  <c r="A1178" i="13"/>
  <c r="H1175" i="13"/>
  <c r="B1173" i="13"/>
  <c r="I1170" i="13"/>
  <c r="C1168" i="13"/>
  <c r="J1165" i="13"/>
  <c r="G1163" i="13"/>
  <c r="K1161" i="13"/>
  <c r="C1160" i="13"/>
  <c r="H1158" i="13"/>
  <c r="L1156" i="13"/>
  <c r="D1155" i="13"/>
  <c r="H1153" i="13"/>
  <c r="J1151" i="13"/>
  <c r="A1150" i="13"/>
  <c r="D1148" i="13"/>
  <c r="F1146" i="13"/>
  <c r="I1144" i="13"/>
  <c r="M1142" i="13"/>
  <c r="B1141" i="13"/>
  <c r="E1139" i="13"/>
  <c r="H1137" i="13"/>
  <c r="J1135" i="13"/>
  <c r="A1134" i="13"/>
  <c r="G1132" i="13"/>
  <c r="C1131" i="13"/>
  <c r="L1129" i="13"/>
  <c r="G1128" i="13"/>
  <c r="C1127" i="13"/>
  <c r="L1125" i="13"/>
  <c r="G1124" i="13"/>
  <c r="C1123" i="13"/>
  <c r="L1121" i="13"/>
  <c r="G1120" i="13"/>
  <c r="C1119" i="13"/>
  <c r="L1117" i="13"/>
  <c r="G1116" i="13"/>
  <c r="C1115" i="13"/>
  <c r="L1113" i="13"/>
  <c r="G1112" i="13"/>
  <c r="C1111" i="13"/>
  <c r="L1109" i="13"/>
  <c r="G1108" i="13"/>
  <c r="C1107" i="13"/>
  <c r="L1105" i="13"/>
  <c r="I1104" i="13"/>
  <c r="F1103" i="13"/>
  <c r="C1102" i="13"/>
  <c r="M1100" i="13"/>
  <c r="J1099" i="13"/>
  <c r="G1098" i="13"/>
  <c r="D1097" i="13"/>
  <c r="A1096" i="13"/>
  <c r="K1094" i="13"/>
  <c r="H1093" i="13"/>
  <c r="E1092" i="13"/>
  <c r="B1091" i="13"/>
  <c r="L1089" i="13"/>
  <c r="I1088" i="13"/>
  <c r="F1087" i="13"/>
  <c r="C1086" i="13"/>
  <c r="M1084" i="13"/>
  <c r="J1083" i="13"/>
  <c r="G1082" i="13"/>
  <c r="D1081" i="13"/>
  <c r="A1080" i="13"/>
  <c r="K1078" i="13"/>
  <c r="H1077" i="13"/>
  <c r="E1076" i="13"/>
  <c r="B1075" i="13"/>
  <c r="L1073" i="13"/>
  <c r="I1072" i="13"/>
  <c r="F1071" i="13"/>
  <c r="C1070" i="13"/>
  <c r="M1068" i="13"/>
  <c r="J1067" i="13"/>
  <c r="G1066" i="13"/>
  <c r="D1065" i="13"/>
  <c r="A1064" i="13"/>
  <c r="K1062" i="13"/>
  <c r="H1061" i="13"/>
  <c r="E1060" i="13"/>
  <c r="B1059" i="13"/>
  <c r="L1057" i="13"/>
  <c r="I1056" i="13"/>
  <c r="F1055" i="13"/>
  <c r="C1054" i="13"/>
  <c r="M1052" i="13"/>
  <c r="J1051" i="13"/>
  <c r="G1050" i="13"/>
  <c r="D1049" i="13"/>
  <c r="A1048" i="13"/>
  <c r="K1046" i="13"/>
  <c r="H1045" i="13"/>
  <c r="E1044" i="13"/>
  <c r="B1043" i="13"/>
  <c r="L1041" i="13"/>
  <c r="I1040" i="13"/>
  <c r="F1039" i="13"/>
  <c r="C1038" i="13"/>
  <c r="M1036" i="13"/>
  <c r="J1035" i="13"/>
  <c r="G1034" i="13"/>
  <c r="D1033" i="13"/>
  <c r="A1032" i="13"/>
  <c r="K1030" i="13"/>
  <c r="H1029" i="13"/>
  <c r="E1028" i="13"/>
  <c r="B1027" i="13"/>
  <c r="L1025" i="13"/>
  <c r="I1024" i="13"/>
  <c r="F1023" i="13"/>
  <c r="C1022" i="13"/>
  <c r="M1020" i="13"/>
  <c r="J1019" i="13"/>
  <c r="G1018" i="13"/>
  <c r="D1017" i="13"/>
  <c r="A1016" i="13"/>
  <c r="K1014" i="13"/>
  <c r="H1013" i="13"/>
  <c r="E1012" i="13"/>
  <c r="B1011" i="13"/>
  <c r="L1009" i="13"/>
  <c r="I1008" i="13"/>
  <c r="F1007" i="13"/>
  <c r="C1006" i="13"/>
  <c r="M1004" i="13"/>
  <c r="J1003" i="13"/>
  <c r="I1511" i="13"/>
  <c r="G1409" i="13"/>
  <c r="A1382" i="13"/>
  <c r="J1355" i="13"/>
  <c r="L1341" i="13"/>
  <c r="F1330" i="13"/>
  <c r="M1319" i="13"/>
  <c r="B1310" i="13"/>
  <c r="D1300" i="13"/>
  <c r="F1290" i="13"/>
  <c r="F1280" i="13"/>
  <c r="B1270" i="13"/>
  <c r="D1260" i="13"/>
  <c r="I1253" i="13"/>
  <c r="C1251" i="13"/>
  <c r="H1248" i="13"/>
  <c r="M1245" i="13"/>
  <c r="D1243" i="13"/>
  <c r="H1240" i="13"/>
  <c r="M1237" i="13"/>
  <c r="D1235" i="13"/>
  <c r="H1232" i="13"/>
  <c r="M1229" i="13"/>
  <c r="D1227" i="13"/>
  <c r="J1224" i="13"/>
  <c r="D1222" i="13"/>
  <c r="K1219" i="13"/>
  <c r="E1217" i="13"/>
  <c r="L1214" i="13"/>
  <c r="F1212" i="13"/>
  <c r="M1209" i="13"/>
  <c r="G1207" i="13"/>
  <c r="A1205" i="13"/>
  <c r="H1202" i="13"/>
  <c r="B1200" i="13"/>
  <c r="I1197" i="13"/>
  <c r="C1195" i="13"/>
  <c r="J1192" i="13"/>
  <c r="D1165" i="13"/>
  <c r="J1163" i="13"/>
  <c r="G1162" i="13"/>
  <c r="D1161" i="13"/>
  <c r="A1160" i="13"/>
  <c r="K1158" i="13"/>
  <c r="H1157" i="13"/>
  <c r="E1156" i="13"/>
  <c r="B1155" i="13"/>
  <c r="L1153" i="13"/>
  <c r="G1152" i="13"/>
  <c r="C1151" i="13"/>
  <c r="L1149" i="13"/>
  <c r="G1148" i="13"/>
  <c r="C1147" i="13"/>
  <c r="L1145" i="13"/>
  <c r="G1144" i="13"/>
  <c r="C1143" i="13"/>
  <c r="L1141" i="13"/>
  <c r="G1140" i="13"/>
  <c r="C1139" i="13"/>
  <c r="L1137" i="13"/>
  <c r="G1136" i="13"/>
  <c r="C1135" i="13"/>
  <c r="L1133" i="13"/>
  <c r="J1516" i="13"/>
  <c r="B1463" i="13"/>
  <c r="F1432" i="13"/>
  <c r="B1420" i="13"/>
  <c r="B1410" i="13"/>
  <c r="B1402" i="13"/>
  <c r="H1395" i="13"/>
  <c r="M1388" i="13"/>
  <c r="F1382" i="13"/>
  <c r="L1375" i="13"/>
  <c r="D1369" i="13"/>
  <c r="J1362" i="13"/>
  <c r="C1356" i="13"/>
  <c r="H1349" i="13"/>
  <c r="J1342" i="13"/>
  <c r="F1336" i="13"/>
  <c r="B1331" i="13"/>
  <c r="J1325" i="13"/>
  <c r="H1320" i="13"/>
  <c r="I1315" i="13"/>
  <c r="J1310" i="13"/>
  <c r="K1305" i="13"/>
  <c r="L1300" i="13"/>
  <c r="M1295" i="13"/>
  <c r="A1291" i="13"/>
  <c r="B1286" i="13"/>
  <c r="B1281" i="13"/>
  <c r="J1275" i="13"/>
  <c r="J1270" i="13"/>
  <c r="K1265" i="13"/>
  <c r="L1260" i="13"/>
  <c r="M1255" i="13"/>
  <c r="K1253" i="13"/>
  <c r="H1252" i="13"/>
  <c r="E1251" i="13"/>
  <c r="B1250" i="13"/>
  <c r="J1248" i="13"/>
  <c r="F1247" i="13"/>
  <c r="B1246" i="13"/>
  <c r="J1244" i="13"/>
  <c r="F1243" i="13"/>
  <c r="B1242" i="13"/>
  <c r="J1240" i="13"/>
  <c r="F1239" i="13"/>
  <c r="B1238" i="13"/>
  <c r="J1236" i="13"/>
  <c r="F1235" i="13"/>
  <c r="B1234" i="13"/>
  <c r="J1232" i="13"/>
  <c r="F1231" i="13"/>
  <c r="B1230" i="13"/>
  <c r="J1228" i="13"/>
  <c r="F1227" i="13"/>
  <c r="B1226" i="13"/>
  <c r="L1224" i="13"/>
  <c r="I1223" i="13"/>
  <c r="F1222" i="13"/>
  <c r="C1221" i="13"/>
  <c r="M1219" i="13"/>
  <c r="J1218" i="13"/>
  <c r="G1217" i="13"/>
  <c r="D1216" i="13"/>
  <c r="A1215" i="13"/>
  <c r="K1213" i="13"/>
  <c r="H1212" i="13"/>
  <c r="E1211" i="13"/>
  <c r="B1210" i="13"/>
  <c r="L1208" i="13"/>
  <c r="I1207" i="13"/>
  <c r="F1206" i="13"/>
  <c r="C1205" i="13"/>
  <c r="M1203" i="13"/>
  <c r="J1202" i="13"/>
  <c r="G1201" i="13"/>
  <c r="D1200" i="13"/>
  <c r="A1199" i="13"/>
  <c r="K1197" i="13"/>
  <c r="H1196" i="13"/>
  <c r="E1195" i="13"/>
  <c r="B1194" i="13"/>
  <c r="L1192" i="13"/>
  <c r="I1191" i="13"/>
  <c r="F1190" i="13"/>
  <c r="C1189" i="13"/>
  <c r="M1187" i="13"/>
  <c r="J1186" i="13"/>
  <c r="G1185" i="13"/>
  <c r="D1184" i="13"/>
  <c r="A1183" i="13"/>
  <c r="K1181" i="13"/>
  <c r="H1180" i="13"/>
  <c r="E1179" i="13"/>
  <c r="B1178" i="13"/>
  <c r="L1176" i="13"/>
  <c r="I1175" i="13"/>
  <c r="F1174" i="13"/>
  <c r="C1173" i="13"/>
  <c r="M1171" i="13"/>
  <c r="J1170" i="13"/>
  <c r="G1169" i="13"/>
  <c r="D1168" i="13"/>
  <c r="A1167" i="13"/>
  <c r="K1165" i="13"/>
  <c r="H1164" i="13"/>
  <c r="J1481" i="13"/>
  <c r="M1404" i="13"/>
  <c r="J1378" i="13"/>
  <c r="J1353" i="13"/>
  <c r="B1340" i="13"/>
  <c r="B1329" i="13"/>
  <c r="J1318" i="13"/>
  <c r="L1308" i="13"/>
  <c r="A1299" i="13"/>
  <c r="C1289" i="13"/>
  <c r="B1279" i="13"/>
  <c r="L1268" i="13"/>
  <c r="A1259" i="13"/>
  <c r="E1253" i="13"/>
  <c r="L1250" i="13"/>
  <c r="D1248" i="13"/>
  <c r="H1245" i="13"/>
  <c r="M1242" i="13"/>
  <c r="D1240" i="13"/>
  <c r="H1237" i="13"/>
  <c r="M1234" i="13"/>
  <c r="D1232" i="13"/>
  <c r="H1229" i="13"/>
  <c r="M1226" i="13"/>
  <c r="F1224" i="13"/>
  <c r="M1221" i="13"/>
  <c r="G1219" i="13"/>
  <c r="A1217" i="13"/>
  <c r="H1214" i="13"/>
  <c r="B1212" i="13"/>
  <c r="I1209" i="13"/>
  <c r="C1207" i="13"/>
  <c r="J1204" i="13"/>
  <c r="D1202" i="13"/>
  <c r="K1199" i="13"/>
  <c r="E1197" i="13"/>
  <c r="L1194" i="13"/>
  <c r="F1192" i="13"/>
  <c r="M1189" i="13"/>
  <c r="G1187" i="13"/>
  <c r="A1185" i="13"/>
  <c r="H1182" i="13"/>
  <c r="B1180" i="13"/>
  <c r="I1177" i="13"/>
  <c r="C1175" i="13"/>
  <c r="J1172" i="13"/>
  <c r="D1170" i="13"/>
  <c r="K1167" i="13"/>
  <c r="E1165" i="13"/>
  <c r="C1163" i="13"/>
  <c r="G1161" i="13"/>
  <c r="L1159" i="13"/>
  <c r="D1158" i="13"/>
  <c r="H1156" i="13"/>
  <c r="M1154" i="13"/>
  <c r="D1153" i="13"/>
  <c r="F1151" i="13"/>
  <c r="I1149" i="13"/>
  <c r="M1147" i="13"/>
  <c r="B1146" i="13"/>
  <c r="E1144" i="13"/>
  <c r="H1142" i="13"/>
  <c r="J1140" i="13"/>
  <c r="A1139" i="13"/>
  <c r="D1137" i="13"/>
  <c r="F1135" i="13"/>
  <c r="I1133" i="13"/>
  <c r="D1132" i="13"/>
  <c r="M1130" i="13"/>
  <c r="H1129" i="13"/>
  <c r="D1128" i="13"/>
  <c r="M1126" i="13"/>
  <c r="H1125" i="13"/>
  <c r="D1124" i="13"/>
  <c r="M1122" i="13"/>
  <c r="H1121" i="13"/>
  <c r="D1120" i="13"/>
  <c r="M1118" i="13"/>
  <c r="H1117" i="13"/>
  <c r="D1116" i="13"/>
  <c r="M1114" i="13"/>
  <c r="H1113" i="13"/>
  <c r="D1112" i="13"/>
  <c r="M1110" i="13"/>
  <c r="H1109" i="13"/>
  <c r="D1108" i="13"/>
  <c r="M1106" i="13"/>
  <c r="I1105" i="13"/>
  <c r="F1104" i="13"/>
  <c r="C1103" i="13"/>
  <c r="M1101" i="13"/>
  <c r="J1100" i="13"/>
  <c r="G1099" i="13"/>
  <c r="D1098" i="13"/>
  <c r="A1097" i="13"/>
  <c r="K1095" i="13"/>
  <c r="H1094" i="13"/>
  <c r="E1093" i="13"/>
  <c r="B1092" i="13"/>
  <c r="L1090" i="13"/>
  <c r="I1089" i="13"/>
  <c r="F1088" i="13"/>
  <c r="C1087" i="13"/>
  <c r="M1085" i="13"/>
  <c r="J1084" i="13"/>
  <c r="G1083" i="13"/>
  <c r="D1082" i="13"/>
  <c r="A1081" i="13"/>
  <c r="K1079" i="13"/>
  <c r="H1078" i="13"/>
  <c r="E1077" i="13"/>
  <c r="B1076" i="13"/>
  <c r="L1074" i="13"/>
  <c r="I1073" i="13"/>
  <c r="F1072" i="13"/>
  <c r="C1071" i="13"/>
  <c r="M1069" i="13"/>
  <c r="J1068" i="13"/>
  <c r="G1067" i="13"/>
  <c r="D1066" i="13"/>
  <c r="A1065" i="13"/>
  <c r="K1063" i="13"/>
  <c r="H1062" i="13"/>
  <c r="E1061" i="13"/>
  <c r="B1060" i="13"/>
  <c r="L1058" i="13"/>
  <c r="I1057" i="13"/>
  <c r="F1056" i="13"/>
  <c r="C1055" i="13"/>
  <c r="M1053" i="13"/>
  <c r="J1052" i="13"/>
  <c r="G1051" i="13"/>
  <c r="D1050" i="13"/>
  <c r="A1049" i="13"/>
  <c r="K1047" i="13"/>
  <c r="H1046" i="13"/>
  <c r="E1045" i="13"/>
  <c r="B1044" i="13"/>
  <c r="L1042" i="13"/>
  <c r="I1041" i="13"/>
  <c r="F1040" i="13"/>
  <c r="C1039" i="13"/>
  <c r="M1037" i="13"/>
  <c r="J1036" i="13"/>
  <c r="G1035" i="13"/>
  <c r="D1034" i="13"/>
  <c r="A1033" i="13"/>
  <c r="K1031" i="13"/>
  <c r="H1030" i="13"/>
  <c r="E1029" i="13"/>
  <c r="B1028" i="13"/>
  <c r="L1026" i="13"/>
  <c r="I1025" i="13"/>
  <c r="F1024" i="13"/>
  <c r="C1023" i="13"/>
  <c r="M1021" i="13"/>
  <c r="J1020" i="13"/>
  <c r="G1019" i="13"/>
  <c r="D1018" i="13"/>
  <c r="A1017" i="13"/>
  <c r="K1015" i="13"/>
  <c r="H1014" i="13"/>
  <c r="E1013" i="13"/>
  <c r="B1012" i="13"/>
  <c r="L1010" i="13"/>
  <c r="I1009" i="13"/>
  <c r="F1008" i="13"/>
  <c r="C1007" i="13"/>
  <c r="M1005" i="13"/>
  <c r="J1004" i="13"/>
  <c r="G1003" i="13"/>
  <c r="D1002" i="13"/>
  <c r="A1001" i="13"/>
  <c r="B1471" i="13"/>
  <c r="E1403" i="13"/>
  <c r="B1377" i="13"/>
  <c r="G1352" i="13"/>
  <c r="J1338" i="13"/>
  <c r="B1328" i="13"/>
  <c r="K1317" i="13"/>
  <c r="M1307" i="13"/>
  <c r="B1298" i="13"/>
  <c r="D1288" i="13"/>
  <c r="B1278" i="13"/>
  <c r="M1267" i="13"/>
  <c r="B1258" i="13"/>
  <c r="B1253" i="13"/>
  <c r="I1250" i="13"/>
  <c r="A1248" i="13"/>
  <c r="E1245" i="13"/>
  <c r="I1242" i="13"/>
  <c r="A1240" i="13"/>
  <c r="E1237" i="13"/>
  <c r="I1234" i="13"/>
  <c r="A1232" i="13"/>
  <c r="E1229" i="13"/>
  <c r="I1226" i="13"/>
  <c r="C1224" i="13"/>
  <c r="J1221" i="13"/>
  <c r="D1219" i="13"/>
  <c r="K1216" i="13"/>
  <c r="E1214" i="13"/>
  <c r="L1211" i="13"/>
  <c r="F1209" i="13"/>
  <c r="M1206" i="13"/>
  <c r="G1204" i="13"/>
  <c r="A1202" i="13"/>
  <c r="H1199" i="13"/>
  <c r="B1197" i="13"/>
  <c r="I1194" i="13"/>
  <c r="C1192" i="13"/>
  <c r="J1189" i="13"/>
  <c r="D1187" i="13"/>
  <c r="K1184" i="13"/>
  <c r="E1182" i="13"/>
  <c r="L1179" i="13"/>
  <c r="F1177" i="13"/>
  <c r="M1174" i="13"/>
  <c r="G1172" i="13"/>
  <c r="A1170" i="13"/>
  <c r="H1167" i="13"/>
  <c r="B1165" i="13"/>
  <c r="A1163" i="13"/>
  <c r="F1161" i="13"/>
  <c r="K1159" i="13"/>
  <c r="B1158" i="13"/>
  <c r="G1156" i="13"/>
  <c r="L1154" i="13"/>
  <c r="B1153" i="13"/>
  <c r="E1151" i="13"/>
  <c r="H1149" i="13"/>
  <c r="J1147" i="13"/>
  <c r="A1146" i="13"/>
  <c r="D1144" i="13"/>
  <c r="F1142" i="13"/>
  <c r="I1140" i="13"/>
  <c r="M1138" i="13"/>
  <c r="B1137" i="13"/>
  <c r="E1135" i="13"/>
  <c r="H1133" i="13"/>
  <c r="C1132" i="13"/>
  <c r="L1130" i="13"/>
  <c r="G1129" i="13"/>
  <c r="C1128" i="13"/>
  <c r="L1126" i="13"/>
  <c r="G1125" i="13"/>
  <c r="C1124" i="13"/>
  <c r="L1122" i="13"/>
  <c r="G1121" i="13"/>
  <c r="C1120" i="13"/>
  <c r="L1118" i="13"/>
  <c r="G1117" i="13"/>
  <c r="C1116" i="13"/>
  <c r="L1114" i="13"/>
  <c r="G1113" i="13"/>
  <c r="C1112" i="13"/>
  <c r="L1110" i="13"/>
  <c r="G1109" i="13"/>
  <c r="C1108" i="13"/>
  <c r="L1106" i="13"/>
  <c r="H1105" i="13"/>
  <c r="E1104" i="13"/>
  <c r="B1103" i="13"/>
  <c r="L1101" i="13"/>
  <c r="I1100" i="13"/>
  <c r="F1099" i="13"/>
  <c r="C1098" i="13"/>
  <c r="M1096" i="13"/>
  <c r="J1095" i="13"/>
  <c r="G1094" i="13"/>
  <c r="D1093" i="13"/>
  <c r="A1092" i="13"/>
  <c r="K1090" i="13"/>
  <c r="H1089" i="13"/>
  <c r="E1088" i="13"/>
  <c r="B1087" i="13"/>
  <c r="L1085" i="13"/>
  <c r="I1084" i="13"/>
  <c r="F1083" i="13"/>
  <c r="C1082" i="13"/>
  <c r="M1080" i="13"/>
  <c r="J1079" i="13"/>
  <c r="G1078" i="13"/>
  <c r="D1077" i="13"/>
  <c r="A1076" i="13"/>
  <c r="K1074" i="13"/>
  <c r="H1073" i="13"/>
  <c r="E1072" i="13"/>
  <c r="B1071" i="13"/>
  <c r="L1069" i="13"/>
  <c r="I1068" i="13"/>
  <c r="F1067" i="13"/>
  <c r="C1066" i="13"/>
  <c r="M1064" i="13"/>
  <c r="J1063" i="13"/>
  <c r="G1062" i="13"/>
  <c r="D1061" i="13"/>
  <c r="A1060" i="13"/>
  <c r="K1058" i="13"/>
  <c r="H1057" i="13"/>
  <c r="E1056" i="13"/>
  <c r="B1055" i="13"/>
  <c r="L1053" i="13"/>
  <c r="I1052" i="13"/>
  <c r="F1051" i="13"/>
  <c r="C1050" i="13"/>
  <c r="M1048" i="13"/>
  <c r="J1047" i="13"/>
  <c r="G1046" i="13"/>
  <c r="D1045" i="13"/>
  <c r="A1044" i="13"/>
  <c r="K1042" i="13"/>
  <c r="H1041" i="13"/>
  <c r="E1040" i="13"/>
  <c r="B1039" i="13"/>
  <c r="L1037" i="13"/>
  <c r="I1036" i="13"/>
  <c r="F1035" i="13"/>
  <c r="C1034" i="13"/>
  <c r="M1032" i="13"/>
  <c r="J1031" i="13"/>
  <c r="G1030" i="13"/>
  <c r="D1029" i="13"/>
  <c r="A1028" i="13"/>
  <c r="K1026" i="13"/>
  <c r="H1025" i="13"/>
  <c r="E1024" i="13"/>
  <c r="B1023" i="13"/>
  <c r="L1021" i="13"/>
  <c r="I1020" i="13"/>
  <c r="F1019" i="13"/>
  <c r="C1018" i="13"/>
  <c r="M1016" i="13"/>
  <c r="J1015" i="13"/>
  <c r="G1014" i="13"/>
  <c r="D1013" i="13"/>
  <c r="A1012" i="13"/>
  <c r="K1010" i="13"/>
  <c r="H1009" i="13"/>
  <c r="E1008" i="13"/>
  <c r="B1007" i="13"/>
  <c r="L1005" i="13"/>
  <c r="I1004" i="13"/>
  <c r="F1003" i="13"/>
  <c r="F1460" i="13"/>
  <c r="J1401" i="13"/>
  <c r="F1375" i="13"/>
  <c r="A1352" i="13"/>
  <c r="F1338" i="13"/>
  <c r="J1327" i="13"/>
  <c r="G1317" i="13"/>
  <c r="I1307" i="13"/>
  <c r="K1297" i="13"/>
  <c r="M1287" i="13"/>
  <c r="J1277" i="13"/>
  <c r="I1267" i="13"/>
  <c r="K1257" i="13"/>
  <c r="A1253" i="13"/>
  <c r="H1250" i="13"/>
  <c r="M1247" i="13"/>
  <c r="D1245" i="13"/>
  <c r="H1242" i="13"/>
  <c r="M1239" i="13"/>
  <c r="D1237" i="13"/>
  <c r="H1234" i="13"/>
  <c r="M1231" i="13"/>
  <c r="D1229" i="13"/>
  <c r="H1226" i="13"/>
  <c r="B1224" i="13"/>
  <c r="I1221" i="13"/>
  <c r="C1219" i="13"/>
  <c r="J1216" i="13"/>
  <c r="D1214" i="13"/>
  <c r="K1211" i="13"/>
  <c r="E1209" i="13"/>
  <c r="L1206" i="13"/>
  <c r="F1204" i="13"/>
  <c r="M1201" i="13"/>
  <c r="G1199" i="13"/>
  <c r="A1197" i="13"/>
  <c r="H1194" i="13"/>
  <c r="B1192" i="13"/>
  <c r="I1164" i="13"/>
  <c r="F1163" i="13"/>
  <c r="C1162" i="13"/>
  <c r="M1160" i="13"/>
  <c r="J1159" i="13"/>
  <c r="G1158" i="13"/>
  <c r="D1157" i="13"/>
  <c r="A1156" i="13"/>
  <c r="K1154" i="13"/>
  <c r="G1153" i="13"/>
  <c r="C1152" i="13"/>
  <c r="L1150" i="13"/>
  <c r="G1149" i="13"/>
  <c r="C1148" i="13"/>
  <c r="L1146" i="13"/>
  <c r="G1145" i="13"/>
  <c r="C1144" i="13"/>
  <c r="L1142" i="13"/>
  <c r="G1141" i="13"/>
  <c r="C1140" i="13"/>
  <c r="L1138" i="13"/>
  <c r="G1137" i="13"/>
  <c r="C1136" i="13"/>
  <c r="L1134" i="13"/>
  <c r="G1133" i="13"/>
  <c r="L1496" i="13"/>
  <c r="L1452" i="13"/>
  <c r="B1428" i="13"/>
  <c r="G1417" i="13"/>
  <c r="I1407" i="13"/>
  <c r="G1400" i="13"/>
  <c r="L1393" i="13"/>
  <c r="E1387" i="13"/>
  <c r="K1380" i="13"/>
  <c r="C1374" i="13"/>
  <c r="I1367" i="13"/>
  <c r="B1361" i="13"/>
  <c r="G1354" i="13"/>
  <c r="M1347" i="13"/>
  <c r="A1341" i="13"/>
  <c r="B1335" i="13"/>
  <c r="J1329" i="13"/>
  <c r="F1324" i="13"/>
  <c r="E1319" i="13"/>
  <c r="F1314" i="13"/>
  <c r="G1309" i="13"/>
  <c r="H1304" i="13"/>
  <c r="I1299" i="13"/>
  <c r="J1294" i="13"/>
  <c r="K1289" i="13"/>
  <c r="L1284" i="13"/>
  <c r="J1279" i="13"/>
  <c r="F1274" i="13"/>
  <c r="G1269" i="13"/>
  <c r="H1264" i="13"/>
  <c r="I1259" i="13"/>
  <c r="J1254" i="13"/>
  <c r="G1253" i="13"/>
  <c r="D1252" i="13"/>
  <c r="A1251" i="13"/>
  <c r="J1249" i="13"/>
  <c r="F1248" i="13"/>
  <c r="B1247" i="13"/>
  <c r="J1245" i="13"/>
  <c r="F1244" i="13"/>
  <c r="B1243" i="13"/>
  <c r="J1241" i="13"/>
  <c r="F1240" i="13"/>
  <c r="B1239" i="13"/>
  <c r="J1237" i="13"/>
  <c r="F1236" i="13"/>
  <c r="B1235" i="13"/>
  <c r="J1233" i="13"/>
  <c r="F1232" i="13"/>
  <c r="B1231" i="13"/>
  <c r="J1229" i="13"/>
  <c r="F1228" i="13"/>
  <c r="B1227" i="13"/>
  <c r="K1225" i="13"/>
  <c r="H1224" i="13"/>
  <c r="E1223" i="13"/>
  <c r="B1222" i="13"/>
  <c r="L1220" i="13"/>
  <c r="I1219" i="13"/>
  <c r="F1218" i="13"/>
  <c r="C1217" i="13"/>
  <c r="M1215" i="13"/>
  <c r="J1214" i="13"/>
  <c r="G1213" i="13"/>
  <c r="D1212" i="13"/>
  <c r="A1211" i="13"/>
  <c r="K1209" i="13"/>
  <c r="H1208" i="13"/>
  <c r="E1207" i="13"/>
  <c r="B1206" i="13"/>
  <c r="L1204" i="13"/>
  <c r="I1203" i="13"/>
  <c r="F1202" i="13"/>
  <c r="C1201" i="13"/>
  <c r="M1199" i="13"/>
  <c r="J1198" i="13"/>
  <c r="G1197" i="13"/>
  <c r="D1196" i="13"/>
  <c r="A1195" i="13"/>
  <c r="K1193" i="13"/>
  <c r="H1192" i="13"/>
  <c r="E1191" i="13"/>
  <c r="B1190" i="13"/>
  <c r="L1188" i="13"/>
  <c r="I1187" i="13"/>
  <c r="F1186" i="13"/>
  <c r="C1185" i="13"/>
  <c r="M1183" i="13"/>
  <c r="J1182" i="13"/>
  <c r="G1181" i="13"/>
  <c r="D1180" i="13"/>
  <c r="A1179" i="13"/>
  <c r="K1177" i="13"/>
  <c r="H1176" i="13"/>
  <c r="E1175" i="13"/>
  <c r="B1174" i="13"/>
  <c r="L1172" i="13"/>
  <c r="I1171" i="13"/>
  <c r="F1170" i="13"/>
  <c r="C1169" i="13"/>
  <c r="M1167" i="13"/>
  <c r="J1166" i="13"/>
  <c r="G1165" i="13"/>
  <c r="D1164" i="13"/>
  <c r="M1443" i="13"/>
  <c r="F1398" i="13"/>
  <c r="C1372" i="13"/>
  <c r="F1350" i="13"/>
  <c r="B1337" i="13"/>
  <c r="F1326" i="13"/>
  <c r="D1316" i="13"/>
  <c r="F1306" i="13"/>
  <c r="H1296" i="13"/>
  <c r="J1286" i="13"/>
  <c r="F1276" i="13"/>
  <c r="F1266" i="13"/>
  <c r="H1256" i="13"/>
  <c r="J1252" i="13"/>
  <c r="D1250" i="13"/>
  <c r="H1247" i="13"/>
  <c r="M1244" i="13"/>
  <c r="D1242" i="13"/>
  <c r="H1239" i="13"/>
  <c r="M1236" i="13"/>
  <c r="D1234" i="13"/>
  <c r="H1231" i="13"/>
  <c r="M1228" i="13"/>
  <c r="D1226" i="13"/>
  <c r="K1223" i="13"/>
  <c r="E1221" i="13"/>
  <c r="L1218" i="13"/>
  <c r="F1216" i="13"/>
  <c r="M1213" i="13"/>
  <c r="G1211" i="13"/>
  <c r="A1209" i="13"/>
  <c r="H1206" i="13"/>
  <c r="B1204" i="13"/>
  <c r="I1201" i="13"/>
  <c r="C1199" i="13"/>
  <c r="J1196" i="13"/>
  <c r="D1194" i="13"/>
  <c r="K1191" i="13"/>
  <c r="E1189" i="13"/>
  <c r="L1186" i="13"/>
  <c r="F1184" i="13"/>
  <c r="M1181" i="13"/>
  <c r="G1179" i="13"/>
  <c r="A1177" i="13"/>
  <c r="H1174" i="13"/>
  <c r="B1172" i="13"/>
  <c r="I1169" i="13"/>
  <c r="C1167" i="13"/>
  <c r="J1164" i="13"/>
  <c r="J1162" i="13"/>
  <c r="B1161" i="13"/>
  <c r="G1159" i="13"/>
  <c r="K1157" i="13"/>
  <c r="C1156" i="13"/>
  <c r="H1154" i="13"/>
  <c r="J1152" i="13"/>
  <c r="A1151" i="13"/>
  <c r="D1149" i="13"/>
  <c r="F1147" i="13"/>
  <c r="I1145" i="13"/>
  <c r="M1143" i="13"/>
  <c r="B1142" i="13"/>
  <c r="E1140" i="13"/>
  <c r="H1138" i="13"/>
  <c r="J1136" i="13"/>
  <c r="A1135" i="13"/>
  <c r="D1133" i="13"/>
  <c r="M1131" i="13"/>
  <c r="H1130" i="13"/>
  <c r="D1129" i="13"/>
  <c r="M1127" i="13"/>
  <c r="H1126" i="13"/>
  <c r="D1125" i="13"/>
  <c r="M1123" i="13"/>
  <c r="H1122" i="13"/>
  <c r="D1121" i="13"/>
  <c r="M1119" i="13"/>
  <c r="H1118" i="13"/>
  <c r="D1117" i="13"/>
  <c r="M1115" i="13"/>
  <c r="H1114" i="13"/>
  <c r="D1113" i="13"/>
  <c r="M1111" i="13"/>
  <c r="H1110" i="13"/>
  <c r="D1109" i="13"/>
  <c r="M1107" i="13"/>
  <c r="H1106" i="13"/>
  <c r="E1105" i="13"/>
  <c r="B1104" i="13"/>
  <c r="L1102" i="13"/>
  <c r="I1101" i="13"/>
  <c r="F1100" i="13"/>
  <c r="C1099" i="13"/>
  <c r="M1097" i="13"/>
  <c r="J1096" i="13"/>
  <c r="G1095" i="13"/>
  <c r="D1094" i="13"/>
  <c r="A1093" i="13"/>
  <c r="K1091" i="13"/>
  <c r="H1090" i="13"/>
  <c r="E1089" i="13"/>
  <c r="B1088" i="13"/>
  <c r="L1086" i="13"/>
  <c r="I1085" i="13"/>
  <c r="F1084" i="13"/>
  <c r="C1083" i="13"/>
  <c r="M1081" i="13"/>
  <c r="J1080" i="13"/>
  <c r="G1079" i="13"/>
  <c r="D1078" i="13"/>
  <c r="A1077" i="13"/>
  <c r="K1075" i="13"/>
  <c r="H1074" i="13"/>
  <c r="E1073" i="13"/>
  <c r="B1072" i="13"/>
  <c r="L1070" i="13"/>
  <c r="I1069" i="13"/>
  <c r="F1068" i="13"/>
  <c r="C1067" i="13"/>
  <c r="M1065" i="13"/>
  <c r="J1064" i="13"/>
  <c r="G1063" i="13"/>
  <c r="D1062" i="13"/>
  <c r="A1061" i="13"/>
  <c r="K1059" i="13"/>
  <c r="H1058" i="13"/>
  <c r="E1057" i="13"/>
  <c r="B1056" i="13"/>
  <c r="L1054" i="13"/>
  <c r="I1053" i="13"/>
  <c r="F1052" i="13"/>
  <c r="C1051" i="13"/>
  <c r="M1049" i="13"/>
  <c r="J1048" i="13"/>
  <c r="G1047" i="13"/>
  <c r="D1046" i="13"/>
  <c r="A1045" i="13"/>
  <c r="K1043" i="13"/>
  <c r="H1042" i="13"/>
  <c r="E1041" i="13"/>
  <c r="B1040" i="13"/>
  <c r="L1038" i="13"/>
  <c r="I1037" i="13"/>
  <c r="F1036" i="13"/>
  <c r="C1035" i="13"/>
  <c r="M1033" i="13"/>
  <c r="J1032" i="13"/>
  <c r="G1031" i="13"/>
  <c r="D1030" i="13"/>
  <c r="A1029" i="13"/>
  <c r="K1027" i="13"/>
  <c r="H1026" i="13"/>
  <c r="E1025" i="13"/>
  <c r="B1024" i="13"/>
  <c r="L1022" i="13"/>
  <c r="I1021" i="13"/>
  <c r="F1020" i="13"/>
  <c r="C1019" i="13"/>
  <c r="M1017" i="13"/>
  <c r="J1016" i="13"/>
  <c r="G1015" i="13"/>
  <c r="D1014" i="13"/>
  <c r="A1013" i="13"/>
  <c r="K1011" i="13"/>
  <c r="H1010" i="13"/>
  <c r="E1009" i="13"/>
  <c r="B1008" i="13"/>
  <c r="L1006" i="13"/>
  <c r="I1005" i="13"/>
  <c r="F1004" i="13"/>
  <c r="C1003" i="13"/>
  <c r="M1001" i="13"/>
  <c r="J1000" i="13"/>
  <c r="A1437" i="13"/>
  <c r="K1396" i="13"/>
  <c r="G1370" i="13"/>
  <c r="C1349" i="13"/>
  <c r="B1336" i="13"/>
  <c r="F1325" i="13"/>
  <c r="E1315" i="13"/>
  <c r="G1305" i="13"/>
  <c r="I1295" i="13"/>
  <c r="K1285" i="13"/>
  <c r="F1275" i="13"/>
  <c r="G1265" i="13"/>
  <c r="I1255" i="13"/>
  <c r="G1252" i="13"/>
  <c r="A1250" i="13"/>
  <c r="E1247" i="13"/>
  <c r="I1244" i="13"/>
  <c r="A1242" i="13"/>
  <c r="E1239" i="13"/>
  <c r="I1236" i="13"/>
  <c r="A1234" i="13"/>
  <c r="E1231" i="13"/>
  <c r="I1228" i="13"/>
  <c r="A1226" i="13"/>
  <c r="H1223" i="13"/>
  <c r="B1221" i="13"/>
  <c r="I1218" i="13"/>
  <c r="C1216" i="13"/>
  <c r="J1213" i="13"/>
  <c r="D1211" i="13"/>
  <c r="K1208" i="13"/>
  <c r="E1206" i="13"/>
  <c r="L1203" i="13"/>
  <c r="F1201" i="13"/>
  <c r="M1198" i="13"/>
  <c r="G1196" i="13"/>
  <c r="A1194" i="13"/>
  <c r="H1191" i="13"/>
  <c r="B1189" i="13"/>
  <c r="I1186" i="13"/>
  <c r="C1184" i="13"/>
  <c r="J1181" i="13"/>
  <c r="D1179" i="13"/>
  <c r="K1176" i="13"/>
  <c r="E1174" i="13"/>
  <c r="L1171" i="13"/>
  <c r="F1169" i="13"/>
  <c r="M1166" i="13"/>
  <c r="G1164" i="13"/>
  <c r="I1162" i="13"/>
  <c r="A1161" i="13"/>
  <c r="E1159" i="13"/>
  <c r="J1157" i="13"/>
  <c r="B1156" i="13"/>
  <c r="F1154" i="13"/>
  <c r="I1152" i="13"/>
  <c r="M1150" i="13"/>
  <c r="B1149" i="13"/>
  <c r="E1147" i="13"/>
  <c r="H1145" i="13"/>
  <c r="J1143" i="13"/>
  <c r="A1142" i="13"/>
  <c r="D1140" i="13"/>
  <c r="F1138" i="13"/>
  <c r="I1136" i="13"/>
  <c r="M1134" i="13"/>
  <c r="C1133" i="13"/>
  <c r="L1131" i="13"/>
  <c r="G1130" i="13"/>
  <c r="C1129" i="13"/>
  <c r="L1127" i="13"/>
  <c r="G1126" i="13"/>
  <c r="C1125" i="13"/>
  <c r="L1123" i="13"/>
  <c r="G1122" i="13"/>
  <c r="C1121" i="13"/>
  <c r="L1119" i="13"/>
  <c r="G1118" i="13"/>
  <c r="C1117" i="13"/>
  <c r="L1115" i="13"/>
  <c r="G1114" i="13"/>
  <c r="C1113" i="13"/>
  <c r="L1111" i="13"/>
  <c r="G1110" i="13"/>
  <c r="C1109" i="13"/>
  <c r="L1107" i="13"/>
  <c r="G1106" i="13"/>
  <c r="D1105" i="13"/>
  <c r="A1104" i="13"/>
  <c r="K1102" i="13"/>
  <c r="H1101" i="13"/>
  <c r="E1100" i="13"/>
  <c r="B1099" i="13"/>
  <c r="L1097" i="13"/>
  <c r="I1096" i="13"/>
  <c r="F1095" i="13"/>
  <c r="C1094" i="13"/>
  <c r="M1092" i="13"/>
  <c r="J1091" i="13"/>
  <c r="G1090" i="13"/>
  <c r="D1089" i="13"/>
  <c r="A1088" i="13"/>
  <c r="K1086" i="13"/>
  <c r="H1085" i="13"/>
  <c r="E1084" i="13"/>
  <c r="B1083" i="13"/>
  <c r="L1081" i="13"/>
  <c r="I1080" i="13"/>
  <c r="F1079" i="13"/>
  <c r="C1078" i="13"/>
  <c r="M1076" i="13"/>
  <c r="J1075" i="13"/>
  <c r="G1074" i="13"/>
  <c r="D1073" i="13"/>
  <c r="A1072" i="13"/>
  <c r="K1070" i="13"/>
  <c r="H1069" i="13"/>
  <c r="E1068" i="13"/>
  <c r="B1067" i="13"/>
  <c r="L1065" i="13"/>
  <c r="I1064" i="13"/>
  <c r="F1063" i="13"/>
  <c r="C1062" i="13"/>
  <c r="M1060" i="13"/>
  <c r="J1059" i="13"/>
  <c r="G1058" i="13"/>
  <c r="D1057" i="13"/>
  <c r="A1056" i="13"/>
  <c r="K1054" i="13"/>
  <c r="H1053" i="13"/>
  <c r="E1052" i="13"/>
  <c r="B1051" i="13"/>
  <c r="L1049" i="13"/>
  <c r="I1048" i="13"/>
  <c r="F1047" i="13"/>
  <c r="C1046" i="13"/>
  <c r="M1044" i="13"/>
  <c r="J1043" i="13"/>
  <c r="G1042" i="13"/>
  <c r="D1041" i="13"/>
  <c r="A1040" i="13"/>
  <c r="K1038" i="13"/>
  <c r="H1037" i="13"/>
  <c r="E1036" i="13"/>
  <c r="B1035" i="13"/>
  <c r="L1033" i="13"/>
  <c r="I1032" i="13"/>
  <c r="F1031" i="13"/>
  <c r="C1030" i="13"/>
  <c r="M1028" i="13"/>
  <c r="J1027" i="13"/>
  <c r="G1026" i="13"/>
  <c r="D1025" i="13"/>
  <c r="A1024" i="13"/>
  <c r="K1022" i="13"/>
  <c r="H1021" i="13"/>
  <c r="E1020" i="13"/>
  <c r="B1019" i="13"/>
  <c r="L1017" i="13"/>
  <c r="I1016" i="13"/>
  <c r="F1015" i="13"/>
  <c r="C1014" i="13"/>
  <c r="M1012" i="13"/>
  <c r="J1011" i="13"/>
  <c r="G1010" i="13"/>
  <c r="D1009" i="13"/>
  <c r="A1008" i="13"/>
  <c r="K1006" i="13"/>
  <c r="H1005" i="13"/>
  <c r="E1004" i="13"/>
  <c r="B1003" i="13"/>
  <c r="B1431" i="13"/>
  <c r="B1395" i="13"/>
  <c r="L1368" i="13"/>
  <c r="K1348" i="13"/>
  <c r="J1335" i="13"/>
  <c r="B1325" i="13"/>
  <c r="A1315" i="13"/>
  <c r="C1305" i="13"/>
  <c r="E1295" i="13"/>
  <c r="G1285" i="13"/>
  <c r="B1275" i="13"/>
  <c r="C1265" i="13"/>
  <c r="E1255" i="13"/>
  <c r="F1252" i="13"/>
  <c r="M1249" i="13"/>
  <c r="D1247" i="13"/>
  <c r="H1244" i="13"/>
  <c r="M1241" i="13"/>
  <c r="D1239" i="13"/>
  <c r="H1236" i="13"/>
  <c r="M1233" i="13"/>
  <c r="D1231" i="13"/>
  <c r="H1228" i="13"/>
  <c r="M1225" i="13"/>
  <c r="G1223" i="13"/>
  <c r="A1221" i="13"/>
  <c r="H1218" i="13"/>
  <c r="B1216" i="13"/>
  <c r="I1213" i="13"/>
  <c r="C1211" i="13"/>
  <c r="J1208" i="13"/>
  <c r="D1206" i="13"/>
  <c r="K1203" i="13"/>
  <c r="E1201" i="13"/>
  <c r="L1198" i="13"/>
  <c r="F1196" i="13"/>
  <c r="M1193" i="13"/>
  <c r="G1191" i="13"/>
  <c r="E1164" i="13"/>
  <c r="B1163" i="13"/>
  <c r="L1161" i="13"/>
  <c r="I1160" i="13"/>
  <c r="F1159" i="13"/>
  <c r="C1158" i="13"/>
  <c r="M1156" i="13"/>
  <c r="J1155" i="13"/>
  <c r="G1154" i="13"/>
  <c r="C1153" i="13"/>
  <c r="L1151" i="13"/>
  <c r="G1150" i="13"/>
  <c r="C1149" i="13"/>
  <c r="L1147" i="13"/>
  <c r="G1146" i="13"/>
  <c r="C1145" i="13"/>
  <c r="L1143" i="13"/>
  <c r="G1142" i="13"/>
  <c r="C1141" i="13"/>
  <c r="L1139" i="13"/>
  <c r="G1138" i="13"/>
  <c r="C1137" i="13"/>
  <c r="L1135" i="13"/>
  <c r="G1134" i="13"/>
  <c r="K1557" i="13"/>
  <c r="F1484" i="13"/>
  <c r="H1445" i="13"/>
  <c r="F1425" i="13"/>
  <c r="A1415" i="13"/>
  <c r="F1405" i="13"/>
  <c r="K1398" i="13"/>
  <c r="D1392" i="13"/>
  <c r="J1385" i="13"/>
  <c r="B1379" i="13"/>
  <c r="H1372" i="13"/>
  <c r="A1366" i="13"/>
  <c r="F1359" i="13"/>
  <c r="L1352" i="13"/>
  <c r="E1346" i="13"/>
  <c r="C1339" i="13"/>
  <c r="J1333" i="13"/>
  <c r="F1328" i="13"/>
  <c r="B1323" i="13"/>
  <c r="B1318" i="13"/>
  <c r="C1313" i="13"/>
  <c r="D1308" i="13"/>
  <c r="E1303" i="13"/>
  <c r="F1298" i="13"/>
  <c r="G1293" i="13"/>
  <c r="H1288" i="13"/>
  <c r="I1283" i="13"/>
  <c r="F1278" i="13"/>
  <c r="C1273" i="13"/>
  <c r="D1268" i="13"/>
  <c r="E1263" i="13"/>
  <c r="F1258" i="13"/>
  <c r="F1254" i="13"/>
  <c r="C1253" i="13"/>
  <c r="M1251" i="13"/>
  <c r="J1250" i="13"/>
  <c r="F1249" i="13"/>
  <c r="B1248" i="13"/>
  <c r="J1246" i="13"/>
  <c r="F1245" i="13"/>
  <c r="B1244" i="13"/>
  <c r="J1242" i="13"/>
  <c r="F1241" i="13"/>
  <c r="B1240" i="13"/>
  <c r="J1238" i="13"/>
  <c r="F1237" i="13"/>
  <c r="B1236" i="13"/>
  <c r="J1234" i="13"/>
  <c r="F1233" i="13"/>
  <c r="B1232" i="13"/>
  <c r="J1230" i="13"/>
  <c r="F1229" i="13"/>
  <c r="B1228" i="13"/>
  <c r="J1226" i="13"/>
  <c r="G1225" i="13"/>
  <c r="D1224" i="13"/>
  <c r="A1223" i="13"/>
  <c r="K1221" i="13"/>
  <c r="H1220" i="13"/>
  <c r="E1219" i="13"/>
  <c r="B1218" i="13"/>
  <c r="L1216" i="13"/>
  <c r="I1215" i="13"/>
  <c r="F1214" i="13"/>
  <c r="C1213" i="13"/>
  <c r="M1211" i="13"/>
  <c r="J1210" i="13"/>
  <c r="G1209" i="13"/>
  <c r="D1208" i="13"/>
  <c r="A1207" i="13"/>
  <c r="K1205" i="13"/>
  <c r="H1204" i="13"/>
  <c r="E1203" i="13"/>
  <c r="B1202" i="13"/>
  <c r="L1200" i="13"/>
  <c r="I1199" i="13"/>
  <c r="F1198" i="13"/>
  <c r="C1197" i="13"/>
  <c r="M1195" i="13"/>
  <c r="J1194" i="13"/>
  <c r="G1193" i="13"/>
  <c r="D1192" i="13"/>
  <c r="A1191" i="13"/>
  <c r="K1189" i="13"/>
  <c r="H1188" i="13"/>
  <c r="E1187" i="13"/>
  <c r="B1186" i="13"/>
  <c r="L1184" i="13"/>
  <c r="I1183" i="13"/>
  <c r="F1182" i="13"/>
  <c r="C1181" i="13"/>
  <c r="M1179" i="13"/>
  <c r="J1178" i="13"/>
  <c r="G1177" i="13"/>
  <c r="D1176" i="13"/>
  <c r="A1175" i="13"/>
  <c r="K1173" i="13"/>
  <c r="H1172" i="13"/>
  <c r="E1171" i="13"/>
  <c r="B1170" i="13"/>
  <c r="L1168" i="13"/>
  <c r="I1167" i="13"/>
  <c r="F1166" i="13"/>
  <c r="C1165" i="13"/>
  <c r="M1163" i="13"/>
  <c r="J1424" i="13"/>
  <c r="L1391" i="13"/>
  <c r="H1365" i="13"/>
  <c r="B1347" i="13"/>
  <c r="F1334" i="13"/>
  <c r="J1323" i="13"/>
  <c r="K1313" i="13"/>
  <c r="M1303" i="13"/>
  <c r="B1294" i="13"/>
  <c r="D1284" i="13"/>
  <c r="K1273" i="13"/>
  <c r="M1263" i="13"/>
  <c r="H1254" i="13"/>
  <c r="B1252" i="13"/>
  <c r="H1249" i="13"/>
  <c r="M1246" i="13"/>
  <c r="D1244" i="13"/>
  <c r="H1241" i="13"/>
  <c r="M1238" i="13"/>
  <c r="D1236" i="13"/>
  <c r="H1233" i="13"/>
  <c r="M1230" i="13"/>
  <c r="D1228" i="13"/>
  <c r="I1225" i="13"/>
  <c r="C1223" i="13"/>
  <c r="J1220" i="13"/>
  <c r="D1218" i="13"/>
  <c r="K1215" i="13"/>
  <c r="E1213" i="13"/>
  <c r="L1210" i="13"/>
  <c r="F1208" i="13"/>
  <c r="M1205" i="13"/>
  <c r="G1203" i="13"/>
  <c r="A1201" i="13"/>
  <c r="H1198" i="13"/>
  <c r="B1196" i="13"/>
  <c r="I1193" i="13"/>
  <c r="C1191" i="13"/>
  <c r="J1188" i="13"/>
  <c r="D1186" i="13"/>
  <c r="K1183" i="13"/>
  <c r="E1181" i="13"/>
  <c r="L1178" i="13"/>
  <c r="F1176" i="13"/>
  <c r="M1173" i="13"/>
  <c r="G1171" i="13"/>
  <c r="A1169" i="13"/>
  <c r="H1166" i="13"/>
  <c r="B1164" i="13"/>
  <c r="E1162" i="13"/>
  <c r="J1160" i="13"/>
  <c r="A1159" i="13"/>
  <c r="F1157" i="13"/>
  <c r="K1155" i="13"/>
  <c r="B1154" i="13"/>
  <c r="E1152" i="13"/>
  <c r="H1150" i="13"/>
  <c r="J1148" i="13"/>
  <c r="A1147" i="13"/>
  <c r="D1145" i="13"/>
  <c r="F1143" i="13"/>
  <c r="I1141" i="13"/>
  <c r="M1139" i="13"/>
  <c r="B1138" i="13"/>
  <c r="E1136" i="13"/>
  <c r="H1134" i="13"/>
  <c r="M1132" i="13"/>
  <c r="H1131" i="13"/>
  <c r="D1130" i="13"/>
  <c r="M1128" i="13"/>
  <c r="H1127" i="13"/>
  <c r="D1126" i="13"/>
  <c r="M1124" i="13"/>
  <c r="H1123" i="13"/>
  <c r="D1122" i="13"/>
  <c r="M1120" i="13"/>
  <c r="H1119" i="13"/>
  <c r="D1118" i="13"/>
  <c r="M1116" i="13"/>
  <c r="H1115" i="13"/>
  <c r="D1114" i="13"/>
  <c r="M1112" i="13"/>
  <c r="H1111" i="13"/>
  <c r="D1110" i="13"/>
  <c r="M1108" i="13"/>
  <c r="H1107" i="13"/>
  <c r="D1106" i="13"/>
  <c r="A1105" i="13"/>
  <c r="K1103" i="13"/>
  <c r="H1102" i="13"/>
  <c r="E1101" i="13"/>
  <c r="B1100" i="13"/>
  <c r="L1098" i="13"/>
  <c r="I1097" i="13"/>
  <c r="F1096" i="13"/>
  <c r="C1095" i="13"/>
  <c r="M1093" i="13"/>
  <c r="J1092" i="13"/>
  <c r="G1091" i="13"/>
  <c r="D1090" i="13"/>
  <c r="A1089" i="13"/>
  <c r="K1087" i="13"/>
  <c r="H1086" i="13"/>
  <c r="E1085" i="13"/>
  <c r="B1084" i="13"/>
  <c r="L1082" i="13"/>
  <c r="I1081" i="13"/>
  <c r="F1080" i="13"/>
  <c r="C1079" i="13"/>
  <c r="M1077" i="13"/>
  <c r="J1076" i="13"/>
  <c r="G1075" i="13"/>
  <c r="D1074" i="13"/>
  <c r="A1073" i="13"/>
  <c r="K1071" i="13"/>
  <c r="H1070" i="13"/>
  <c r="E1069" i="13"/>
  <c r="B1068" i="13"/>
  <c r="L1066" i="13"/>
  <c r="I1065" i="13"/>
  <c r="F1064" i="13"/>
  <c r="C1063" i="13"/>
  <c r="M1061" i="13"/>
  <c r="J1060" i="13"/>
  <c r="G1059" i="13"/>
  <c r="D1058" i="13"/>
  <c r="A1057" i="13"/>
  <c r="K1055" i="13"/>
  <c r="H1054" i="13"/>
  <c r="E1053" i="13"/>
  <c r="B1052" i="13"/>
  <c r="L1050" i="13"/>
  <c r="I1049" i="13"/>
  <c r="F1048" i="13"/>
  <c r="C1047" i="13"/>
  <c r="M1045" i="13"/>
  <c r="J1044" i="13"/>
  <c r="G1043" i="13"/>
  <c r="D1042" i="13"/>
  <c r="A1041" i="13"/>
  <c r="K1039" i="13"/>
  <c r="H1038" i="13"/>
  <c r="E1037" i="13"/>
  <c r="B1036" i="13"/>
  <c r="L1034" i="13"/>
  <c r="I1033" i="13"/>
  <c r="F1032" i="13"/>
  <c r="C1031" i="13"/>
  <c r="M1029" i="13"/>
  <c r="J1028" i="13"/>
  <c r="G1027" i="13"/>
  <c r="D1026" i="13"/>
  <c r="A1025" i="13"/>
  <c r="K1023" i="13"/>
  <c r="H1022" i="13"/>
  <c r="E1021" i="13"/>
  <c r="B1020" i="13"/>
  <c r="L1018" i="13"/>
  <c r="I1017" i="13"/>
  <c r="F1016" i="13"/>
  <c r="C1015" i="13"/>
  <c r="M1013" i="13"/>
  <c r="J1012" i="13"/>
  <c r="G1011" i="13"/>
  <c r="D1010" i="13"/>
  <c r="A1009" i="13"/>
  <c r="K1007" i="13"/>
  <c r="H1006" i="13"/>
  <c r="E1005" i="13"/>
  <c r="B1004" i="13"/>
  <c r="L1002" i="13"/>
  <c r="I1001" i="13"/>
  <c r="F1000" i="13"/>
  <c r="B1422" i="13"/>
  <c r="C1390" i="13"/>
  <c r="M1363" i="13"/>
  <c r="L1345" i="13"/>
  <c r="F1333" i="13"/>
  <c r="J1322" i="13"/>
  <c r="L1312" i="13"/>
  <c r="A1303" i="13"/>
  <c r="C1293" i="13"/>
  <c r="E1283" i="13"/>
  <c r="L1272" i="13"/>
  <c r="A1263" i="13"/>
  <c r="E1254" i="13"/>
  <c r="L1251" i="13"/>
  <c r="E1249" i="13"/>
  <c r="I1246" i="13"/>
  <c r="A1244" i="13"/>
  <c r="E1241" i="13"/>
  <c r="I1238" i="13"/>
  <c r="A1236" i="13"/>
  <c r="E1233" i="13"/>
  <c r="I1230" i="13"/>
  <c r="A1228" i="13"/>
  <c r="F1225" i="13"/>
  <c r="M1222" i="13"/>
  <c r="G1220" i="13"/>
  <c r="A1218" i="13"/>
  <c r="H1215" i="13"/>
  <c r="B1213" i="13"/>
  <c r="I1210" i="13"/>
  <c r="C1208" i="13"/>
  <c r="J1205" i="13"/>
  <c r="D1203" i="13"/>
  <c r="K1200" i="13"/>
  <c r="E1198" i="13"/>
  <c r="L1195" i="13"/>
  <c r="F1193" i="13"/>
  <c r="M1190" i="13"/>
  <c r="G1188" i="13"/>
  <c r="A1186" i="13"/>
  <c r="H1183" i="13"/>
  <c r="B1181" i="13"/>
  <c r="I1178" i="13"/>
  <c r="C1176" i="13"/>
  <c r="J1173" i="13"/>
  <c r="D1171" i="13"/>
  <c r="K1168" i="13"/>
  <c r="E1166" i="13"/>
  <c r="L1163" i="13"/>
  <c r="D1162" i="13"/>
  <c r="H1160" i="13"/>
  <c r="M1158" i="13"/>
  <c r="E1157" i="13"/>
  <c r="I1155" i="13"/>
  <c r="A1154" i="13"/>
  <c r="D1152" i="13"/>
  <c r="F1150" i="13"/>
  <c r="I1148" i="13"/>
  <c r="M1146" i="13"/>
  <c r="B1145" i="13"/>
  <c r="E1143" i="13"/>
  <c r="H1141" i="13"/>
  <c r="J1139" i="13"/>
  <c r="A1138" i="13"/>
  <c r="D1136" i="13"/>
  <c r="F1134" i="13"/>
  <c r="L1132" i="13"/>
  <c r="G1131" i="13"/>
  <c r="C1130" i="13"/>
  <c r="L1128" i="13"/>
  <c r="G1127" i="13"/>
  <c r="C1126" i="13"/>
  <c r="L1124" i="13"/>
  <c r="G1123" i="13"/>
  <c r="C1122" i="13"/>
  <c r="L1120" i="13"/>
  <c r="G1119" i="13"/>
  <c r="C1118" i="13"/>
  <c r="L1116" i="13"/>
  <c r="G1115" i="13"/>
  <c r="C1114" i="13"/>
  <c r="L1112" i="13"/>
  <c r="G1111" i="13"/>
  <c r="C1110" i="13"/>
  <c r="L1108" i="13"/>
  <c r="G1107" i="13"/>
  <c r="C1106" i="13"/>
  <c r="M1104" i="13"/>
  <c r="J1103" i="13"/>
  <c r="G1102" i="13"/>
  <c r="D1101" i="13"/>
  <c r="A1100" i="13"/>
  <c r="K1098" i="13"/>
  <c r="H1097" i="13"/>
  <c r="E1096" i="13"/>
  <c r="B1095" i="13"/>
  <c r="L1093" i="13"/>
  <c r="I1092" i="13"/>
  <c r="F1091" i="13"/>
  <c r="C1090" i="13"/>
  <c r="M1088" i="13"/>
  <c r="J1087" i="13"/>
  <c r="G1086" i="13"/>
  <c r="D1085" i="13"/>
  <c r="A1084" i="13"/>
  <c r="K1082" i="13"/>
  <c r="H1081" i="13"/>
  <c r="E1080" i="13"/>
  <c r="B1079" i="13"/>
  <c r="L1077" i="13"/>
  <c r="I1076" i="13"/>
  <c r="F1075" i="13"/>
  <c r="C1074" i="13"/>
  <c r="M1072" i="13"/>
  <c r="J1071" i="13"/>
  <c r="G1070" i="13"/>
  <c r="D1069" i="13"/>
  <c r="A1068" i="13"/>
  <c r="K1066" i="13"/>
  <c r="H1065" i="13"/>
  <c r="E1064" i="13"/>
  <c r="B1063" i="13"/>
  <c r="L1061" i="13"/>
  <c r="I1060" i="13"/>
  <c r="F1059" i="13"/>
  <c r="C1058" i="13"/>
  <c r="M1056" i="13"/>
  <c r="J1055" i="13"/>
  <c r="G1054" i="13"/>
  <c r="D1053" i="13"/>
  <c r="A1052" i="13"/>
  <c r="K1050" i="13"/>
  <c r="H1049" i="13"/>
  <c r="E1048" i="13"/>
  <c r="B1047" i="13"/>
  <c r="L1045" i="13"/>
  <c r="I1044" i="13"/>
  <c r="F1043" i="13"/>
  <c r="C1042" i="13"/>
  <c r="M1040" i="13"/>
  <c r="J1039" i="13"/>
  <c r="G1038" i="13"/>
  <c r="D1037" i="13"/>
  <c r="A1036" i="13"/>
  <c r="K1034" i="13"/>
  <c r="H1033" i="13"/>
  <c r="E1032" i="13"/>
  <c r="B1031" i="13"/>
  <c r="L1029" i="13"/>
  <c r="I1028" i="13"/>
  <c r="F1027" i="13"/>
  <c r="C1026" i="13"/>
  <c r="M1024" i="13"/>
  <c r="J1023" i="13"/>
  <c r="G1022" i="13"/>
  <c r="D1021" i="13"/>
  <c r="A1020" i="13"/>
  <c r="K1018" i="13"/>
  <c r="H1017" i="13"/>
  <c r="E1016" i="13"/>
  <c r="B1015" i="13"/>
  <c r="L1013" i="13"/>
  <c r="I1012" i="13"/>
  <c r="F1011" i="13"/>
  <c r="C1010" i="13"/>
  <c r="M1008" i="13"/>
  <c r="J1007" i="13"/>
  <c r="G1006" i="13"/>
  <c r="D1005" i="13"/>
  <c r="A1004" i="13"/>
  <c r="K1002" i="13"/>
  <c r="F1419" i="13"/>
  <c r="H1388" i="13"/>
  <c r="E1362" i="13"/>
  <c r="F1345" i="13"/>
  <c r="B1333" i="13"/>
  <c r="F1322" i="13"/>
  <c r="H1312" i="13"/>
  <c r="J1302" i="13"/>
  <c r="L1292" i="13"/>
  <c r="A1283" i="13"/>
  <c r="H1272" i="13"/>
  <c r="J1262" i="13"/>
  <c r="D1254" i="13"/>
  <c r="K1251" i="13"/>
  <c r="D1249" i="13"/>
  <c r="H1246" i="13"/>
  <c r="M1243" i="13"/>
  <c r="D1241" i="13"/>
  <c r="H1238" i="13"/>
  <c r="M1235" i="13"/>
  <c r="D1233" i="13"/>
  <c r="H1230" i="13"/>
  <c r="M1227" i="13"/>
  <c r="E1225" i="13"/>
  <c r="L1222" i="13"/>
  <c r="F1220" i="13"/>
  <c r="M1217" i="13"/>
  <c r="G1215" i="13"/>
  <c r="A1213" i="13"/>
  <c r="H1210" i="13"/>
  <c r="B1208" i="13"/>
  <c r="I1205" i="13"/>
  <c r="C1203" i="13"/>
  <c r="J1200" i="13"/>
  <c r="D1198" i="13"/>
  <c r="K1195" i="13"/>
  <c r="E1193" i="13"/>
  <c r="L1190" i="13"/>
  <c r="D1190" i="13"/>
  <c r="K1187" i="13"/>
  <c r="E1185" i="13"/>
  <c r="L1182" i="13"/>
  <c r="F1180" i="13"/>
  <c r="M1177" i="13"/>
  <c r="C1492" i="13"/>
  <c r="A1407" i="13"/>
  <c r="E1380" i="13"/>
  <c r="B1354" i="13"/>
  <c r="G1340" i="13"/>
  <c r="F1329" i="13"/>
  <c r="A1319" i="13"/>
  <c r="C1309" i="13"/>
  <c r="E1299" i="13"/>
  <c r="G1289" i="13"/>
  <c r="F1279" i="13"/>
  <c r="C1269" i="13"/>
  <c r="E1259" i="13"/>
  <c r="F1253" i="13"/>
  <c r="M1250" i="13"/>
  <c r="E1248" i="13"/>
  <c r="I1245" i="13"/>
  <c r="A1243" i="13"/>
  <c r="E1240" i="13"/>
  <c r="I1237" i="13"/>
  <c r="A1235" i="13"/>
  <c r="E1232" i="13"/>
  <c r="I1229" i="13"/>
  <c r="A1227" i="13"/>
  <c r="G1224" i="13"/>
  <c r="A1222" i="13"/>
  <c r="H1219" i="13"/>
  <c r="B1217" i="13"/>
  <c r="I1214" i="13"/>
  <c r="C1212" i="13"/>
  <c r="J1209" i="13"/>
  <c r="D1207" i="13"/>
  <c r="M1202" i="13"/>
  <c r="B1193" i="13"/>
  <c r="D1183" i="13"/>
  <c r="I1174" i="13"/>
  <c r="J1169" i="13"/>
  <c r="K1164" i="13"/>
  <c r="C1161" i="13"/>
  <c r="M1157" i="13"/>
  <c r="I1154" i="13"/>
  <c r="B1151" i="13"/>
  <c r="H1147" i="13"/>
  <c r="A1144" i="13"/>
  <c r="F1140" i="13"/>
  <c r="M1136" i="13"/>
  <c r="E1133" i="13"/>
  <c r="I1130" i="13"/>
  <c r="A1128" i="13"/>
  <c r="E1125" i="13"/>
  <c r="I1122" i="13"/>
  <c r="A1120" i="13"/>
  <c r="E1117" i="13"/>
  <c r="I1114" i="13"/>
  <c r="A1112" i="13"/>
  <c r="E1109" i="13"/>
  <c r="I1106" i="13"/>
  <c r="C1104" i="13"/>
  <c r="J1101" i="13"/>
  <c r="D1099" i="13"/>
  <c r="K1096" i="13"/>
  <c r="E1094" i="13"/>
  <c r="L1091" i="13"/>
  <c r="F1089" i="13"/>
  <c r="M1086" i="13"/>
  <c r="G1084" i="13"/>
  <c r="A1082" i="13"/>
  <c r="H1079" i="13"/>
  <c r="B1077" i="13"/>
  <c r="I1074" i="13"/>
  <c r="C1072" i="13"/>
  <c r="J1069" i="13"/>
  <c r="D1067" i="13"/>
  <c r="K1064" i="13"/>
  <c r="E1062" i="13"/>
  <c r="L1059" i="13"/>
  <c r="F1057" i="13"/>
  <c r="M1054" i="13"/>
  <c r="G1052" i="13"/>
  <c r="A1050" i="13"/>
  <c r="H1047" i="13"/>
  <c r="B1045" i="13"/>
  <c r="I1042" i="13"/>
  <c r="C1040" i="13"/>
  <c r="J1037" i="13"/>
  <c r="D1035" i="13"/>
  <c r="K1032" i="13"/>
  <c r="E1030" i="13"/>
  <c r="L1027" i="13"/>
  <c r="F1025" i="13"/>
  <c r="M1022" i="13"/>
  <c r="G1020" i="13"/>
  <c r="A1018" i="13"/>
  <c r="H1015" i="13"/>
  <c r="B1013" i="13"/>
  <c r="I1010" i="13"/>
  <c r="C1008" i="13"/>
  <c r="J1005" i="13"/>
  <c r="D1003" i="13"/>
  <c r="F1001" i="13"/>
  <c r="L999" i="13"/>
  <c r="I998" i="13"/>
  <c r="F997" i="13"/>
  <c r="C996" i="13"/>
  <c r="M994" i="13"/>
  <c r="J993" i="13"/>
  <c r="G992" i="13"/>
  <c r="D991" i="13"/>
  <c r="A990" i="13"/>
  <c r="K988" i="13"/>
  <c r="H987" i="13"/>
  <c r="E986" i="13"/>
  <c r="B985" i="13"/>
  <c r="L983" i="13"/>
  <c r="I982" i="13"/>
  <c r="F981" i="13"/>
  <c r="C980" i="13"/>
  <c r="M978" i="13"/>
  <c r="J977" i="13"/>
  <c r="G976" i="13"/>
  <c r="D975" i="13"/>
  <c r="A974" i="13"/>
  <c r="K972" i="13"/>
  <c r="H971" i="13"/>
  <c r="E970" i="13"/>
  <c r="B969" i="13"/>
  <c r="L967" i="13"/>
  <c r="I966" i="13"/>
  <c r="F965" i="13"/>
  <c r="C964" i="13"/>
  <c r="M962" i="13"/>
  <c r="I961" i="13"/>
  <c r="E960" i="13"/>
  <c r="A959" i="13"/>
  <c r="I957" i="13"/>
  <c r="E956" i="13"/>
  <c r="A955" i="13"/>
  <c r="I953" i="13"/>
  <c r="E952" i="13"/>
  <c r="A951" i="13"/>
  <c r="I949" i="13"/>
  <c r="E948" i="13"/>
  <c r="A947" i="13"/>
  <c r="I945" i="13"/>
  <c r="E944" i="13"/>
  <c r="A943" i="13"/>
  <c r="I941" i="13"/>
  <c r="E940" i="13"/>
  <c r="A939" i="13"/>
  <c r="J937" i="13"/>
  <c r="G936" i="13"/>
  <c r="D935" i="13"/>
  <c r="A934" i="13"/>
  <c r="K932" i="13"/>
  <c r="H931" i="13"/>
  <c r="E930" i="13"/>
  <c r="B929" i="13"/>
  <c r="L927" i="13"/>
  <c r="I926" i="13"/>
  <c r="F925" i="13"/>
  <c r="C924" i="13"/>
  <c r="M922" i="13"/>
  <c r="J921" i="13"/>
  <c r="G920" i="13"/>
  <c r="D919" i="13"/>
  <c r="A918" i="13"/>
  <c r="K916" i="13"/>
  <c r="H915" i="13"/>
  <c r="E914" i="13"/>
  <c r="B913" i="13"/>
  <c r="L911" i="13"/>
  <c r="I910" i="13"/>
  <c r="F909" i="13"/>
  <c r="C908" i="13"/>
  <c r="M906" i="13"/>
  <c r="J905" i="13"/>
  <c r="G904" i="13"/>
  <c r="D903" i="13"/>
  <c r="A902" i="13"/>
  <c r="K900" i="13"/>
  <c r="H899" i="13"/>
  <c r="E898" i="13"/>
  <c r="B897" i="13"/>
  <c r="L895" i="13"/>
  <c r="I894" i="13"/>
  <c r="F893" i="13"/>
  <c r="C892" i="13"/>
  <c r="M890" i="13"/>
  <c r="J889" i="13"/>
  <c r="G888" i="13"/>
  <c r="D887" i="13"/>
  <c r="A886" i="13"/>
  <c r="K884" i="13"/>
  <c r="H883" i="13"/>
  <c r="E882" i="13"/>
  <c r="B881" i="13"/>
  <c r="L879" i="13"/>
  <c r="I878" i="13"/>
  <c r="F877" i="13"/>
  <c r="C876" i="13"/>
  <c r="M874" i="13"/>
  <c r="J873" i="13"/>
  <c r="G872" i="13"/>
  <c r="D871" i="13"/>
  <c r="A870" i="13"/>
  <c r="K868" i="13"/>
  <c r="H867" i="13"/>
  <c r="E866" i="13"/>
  <c r="A865" i="13"/>
  <c r="I863" i="13"/>
  <c r="E862" i="13"/>
  <c r="A861" i="13"/>
  <c r="I859" i="13"/>
  <c r="E858" i="13"/>
  <c r="A857" i="13"/>
  <c r="I855" i="13"/>
  <c r="E854" i="13"/>
  <c r="A853" i="13"/>
  <c r="I851" i="13"/>
  <c r="E850" i="13"/>
  <c r="A849" i="13"/>
  <c r="I847" i="13"/>
  <c r="E1202" i="13"/>
  <c r="G1192" i="13"/>
  <c r="I1182" i="13"/>
  <c r="D1174" i="13"/>
  <c r="E1169" i="13"/>
  <c r="F1164" i="13"/>
  <c r="L1160" i="13"/>
  <c r="I1157" i="13"/>
  <c r="E1154" i="13"/>
  <c r="J1150" i="13"/>
  <c r="D1147" i="13"/>
  <c r="I1143" i="13"/>
  <c r="B1140" i="13"/>
  <c r="H1136" i="13"/>
  <c r="B1133" i="13"/>
  <c r="F1130" i="13"/>
  <c r="J1127" i="13"/>
  <c r="B1125" i="13"/>
  <c r="F1122" i="13"/>
  <c r="J1119" i="13"/>
  <c r="B1117" i="13"/>
  <c r="F1114" i="13"/>
  <c r="J1111" i="13"/>
  <c r="B1109" i="13"/>
  <c r="F1106" i="13"/>
  <c r="M1103" i="13"/>
  <c r="G1101" i="13"/>
  <c r="A1099" i="13"/>
  <c r="H1096" i="13"/>
  <c r="B1094" i="13"/>
  <c r="I1091" i="13"/>
  <c r="C1089" i="13"/>
  <c r="J1086" i="13"/>
  <c r="D1084" i="13"/>
  <c r="K1081" i="13"/>
  <c r="E1079" i="13"/>
  <c r="L1076" i="13"/>
  <c r="F1074" i="13"/>
  <c r="M1071" i="13"/>
  <c r="G1069" i="13"/>
  <c r="A1067" i="13"/>
  <c r="H1064" i="13"/>
  <c r="B1062" i="13"/>
  <c r="I1059" i="13"/>
  <c r="C1057" i="13"/>
  <c r="J1054" i="13"/>
  <c r="D1052" i="13"/>
  <c r="K1049" i="13"/>
  <c r="E1047" i="13"/>
  <c r="L1044" i="13"/>
  <c r="F1042" i="13"/>
  <c r="M1039" i="13"/>
  <c r="G1037" i="13"/>
  <c r="A1035" i="13"/>
  <c r="H1032" i="13"/>
  <c r="B1030" i="13"/>
  <c r="I1027" i="13"/>
  <c r="C1025" i="13"/>
  <c r="J1022" i="13"/>
  <c r="D1020" i="13"/>
  <c r="K1017" i="13"/>
  <c r="E1015" i="13"/>
  <c r="L1012" i="13"/>
  <c r="F1010" i="13"/>
  <c r="M1007" i="13"/>
  <c r="G1005" i="13"/>
  <c r="A1003" i="13"/>
  <c r="D1001" i="13"/>
  <c r="K999" i="13"/>
  <c r="H998" i="13"/>
  <c r="E997" i="13"/>
  <c r="B996" i="13"/>
  <c r="L994" i="13"/>
  <c r="I993" i="13"/>
  <c r="F992" i="13"/>
  <c r="C991" i="13"/>
  <c r="M989" i="13"/>
  <c r="J988" i="13"/>
  <c r="G987" i="13"/>
  <c r="D986" i="13"/>
  <c r="A985" i="13"/>
  <c r="K983" i="13"/>
  <c r="H982" i="13"/>
  <c r="E981" i="13"/>
  <c r="B980" i="13"/>
  <c r="L978" i="13"/>
  <c r="I977" i="13"/>
  <c r="F976" i="13"/>
  <c r="C975" i="13"/>
  <c r="M973" i="13"/>
  <c r="J972" i="13"/>
  <c r="G971" i="13"/>
  <c r="D970" i="13"/>
  <c r="A969" i="13"/>
  <c r="K967" i="13"/>
  <c r="H966" i="13"/>
  <c r="E965" i="13"/>
  <c r="B964" i="13"/>
  <c r="L962" i="13"/>
  <c r="H961" i="13"/>
  <c r="D960" i="13"/>
  <c r="M958" i="13"/>
  <c r="H957" i="13"/>
  <c r="D956" i="13"/>
  <c r="M954" i="13"/>
  <c r="H953" i="13"/>
  <c r="D952" i="13"/>
  <c r="M950" i="13"/>
  <c r="H949" i="13"/>
  <c r="D948" i="13"/>
  <c r="M946" i="13"/>
  <c r="H945" i="13"/>
  <c r="D944" i="13"/>
  <c r="M942" i="13"/>
  <c r="H941" i="13"/>
  <c r="D940" i="13"/>
  <c r="M938" i="13"/>
  <c r="I937" i="13"/>
  <c r="F936" i="13"/>
  <c r="C935" i="13"/>
  <c r="M933" i="13"/>
  <c r="J932" i="13"/>
  <c r="G931" i="13"/>
  <c r="D930" i="13"/>
  <c r="A929" i="13"/>
  <c r="K927" i="13"/>
  <c r="H926" i="13"/>
  <c r="E925" i="13"/>
  <c r="B924" i="13"/>
  <c r="L922" i="13"/>
  <c r="I921" i="13"/>
  <c r="F920" i="13"/>
  <c r="C919" i="13"/>
  <c r="M917" i="13"/>
  <c r="J916" i="13"/>
  <c r="G915" i="13"/>
  <c r="D914" i="13"/>
  <c r="A913" i="13"/>
  <c r="K911" i="13"/>
  <c r="H910" i="13"/>
  <c r="E909" i="13"/>
  <c r="B908" i="13"/>
  <c r="L906" i="13"/>
  <c r="I905" i="13"/>
  <c r="F904" i="13"/>
  <c r="C903" i="13"/>
  <c r="M901" i="13"/>
  <c r="J900" i="13"/>
  <c r="G899" i="13"/>
  <c r="D898" i="13"/>
  <c r="A897" i="13"/>
  <c r="K895" i="13"/>
  <c r="H894" i="13"/>
  <c r="E893" i="13"/>
  <c r="B892" i="13"/>
  <c r="L890" i="13"/>
  <c r="I889" i="13"/>
  <c r="F888" i="13"/>
  <c r="C887" i="13"/>
  <c r="M885" i="13"/>
  <c r="J884" i="13"/>
  <c r="G883" i="13"/>
  <c r="D882" i="13"/>
  <c r="A881" i="13"/>
  <c r="K879" i="13"/>
  <c r="H878" i="13"/>
  <c r="E877" i="13"/>
  <c r="B876" i="13"/>
  <c r="L874" i="13"/>
  <c r="I873" i="13"/>
  <c r="F872" i="13"/>
  <c r="C871" i="13"/>
  <c r="M869" i="13"/>
  <c r="J868" i="13"/>
  <c r="G867" i="13"/>
  <c r="D866" i="13"/>
  <c r="M864" i="13"/>
  <c r="H863" i="13"/>
  <c r="D862" i="13"/>
  <c r="M860" i="13"/>
  <c r="H859" i="13"/>
  <c r="D858" i="13"/>
  <c r="M856" i="13"/>
  <c r="H855" i="13"/>
  <c r="D854" i="13"/>
  <c r="M852" i="13"/>
  <c r="H851" i="13"/>
  <c r="D850" i="13"/>
  <c r="M848" i="13"/>
  <c r="H847" i="13"/>
  <c r="D846" i="13"/>
  <c r="M844" i="13"/>
  <c r="H843" i="13"/>
  <c r="D842" i="13"/>
  <c r="A841" i="13"/>
  <c r="K839" i="13"/>
  <c r="H838" i="13"/>
  <c r="E837" i="13"/>
  <c r="B836" i="13"/>
  <c r="L834" i="13"/>
  <c r="I833" i="13"/>
  <c r="F832" i="13"/>
  <c r="C831" i="13"/>
  <c r="M829" i="13"/>
  <c r="J828" i="13"/>
  <c r="G827" i="13"/>
  <c r="D826" i="13"/>
  <c r="A825" i="13"/>
  <c r="K823" i="13"/>
  <c r="H822" i="13"/>
  <c r="E821" i="13"/>
  <c r="B820" i="13"/>
  <c r="L818" i="13"/>
  <c r="I817" i="13"/>
  <c r="F816" i="13"/>
  <c r="C815" i="13"/>
  <c r="M813" i="13"/>
  <c r="J812" i="13"/>
  <c r="G811" i="13"/>
  <c r="D810" i="13"/>
  <c r="A809" i="13"/>
  <c r="K807" i="13"/>
  <c r="H806" i="13"/>
  <c r="E805" i="13"/>
  <c r="B804" i="13"/>
  <c r="L802" i="13"/>
  <c r="I801" i="13"/>
  <c r="F800" i="13"/>
  <c r="C799" i="13"/>
  <c r="M797" i="13"/>
  <c r="J796" i="13"/>
  <c r="G795" i="13"/>
  <c r="D794" i="13"/>
  <c r="A793" i="13"/>
  <c r="K791" i="13"/>
  <c r="H790" i="13"/>
  <c r="E789" i="13"/>
  <c r="B788" i="13"/>
  <c r="L786" i="13"/>
  <c r="I785" i="13"/>
  <c r="F784" i="13"/>
  <c r="C783" i="13"/>
  <c r="M781" i="13"/>
  <c r="J780" i="13"/>
  <c r="G779" i="13"/>
  <c r="D778" i="13"/>
  <c r="A777" i="13"/>
  <c r="K775" i="13"/>
  <c r="H774" i="13"/>
  <c r="E773" i="13"/>
  <c r="B772" i="13"/>
  <c r="L770" i="13"/>
  <c r="H769" i="13"/>
  <c r="D768" i="13"/>
  <c r="M766" i="13"/>
  <c r="H765" i="13"/>
  <c r="D1199" i="13"/>
  <c r="F1189" i="13"/>
  <c r="H1179" i="13"/>
  <c r="K1172" i="13"/>
  <c r="L1167" i="13"/>
  <c r="D1163" i="13"/>
  <c r="M1159" i="13"/>
  <c r="J1156" i="13"/>
  <c r="E1153" i="13"/>
  <c r="J1149" i="13"/>
  <c r="D1146" i="13"/>
  <c r="I1142" i="13"/>
  <c r="B1139" i="13"/>
  <c r="H1135" i="13"/>
  <c r="E1132" i="13"/>
  <c r="I1129" i="13"/>
  <c r="A1127" i="13"/>
  <c r="E1124" i="13"/>
  <c r="I1121" i="13"/>
  <c r="A1119" i="13"/>
  <c r="E1116" i="13"/>
  <c r="I1113" i="13"/>
  <c r="A1111" i="13"/>
  <c r="E1108" i="13"/>
  <c r="J1105" i="13"/>
  <c r="D1103" i="13"/>
  <c r="K1100" i="13"/>
  <c r="I1189" i="13"/>
  <c r="C1187" i="13"/>
  <c r="J1184" i="13"/>
  <c r="D1182" i="13"/>
  <c r="K1179" i="13"/>
  <c r="E1177" i="13"/>
  <c r="G1450" i="13"/>
  <c r="A1400" i="13"/>
  <c r="K1373" i="13"/>
  <c r="K1350" i="13"/>
  <c r="F1337" i="13"/>
  <c r="J1326" i="13"/>
  <c r="H1316" i="13"/>
  <c r="J1306" i="13"/>
  <c r="L1296" i="13"/>
  <c r="A1287" i="13"/>
  <c r="J1276" i="13"/>
  <c r="J1266" i="13"/>
  <c r="L1256" i="13"/>
  <c r="K1252" i="13"/>
  <c r="E1250" i="13"/>
  <c r="I1247" i="13"/>
  <c r="A1245" i="13"/>
  <c r="E1242" i="13"/>
  <c r="I1239" i="13"/>
  <c r="A1237" i="13"/>
  <c r="E1234" i="13"/>
  <c r="I1231" i="13"/>
  <c r="A1229" i="13"/>
  <c r="E1226" i="13"/>
  <c r="L1223" i="13"/>
  <c r="F1221" i="13"/>
  <c r="M1218" i="13"/>
  <c r="G1216" i="13"/>
  <c r="A1214" i="13"/>
  <c r="H1211" i="13"/>
  <c r="B1209" i="13"/>
  <c r="I1206" i="13"/>
  <c r="G1200" i="13"/>
  <c r="I1190" i="13"/>
  <c r="K1180" i="13"/>
  <c r="F1173" i="13"/>
  <c r="G1168" i="13"/>
  <c r="I1163" i="13"/>
  <c r="F1160" i="13"/>
  <c r="B1157" i="13"/>
  <c r="J1153" i="13"/>
  <c r="D1150" i="13"/>
  <c r="I1146" i="13"/>
  <c r="B1143" i="13"/>
  <c r="H1139" i="13"/>
  <c r="A1136" i="13"/>
  <c r="I1132" i="13"/>
  <c r="A1130" i="13"/>
  <c r="E1127" i="13"/>
  <c r="I1124" i="13"/>
  <c r="A1122" i="13"/>
  <c r="E1119" i="13"/>
  <c r="I1116" i="13"/>
  <c r="A1114" i="13"/>
  <c r="E1111" i="13"/>
  <c r="I1108" i="13"/>
  <c r="A1106" i="13"/>
  <c r="H1103" i="13"/>
  <c r="B1101" i="13"/>
  <c r="I1098" i="13"/>
  <c r="C1096" i="13"/>
  <c r="J1093" i="13"/>
  <c r="D1091" i="13"/>
  <c r="K1088" i="13"/>
  <c r="E1086" i="13"/>
  <c r="L1083" i="13"/>
  <c r="F1081" i="13"/>
  <c r="M1078" i="13"/>
  <c r="G1076" i="13"/>
  <c r="A1074" i="13"/>
  <c r="H1071" i="13"/>
  <c r="B1069" i="13"/>
  <c r="I1066" i="13"/>
  <c r="C1064" i="13"/>
  <c r="J1061" i="13"/>
  <c r="D1059" i="13"/>
  <c r="K1056" i="13"/>
  <c r="E1054" i="13"/>
  <c r="L1051" i="13"/>
  <c r="F1049" i="13"/>
  <c r="M1046" i="13"/>
  <c r="G1044" i="13"/>
  <c r="A1042" i="13"/>
  <c r="H1039" i="13"/>
  <c r="B1037" i="13"/>
  <c r="I1034" i="13"/>
  <c r="C1032" i="13"/>
  <c r="J1029" i="13"/>
  <c r="D1027" i="13"/>
  <c r="K1024" i="13"/>
  <c r="E1022" i="13"/>
  <c r="L1019" i="13"/>
  <c r="F1017" i="13"/>
  <c r="M1014" i="13"/>
  <c r="G1012" i="13"/>
  <c r="A1010" i="13"/>
  <c r="H1007" i="13"/>
  <c r="B1005" i="13"/>
  <c r="I1002" i="13"/>
  <c r="M1000" i="13"/>
  <c r="H999" i="13"/>
  <c r="E998" i="13"/>
  <c r="B997" i="13"/>
  <c r="L995" i="13"/>
  <c r="I994" i="13"/>
  <c r="F993" i="13"/>
  <c r="C992" i="13"/>
  <c r="M990" i="13"/>
  <c r="J989" i="13"/>
  <c r="G988" i="13"/>
  <c r="D987" i="13"/>
  <c r="A986" i="13"/>
  <c r="K984" i="13"/>
  <c r="H983" i="13"/>
  <c r="E982" i="13"/>
  <c r="B981" i="13"/>
  <c r="L979" i="13"/>
  <c r="I978" i="13"/>
  <c r="F977" i="13"/>
  <c r="C976" i="13"/>
  <c r="M974" i="13"/>
  <c r="J973" i="13"/>
  <c r="G972" i="13"/>
  <c r="D971" i="13"/>
  <c r="A970" i="13"/>
  <c r="K968" i="13"/>
  <c r="H967" i="13"/>
  <c r="E966" i="13"/>
  <c r="B965" i="13"/>
  <c r="L963" i="13"/>
  <c r="I962" i="13"/>
  <c r="E961" i="13"/>
  <c r="A960" i="13"/>
  <c r="I958" i="13"/>
  <c r="E957" i="13"/>
  <c r="A956" i="13"/>
  <c r="I954" i="13"/>
  <c r="E953" i="13"/>
  <c r="A952" i="13"/>
  <c r="I950" i="13"/>
  <c r="E949" i="13"/>
  <c r="A948" i="13"/>
  <c r="I946" i="13"/>
  <c r="E945" i="13"/>
  <c r="A944" i="13"/>
  <c r="I942" i="13"/>
  <c r="E941" i="13"/>
  <c r="A940" i="13"/>
  <c r="I938" i="13"/>
  <c r="F937" i="13"/>
  <c r="C936" i="13"/>
  <c r="M934" i="13"/>
  <c r="J933" i="13"/>
  <c r="G932" i="13"/>
  <c r="D931" i="13"/>
  <c r="A930" i="13"/>
  <c r="K928" i="13"/>
  <c r="H927" i="13"/>
  <c r="E926" i="13"/>
  <c r="B925" i="13"/>
  <c r="L923" i="13"/>
  <c r="I922" i="13"/>
  <c r="F921" i="13"/>
  <c r="C920" i="13"/>
  <c r="M918" i="13"/>
  <c r="J917" i="13"/>
  <c r="G916" i="13"/>
  <c r="D915" i="13"/>
  <c r="A914" i="13"/>
  <c r="K912" i="13"/>
  <c r="H911" i="13"/>
  <c r="E910" i="13"/>
  <c r="B909" i="13"/>
  <c r="L907" i="13"/>
  <c r="I906" i="13"/>
  <c r="F905" i="13"/>
  <c r="C904" i="13"/>
  <c r="M902" i="13"/>
  <c r="J901" i="13"/>
  <c r="G900" i="13"/>
  <c r="D899" i="13"/>
  <c r="A898" i="13"/>
  <c r="K896" i="13"/>
  <c r="H895" i="13"/>
  <c r="E894" i="13"/>
  <c r="B893" i="13"/>
  <c r="L891" i="13"/>
  <c r="I890" i="13"/>
  <c r="F889" i="13"/>
  <c r="C888" i="13"/>
  <c r="M886" i="13"/>
  <c r="J885" i="13"/>
  <c r="G884" i="13"/>
  <c r="D883" i="13"/>
  <c r="A882" i="13"/>
  <c r="K880" i="13"/>
  <c r="H879" i="13"/>
  <c r="E878" i="13"/>
  <c r="B877" i="13"/>
  <c r="L875" i="13"/>
  <c r="I874" i="13"/>
  <c r="F873" i="13"/>
  <c r="C872" i="13"/>
  <c r="M870" i="13"/>
  <c r="J869" i="13"/>
  <c r="G868" i="13"/>
  <c r="D867" i="13"/>
  <c r="A866" i="13"/>
  <c r="I864" i="13"/>
  <c r="E863" i="13"/>
  <c r="A862" i="13"/>
  <c r="I860" i="13"/>
  <c r="E859" i="13"/>
  <c r="A858" i="13"/>
  <c r="I856" i="13"/>
  <c r="E855" i="13"/>
  <c r="A854" i="13"/>
  <c r="I852" i="13"/>
  <c r="E851" i="13"/>
  <c r="A850" i="13"/>
  <c r="I848" i="13"/>
  <c r="E847" i="13"/>
  <c r="L1199" i="13"/>
  <c r="A1190" i="13"/>
  <c r="C1180" i="13"/>
  <c r="A1173" i="13"/>
  <c r="B1168" i="13"/>
  <c r="E1163" i="13"/>
  <c r="B1160" i="13"/>
  <c r="K1156" i="13"/>
  <c r="F1153" i="13"/>
  <c r="M1149" i="13"/>
  <c r="E1146" i="13"/>
  <c r="J1142" i="13"/>
  <c r="D1139" i="13"/>
  <c r="I1135" i="13"/>
  <c r="F1132" i="13"/>
  <c r="J1129" i="13"/>
  <c r="B1127" i="13"/>
  <c r="F1124" i="13"/>
  <c r="J1121" i="13"/>
  <c r="B1119" i="13"/>
  <c r="F1116" i="13"/>
  <c r="J1113" i="13"/>
  <c r="B1111" i="13"/>
  <c r="F1108" i="13"/>
  <c r="K1105" i="13"/>
  <c r="E1103" i="13"/>
  <c r="L1100" i="13"/>
  <c r="F1098" i="13"/>
  <c r="M1095" i="13"/>
  <c r="G1093" i="13"/>
  <c r="A1091" i="13"/>
  <c r="H1088" i="13"/>
  <c r="B1086" i="13"/>
  <c r="I1083" i="13"/>
  <c r="C1081" i="13"/>
  <c r="J1078" i="13"/>
  <c r="D1076" i="13"/>
  <c r="K1073" i="13"/>
  <c r="E1071" i="13"/>
  <c r="L1068" i="13"/>
  <c r="F1066" i="13"/>
  <c r="M1063" i="13"/>
  <c r="G1061" i="13"/>
  <c r="A1059" i="13"/>
  <c r="H1056" i="13"/>
  <c r="B1054" i="13"/>
  <c r="I1051" i="13"/>
  <c r="C1049" i="13"/>
  <c r="J1046" i="13"/>
  <c r="D1044" i="13"/>
  <c r="K1041" i="13"/>
  <c r="E1039" i="13"/>
  <c r="L1036" i="13"/>
  <c r="F1034" i="13"/>
  <c r="M1031" i="13"/>
  <c r="G1029" i="13"/>
  <c r="A1027" i="13"/>
  <c r="H1024" i="13"/>
  <c r="B1022" i="13"/>
  <c r="I1019" i="13"/>
  <c r="C1017" i="13"/>
  <c r="J1014" i="13"/>
  <c r="D1012" i="13"/>
  <c r="K1009" i="13"/>
  <c r="E1007" i="13"/>
  <c r="L1004" i="13"/>
  <c r="G1002" i="13"/>
  <c r="L1000" i="13"/>
  <c r="G999" i="13"/>
  <c r="D998" i="13"/>
  <c r="A997" i="13"/>
  <c r="K995" i="13"/>
  <c r="H994" i="13"/>
  <c r="E993" i="13"/>
  <c r="B992" i="13"/>
  <c r="L990" i="13"/>
  <c r="I989" i="13"/>
  <c r="F988" i="13"/>
  <c r="C987" i="13"/>
  <c r="M985" i="13"/>
  <c r="J984" i="13"/>
  <c r="G983" i="13"/>
  <c r="D982" i="13"/>
  <c r="A981" i="13"/>
  <c r="K979" i="13"/>
  <c r="H978" i="13"/>
  <c r="E977" i="13"/>
  <c r="B976" i="13"/>
  <c r="L974" i="13"/>
  <c r="I973" i="13"/>
  <c r="F972" i="13"/>
  <c r="C971" i="13"/>
  <c r="M969" i="13"/>
  <c r="J968" i="13"/>
  <c r="G967" i="13"/>
  <c r="D966" i="13"/>
  <c r="A965" i="13"/>
  <c r="K963" i="13"/>
  <c r="H962" i="13"/>
  <c r="D961" i="13"/>
  <c r="M959" i="13"/>
  <c r="H958" i="13"/>
  <c r="D957" i="13"/>
  <c r="M955" i="13"/>
  <c r="H954" i="13"/>
  <c r="D953" i="13"/>
  <c r="M951" i="13"/>
  <c r="H950" i="13"/>
  <c r="D949" i="13"/>
  <c r="M947" i="13"/>
  <c r="H946" i="13"/>
  <c r="D945" i="13"/>
  <c r="M943" i="13"/>
  <c r="H942" i="13"/>
  <c r="D941" i="13"/>
  <c r="M939" i="13"/>
  <c r="H938" i="13"/>
  <c r="E937" i="13"/>
  <c r="B936" i="13"/>
  <c r="L934" i="13"/>
  <c r="I933" i="13"/>
  <c r="F932" i="13"/>
  <c r="C931" i="13"/>
  <c r="M929" i="13"/>
  <c r="J928" i="13"/>
  <c r="G927" i="13"/>
  <c r="D926" i="13"/>
  <c r="A925" i="13"/>
  <c r="K923" i="13"/>
  <c r="H922" i="13"/>
  <c r="E921" i="13"/>
  <c r="B920" i="13"/>
  <c r="L918" i="13"/>
  <c r="I917" i="13"/>
  <c r="F916" i="13"/>
  <c r="C915" i="13"/>
  <c r="M913" i="13"/>
  <c r="J912" i="13"/>
  <c r="G911" i="13"/>
  <c r="D910" i="13"/>
  <c r="A909" i="13"/>
  <c r="K907" i="13"/>
  <c r="H906" i="13"/>
  <c r="E905" i="13"/>
  <c r="B904" i="13"/>
  <c r="L902" i="13"/>
  <c r="I901" i="13"/>
  <c r="F900" i="13"/>
  <c r="C899" i="13"/>
  <c r="M897" i="13"/>
  <c r="J896" i="13"/>
  <c r="G895" i="13"/>
  <c r="D894" i="13"/>
  <c r="A893" i="13"/>
  <c r="K891" i="13"/>
  <c r="H890" i="13"/>
  <c r="E889" i="13"/>
  <c r="B888" i="13"/>
  <c r="L886" i="13"/>
  <c r="I885" i="13"/>
  <c r="F884" i="13"/>
  <c r="C883" i="13"/>
  <c r="M881" i="13"/>
  <c r="J880" i="13"/>
  <c r="G879" i="13"/>
  <c r="D878" i="13"/>
  <c r="A877" i="13"/>
  <c r="K875" i="13"/>
  <c r="H874" i="13"/>
  <c r="E873" i="13"/>
  <c r="B872" i="13"/>
  <c r="L870" i="13"/>
  <c r="I869" i="13"/>
  <c r="F868" i="13"/>
  <c r="C867" i="13"/>
  <c r="M865" i="13"/>
  <c r="H864" i="13"/>
  <c r="D863" i="13"/>
  <c r="M861" i="13"/>
  <c r="H860" i="13"/>
  <c r="D859" i="13"/>
  <c r="M857" i="13"/>
  <c r="H856" i="13"/>
  <c r="D855" i="13"/>
  <c r="M853" i="13"/>
  <c r="H852" i="13"/>
  <c r="D851" i="13"/>
  <c r="M849" i="13"/>
  <c r="H848" i="13"/>
  <c r="D847" i="13"/>
  <c r="M845" i="13"/>
  <c r="H844" i="13"/>
  <c r="D843" i="13"/>
  <c r="M841" i="13"/>
  <c r="J840" i="13"/>
  <c r="G839" i="13"/>
  <c r="D838" i="13"/>
  <c r="A837" i="13"/>
  <c r="K835" i="13"/>
  <c r="H834" i="13"/>
  <c r="E833" i="13"/>
  <c r="B832" i="13"/>
  <c r="L830" i="13"/>
  <c r="I829" i="13"/>
  <c r="F828" i="13"/>
  <c r="C827" i="13"/>
  <c r="M825" i="13"/>
  <c r="J824" i="13"/>
  <c r="G823" i="13"/>
  <c r="D822" i="13"/>
  <c r="A821" i="13"/>
  <c r="K819" i="13"/>
  <c r="H818" i="13"/>
  <c r="E817" i="13"/>
  <c r="B816" i="13"/>
  <c r="L814" i="13"/>
  <c r="I813" i="13"/>
  <c r="F812" i="13"/>
  <c r="C811" i="13"/>
  <c r="M809" i="13"/>
  <c r="J808" i="13"/>
  <c r="G807" i="13"/>
  <c r="D806" i="13"/>
  <c r="A805" i="13"/>
  <c r="K803" i="13"/>
  <c r="H802" i="13"/>
  <c r="E801" i="13"/>
  <c r="B800" i="13"/>
  <c r="L798" i="13"/>
  <c r="I797" i="13"/>
  <c r="F796" i="13"/>
  <c r="C795" i="13"/>
  <c r="M793" i="13"/>
  <c r="J792" i="13"/>
  <c r="G791" i="13"/>
  <c r="D790" i="13"/>
  <c r="A789" i="13"/>
  <c r="K787" i="13"/>
  <c r="H786" i="13"/>
  <c r="E785" i="13"/>
  <c r="B784" i="13"/>
  <c r="L782" i="13"/>
  <c r="I781" i="13"/>
  <c r="F780" i="13"/>
  <c r="C779" i="13"/>
  <c r="M777" i="13"/>
  <c r="J776" i="13"/>
  <c r="G775" i="13"/>
  <c r="D774" i="13"/>
  <c r="A773" i="13"/>
  <c r="K771" i="13"/>
  <c r="H770" i="13"/>
  <c r="D769" i="13"/>
  <c r="M767" i="13"/>
  <c r="H766" i="13"/>
  <c r="D765" i="13"/>
  <c r="K1196" i="13"/>
  <c r="M1186" i="13"/>
  <c r="B1177" i="13"/>
  <c r="H1171" i="13"/>
  <c r="I1166" i="13"/>
  <c r="F1162" i="13"/>
  <c r="C1159" i="13"/>
  <c r="L1155" i="13"/>
  <c r="F1152" i="13"/>
  <c r="M1148" i="13"/>
  <c r="E1145" i="13"/>
  <c r="J1141" i="13"/>
  <c r="D1138" i="13"/>
  <c r="I1134" i="13"/>
  <c r="I1131" i="13"/>
  <c r="A1129" i="13"/>
  <c r="E1126" i="13"/>
  <c r="I1123" i="13"/>
  <c r="A1121" i="13"/>
  <c r="E1118" i="13"/>
  <c r="I1115" i="13"/>
  <c r="A1113" i="13"/>
  <c r="E1110" i="13"/>
  <c r="I1107" i="13"/>
  <c r="B1105" i="13"/>
  <c r="I1102" i="13"/>
  <c r="C1100" i="13"/>
  <c r="A1189" i="13"/>
  <c r="H1186" i="13"/>
  <c r="B1184" i="13"/>
  <c r="I1181" i="13"/>
  <c r="C1179" i="13"/>
  <c r="J1176" i="13"/>
  <c r="F1427" i="13"/>
  <c r="G1393" i="13"/>
  <c r="D1367" i="13"/>
  <c r="H1347" i="13"/>
  <c r="J1334" i="13"/>
  <c r="B1324" i="13"/>
  <c r="B1314" i="13"/>
  <c r="D1304" i="13"/>
  <c r="F1294" i="13"/>
  <c r="H1284" i="13"/>
  <c r="B1274" i="13"/>
  <c r="D1264" i="13"/>
  <c r="I1254" i="13"/>
  <c r="C1252" i="13"/>
  <c r="I1249" i="13"/>
  <c r="A1247" i="13"/>
  <c r="E1244" i="13"/>
  <c r="I1241" i="13"/>
  <c r="A1239" i="13"/>
  <c r="E1236" i="13"/>
  <c r="I1233" i="13"/>
  <c r="A1231" i="13"/>
  <c r="E1228" i="13"/>
  <c r="J1225" i="13"/>
  <c r="D1223" i="13"/>
  <c r="K1220" i="13"/>
  <c r="E1218" i="13"/>
  <c r="L1215" i="13"/>
  <c r="F1213" i="13"/>
  <c r="M1210" i="13"/>
  <c r="G1208" i="13"/>
  <c r="A1206" i="13"/>
  <c r="A1198" i="13"/>
  <c r="C1188" i="13"/>
  <c r="E1178" i="13"/>
  <c r="C1172" i="13"/>
  <c r="D1167" i="13"/>
  <c r="L1162" i="13"/>
  <c r="H1159" i="13"/>
  <c r="D1156" i="13"/>
  <c r="M1152" i="13"/>
  <c r="E1149" i="13"/>
  <c r="J1145" i="13"/>
  <c r="D1142" i="13"/>
  <c r="I1138" i="13"/>
  <c r="B1135" i="13"/>
  <c r="A1132" i="13"/>
  <c r="E1129" i="13"/>
  <c r="I1126" i="13"/>
  <c r="A1124" i="13"/>
  <c r="E1121" i="13"/>
  <c r="I1118" i="13"/>
  <c r="A1116" i="13"/>
  <c r="E1113" i="13"/>
  <c r="I1110" i="13"/>
  <c r="A1108" i="13"/>
  <c r="F1105" i="13"/>
  <c r="M1102" i="13"/>
  <c r="G1100" i="13"/>
  <c r="A1098" i="13"/>
  <c r="H1095" i="13"/>
  <c r="B1093" i="13"/>
  <c r="I1090" i="13"/>
  <c r="C1088" i="13"/>
  <c r="J1085" i="13"/>
  <c r="D1083" i="13"/>
  <c r="K1080" i="13"/>
  <c r="E1078" i="13"/>
  <c r="L1075" i="13"/>
  <c r="F1073" i="13"/>
  <c r="M1070" i="13"/>
  <c r="G1068" i="13"/>
  <c r="A1066" i="13"/>
  <c r="H1063" i="13"/>
  <c r="B1061" i="13"/>
  <c r="I1058" i="13"/>
  <c r="C1056" i="13"/>
  <c r="J1053" i="13"/>
  <c r="D1051" i="13"/>
  <c r="K1048" i="13"/>
  <c r="E1046" i="13"/>
  <c r="L1043" i="13"/>
  <c r="F1041" i="13"/>
  <c r="M1038" i="13"/>
  <c r="G1036" i="13"/>
  <c r="A1034" i="13"/>
  <c r="H1031" i="13"/>
  <c r="B1029" i="13"/>
  <c r="I1026" i="13"/>
  <c r="C1024" i="13"/>
  <c r="J1021" i="13"/>
  <c r="D1019" i="13"/>
  <c r="K1016" i="13"/>
  <c r="E1014" i="13"/>
  <c r="L1011" i="13"/>
  <c r="F1009" i="13"/>
  <c r="M1006" i="13"/>
  <c r="G1004" i="13"/>
  <c r="C1002" i="13"/>
  <c r="H1000" i="13"/>
  <c r="D999" i="13"/>
  <c r="A998" i="13"/>
  <c r="K996" i="13"/>
  <c r="H995" i="13"/>
  <c r="E994" i="13"/>
  <c r="B993" i="13"/>
  <c r="L991" i="13"/>
  <c r="I990" i="13"/>
  <c r="F989" i="13"/>
  <c r="C988" i="13"/>
  <c r="M986" i="13"/>
  <c r="J985" i="13"/>
  <c r="G984" i="13"/>
  <c r="D983" i="13"/>
  <c r="A982" i="13"/>
  <c r="K980" i="13"/>
  <c r="H979" i="13"/>
  <c r="E978" i="13"/>
  <c r="B977" i="13"/>
  <c r="L975" i="13"/>
  <c r="I974" i="13"/>
  <c r="F973" i="13"/>
  <c r="C972" i="13"/>
  <c r="M970" i="13"/>
  <c r="J969" i="13"/>
  <c r="G968" i="13"/>
  <c r="D967" i="13"/>
  <c r="A966" i="13"/>
  <c r="K964" i="13"/>
  <c r="H963" i="13"/>
  <c r="E962" i="13"/>
  <c r="A961" i="13"/>
  <c r="I959" i="13"/>
  <c r="E958" i="13"/>
  <c r="A957" i="13"/>
  <c r="I955" i="13"/>
  <c r="E954" i="13"/>
  <c r="A953" i="13"/>
  <c r="I951" i="13"/>
  <c r="E950" i="13"/>
  <c r="A949" i="13"/>
  <c r="I947" i="13"/>
  <c r="E946" i="13"/>
  <c r="A945" i="13"/>
  <c r="I943" i="13"/>
  <c r="E942" i="13"/>
  <c r="A941" i="13"/>
  <c r="I939" i="13"/>
  <c r="E938" i="13"/>
  <c r="B937" i="13"/>
  <c r="L935" i="13"/>
  <c r="I934" i="13"/>
  <c r="F933" i="13"/>
  <c r="C932" i="13"/>
  <c r="M930" i="13"/>
  <c r="J929" i="13"/>
  <c r="G928" i="13"/>
  <c r="D927" i="13"/>
  <c r="A926" i="13"/>
  <c r="K924" i="13"/>
  <c r="H923" i="13"/>
  <c r="E922" i="13"/>
  <c r="B921" i="13"/>
  <c r="L919" i="13"/>
  <c r="I918" i="13"/>
  <c r="F917" i="13"/>
  <c r="C916" i="13"/>
  <c r="M914" i="13"/>
  <c r="J913" i="13"/>
  <c r="G912" i="13"/>
  <c r="D911" i="13"/>
  <c r="A910" i="13"/>
  <c r="K908" i="13"/>
  <c r="H907" i="13"/>
  <c r="E906" i="13"/>
  <c r="B905" i="13"/>
  <c r="L903" i="13"/>
  <c r="I902" i="13"/>
  <c r="F901" i="13"/>
  <c r="C900" i="13"/>
  <c r="M898" i="13"/>
  <c r="J897" i="13"/>
  <c r="G896" i="13"/>
  <c r="D895" i="13"/>
  <c r="A894" i="13"/>
  <c r="K892" i="13"/>
  <c r="H891" i="13"/>
  <c r="E890" i="13"/>
  <c r="B889" i="13"/>
  <c r="L887" i="13"/>
  <c r="I886" i="13"/>
  <c r="F885" i="13"/>
  <c r="C884" i="13"/>
  <c r="M882" i="13"/>
  <c r="J881" i="13"/>
  <c r="G880" i="13"/>
  <c r="D879" i="13"/>
  <c r="A878" i="13"/>
  <c r="K876" i="13"/>
  <c r="H875" i="13"/>
  <c r="E874" i="13"/>
  <c r="B873" i="13"/>
  <c r="L871" i="13"/>
  <c r="I870" i="13"/>
  <c r="F869" i="13"/>
  <c r="C868" i="13"/>
  <c r="M866" i="13"/>
  <c r="I865" i="13"/>
  <c r="E864" i="13"/>
  <c r="A863" i="13"/>
  <c r="I861" i="13"/>
  <c r="E860" i="13"/>
  <c r="A859" i="13"/>
  <c r="I857" i="13"/>
  <c r="E856" i="13"/>
  <c r="A855" i="13"/>
  <c r="I853" i="13"/>
  <c r="E852" i="13"/>
  <c r="A851" i="13"/>
  <c r="I849" i="13"/>
  <c r="E848" i="13"/>
  <c r="A847" i="13"/>
  <c r="F1197" i="13"/>
  <c r="H1187" i="13"/>
  <c r="J1177" i="13"/>
  <c r="K1171" i="13"/>
  <c r="L1166" i="13"/>
  <c r="H1162" i="13"/>
  <c r="D1159" i="13"/>
  <c r="M1155" i="13"/>
  <c r="H1152" i="13"/>
  <c r="A1149" i="13"/>
  <c r="F1145" i="13"/>
  <c r="M1141" i="13"/>
  <c r="E1138" i="13"/>
  <c r="J1134" i="13"/>
  <c r="J1131" i="13"/>
  <c r="B1129" i="13"/>
  <c r="F1126" i="13"/>
  <c r="J1123" i="13"/>
  <c r="B1121" i="13"/>
  <c r="F1118" i="13"/>
  <c r="J1115" i="13"/>
  <c r="B1113" i="13"/>
  <c r="F1110" i="13"/>
  <c r="J1107" i="13"/>
  <c r="C1105" i="13"/>
  <c r="J1102" i="13"/>
  <c r="D1100" i="13"/>
  <c r="K1097" i="13"/>
  <c r="E1095" i="13"/>
  <c r="L1092" i="13"/>
  <c r="F1090" i="13"/>
  <c r="M1087" i="13"/>
  <c r="G1085" i="13"/>
  <c r="A1083" i="13"/>
  <c r="H1080" i="13"/>
  <c r="B1078" i="13"/>
  <c r="I1075" i="13"/>
  <c r="C1073" i="13"/>
  <c r="J1070" i="13"/>
  <c r="D1068" i="13"/>
  <c r="K1065" i="13"/>
  <c r="E1063" i="13"/>
  <c r="L1060" i="13"/>
  <c r="F1058" i="13"/>
  <c r="M1055" i="13"/>
  <c r="G1053" i="13"/>
  <c r="A1051" i="13"/>
  <c r="H1048" i="13"/>
  <c r="B1046" i="13"/>
  <c r="I1043" i="13"/>
  <c r="C1041" i="13"/>
  <c r="J1038" i="13"/>
  <c r="D1036" i="13"/>
  <c r="K1033" i="13"/>
  <c r="E1031" i="13"/>
  <c r="L1028" i="13"/>
  <c r="F1026" i="13"/>
  <c r="M1023" i="13"/>
  <c r="G1021" i="13"/>
  <c r="A1019" i="13"/>
  <c r="H1016" i="13"/>
  <c r="B1014" i="13"/>
  <c r="I1011" i="13"/>
  <c r="C1009" i="13"/>
  <c r="J1006" i="13"/>
  <c r="D1004" i="13"/>
  <c r="B1002" i="13"/>
  <c r="G1000" i="13"/>
  <c r="C999" i="13"/>
  <c r="M997" i="13"/>
  <c r="J996" i="13"/>
  <c r="G995" i="13"/>
  <c r="D994" i="13"/>
  <c r="A993" i="13"/>
  <c r="K991" i="13"/>
  <c r="H990" i="13"/>
  <c r="E989" i="13"/>
  <c r="B988" i="13"/>
  <c r="L986" i="13"/>
  <c r="I985" i="13"/>
  <c r="F984" i="13"/>
  <c r="C983" i="13"/>
  <c r="M981" i="13"/>
  <c r="J980" i="13"/>
  <c r="G979" i="13"/>
  <c r="D978" i="13"/>
  <c r="A977" i="13"/>
  <c r="K975" i="13"/>
  <c r="H974" i="13"/>
  <c r="E973" i="13"/>
  <c r="B972" i="13"/>
  <c r="L970" i="13"/>
  <c r="I969" i="13"/>
  <c r="F968" i="13"/>
  <c r="C967" i="13"/>
  <c r="M965" i="13"/>
  <c r="J964" i="13"/>
  <c r="G963" i="13"/>
  <c r="D962" i="13"/>
  <c r="M960" i="13"/>
  <c r="H959" i="13"/>
  <c r="D958" i="13"/>
  <c r="M956" i="13"/>
  <c r="H955" i="13"/>
  <c r="D954" i="13"/>
  <c r="M952" i="13"/>
  <c r="H951" i="13"/>
  <c r="D950" i="13"/>
  <c r="M948" i="13"/>
  <c r="H947" i="13"/>
  <c r="D946" i="13"/>
  <c r="M944" i="13"/>
  <c r="H943" i="13"/>
  <c r="D942" i="13"/>
  <c r="M940" i="13"/>
  <c r="H939" i="13"/>
  <c r="D938" i="13"/>
  <c r="A937" i="13"/>
  <c r="K935" i="13"/>
  <c r="H934" i="13"/>
  <c r="E933" i="13"/>
  <c r="B932" i="13"/>
  <c r="L930" i="13"/>
  <c r="I929" i="13"/>
  <c r="F928" i="13"/>
  <c r="C927" i="13"/>
  <c r="M925" i="13"/>
  <c r="J924" i="13"/>
  <c r="G923" i="13"/>
  <c r="D922" i="13"/>
  <c r="A921" i="13"/>
  <c r="K919" i="13"/>
  <c r="H918" i="13"/>
  <c r="E917" i="13"/>
  <c r="B916" i="13"/>
  <c r="L914" i="13"/>
  <c r="I913" i="13"/>
  <c r="F912" i="13"/>
  <c r="C911" i="13"/>
  <c r="M909" i="13"/>
  <c r="J908" i="13"/>
  <c r="G907" i="13"/>
  <c r="D906" i="13"/>
  <c r="A905" i="13"/>
  <c r="K903" i="13"/>
  <c r="H902" i="13"/>
  <c r="E901" i="13"/>
  <c r="B900" i="13"/>
  <c r="L898" i="13"/>
  <c r="I897" i="13"/>
  <c r="F896" i="13"/>
  <c r="C895" i="13"/>
  <c r="M893" i="13"/>
  <c r="J892" i="13"/>
  <c r="G891" i="13"/>
  <c r="D890" i="13"/>
  <c r="A889" i="13"/>
  <c r="K887" i="13"/>
  <c r="H886" i="13"/>
  <c r="E885" i="13"/>
  <c r="B884" i="13"/>
  <c r="L882" i="13"/>
  <c r="I881" i="13"/>
  <c r="F880" i="13"/>
  <c r="C879" i="13"/>
  <c r="M877" i="13"/>
  <c r="J876" i="13"/>
  <c r="G875" i="13"/>
  <c r="D874" i="13"/>
  <c r="A873" i="13"/>
  <c r="K871" i="13"/>
  <c r="H870" i="13"/>
  <c r="E869" i="13"/>
  <c r="B868" i="13"/>
  <c r="L866" i="13"/>
  <c r="H865" i="13"/>
  <c r="D864" i="13"/>
  <c r="M862" i="13"/>
  <c r="H861" i="13"/>
  <c r="D860" i="13"/>
  <c r="M858" i="13"/>
  <c r="H857" i="13"/>
  <c r="D856" i="13"/>
  <c r="M854" i="13"/>
  <c r="H853" i="13"/>
  <c r="D852" i="13"/>
  <c r="M850" i="13"/>
  <c r="H849" i="13"/>
  <c r="D848" i="13"/>
  <c r="M846" i="13"/>
  <c r="H845" i="13"/>
  <c r="D844" i="13"/>
  <c r="M842" i="13"/>
  <c r="I841" i="13"/>
  <c r="F840" i="13"/>
  <c r="C839" i="13"/>
  <c r="M837" i="13"/>
  <c r="J836" i="13"/>
  <c r="G835" i="13"/>
  <c r="D834" i="13"/>
  <c r="A833" i="13"/>
  <c r="K831" i="13"/>
  <c r="H830" i="13"/>
  <c r="E829" i="13"/>
  <c r="B828" i="13"/>
  <c r="L826" i="13"/>
  <c r="I825" i="13"/>
  <c r="F824" i="13"/>
  <c r="C823" i="13"/>
  <c r="M821" i="13"/>
  <c r="J820" i="13"/>
  <c r="G819" i="13"/>
  <c r="D818" i="13"/>
  <c r="A817" i="13"/>
  <c r="K815" i="13"/>
  <c r="H814" i="13"/>
  <c r="E813" i="13"/>
  <c r="B812" i="13"/>
  <c r="L810" i="13"/>
  <c r="I809" i="13"/>
  <c r="F808" i="13"/>
  <c r="C807" i="13"/>
  <c r="M805" i="13"/>
  <c r="J804" i="13"/>
  <c r="G803" i="13"/>
  <c r="D802" i="13"/>
  <c r="A801" i="13"/>
  <c r="K799" i="13"/>
  <c r="H798" i="13"/>
  <c r="E797" i="13"/>
  <c r="B796" i="13"/>
  <c r="L794" i="13"/>
  <c r="I793" i="13"/>
  <c r="F792" i="13"/>
  <c r="C791" i="13"/>
  <c r="M789" i="13"/>
  <c r="J788" i="13"/>
  <c r="G787" i="13"/>
  <c r="D786" i="13"/>
  <c r="A785" i="13"/>
  <c r="K783" i="13"/>
  <c r="H782" i="13"/>
  <c r="E781" i="13"/>
  <c r="B780" i="13"/>
  <c r="L778" i="13"/>
  <c r="I777" i="13"/>
  <c r="F776" i="13"/>
  <c r="C775" i="13"/>
  <c r="M773" i="13"/>
  <c r="J772" i="13"/>
  <c r="G771" i="13"/>
  <c r="D770" i="13"/>
  <c r="M768" i="13"/>
  <c r="H767" i="13"/>
  <c r="D766" i="13"/>
  <c r="C1204" i="13"/>
  <c r="E1194" i="13"/>
  <c r="G1184" i="13"/>
  <c r="D1175" i="13"/>
  <c r="E1170" i="13"/>
  <c r="F1165" i="13"/>
  <c r="I1161" i="13"/>
  <c r="E1158" i="13"/>
  <c r="A1155" i="13"/>
  <c r="H1151" i="13"/>
  <c r="A1148" i="13"/>
  <c r="F1144" i="13"/>
  <c r="M1140" i="13"/>
  <c r="E1137" i="13"/>
  <c r="J1133" i="13"/>
  <c r="A1131" i="13"/>
  <c r="E1128" i="13"/>
  <c r="I1125" i="13"/>
  <c r="A1123" i="13"/>
  <c r="E1120" i="13"/>
  <c r="I1117" i="13"/>
  <c r="A1115" i="13"/>
  <c r="E1112" i="13"/>
  <c r="I1109" i="13"/>
  <c r="A1107" i="13"/>
  <c r="G1104" i="13"/>
  <c r="A1102" i="13"/>
  <c r="H1099" i="13"/>
  <c r="F1188" i="13"/>
  <c r="M1185" i="13"/>
  <c r="G1183" i="13"/>
  <c r="A1181" i="13"/>
  <c r="H1178" i="13"/>
  <c r="B1176" i="13"/>
  <c r="L1416" i="13"/>
  <c r="M1386" i="13"/>
  <c r="I1360" i="13"/>
  <c r="B1344" i="13"/>
  <c r="B1332" i="13"/>
  <c r="G1321" i="13"/>
  <c r="I1311" i="13"/>
  <c r="K1301" i="13"/>
  <c r="M1291" i="13"/>
  <c r="B1282" i="13"/>
  <c r="I1271" i="13"/>
  <c r="K1261" i="13"/>
  <c r="A1254" i="13"/>
  <c r="H1251" i="13"/>
  <c r="A1249" i="13"/>
  <c r="E1246" i="13"/>
  <c r="I1243" i="13"/>
  <c r="A1241" i="13"/>
  <c r="E1238" i="13"/>
  <c r="I1235" i="13"/>
  <c r="A1233" i="13"/>
  <c r="E1230" i="13"/>
  <c r="I1227" i="13"/>
  <c r="B1225" i="13"/>
  <c r="I1222" i="13"/>
  <c r="C1220" i="13"/>
  <c r="J1217" i="13"/>
  <c r="D1215" i="13"/>
  <c r="K1212" i="13"/>
  <c r="E1210" i="13"/>
  <c r="L1207" i="13"/>
  <c r="F1205" i="13"/>
  <c r="H1195" i="13"/>
  <c r="J1185" i="13"/>
  <c r="L1175" i="13"/>
  <c r="M1170" i="13"/>
  <c r="A1166" i="13"/>
  <c r="A1162" i="13"/>
  <c r="J1158" i="13"/>
  <c r="G1155" i="13"/>
  <c r="A1152" i="13"/>
  <c r="F1148" i="13"/>
  <c r="M1144" i="13"/>
  <c r="E1141" i="13"/>
  <c r="J1137" i="13"/>
  <c r="D1134" i="13"/>
  <c r="E1131" i="13"/>
  <c r="I1128" i="13"/>
  <c r="A1126" i="13"/>
  <c r="E1123" i="13"/>
  <c r="I1120" i="13"/>
  <c r="A1118" i="13"/>
  <c r="E1115" i="13"/>
  <c r="I1112" i="13"/>
  <c r="A1110" i="13"/>
  <c r="E1107" i="13"/>
  <c r="K1104" i="13"/>
  <c r="E1102" i="13"/>
  <c r="L1099" i="13"/>
  <c r="F1097" i="13"/>
  <c r="M1094" i="13"/>
  <c r="G1092" i="13"/>
  <c r="A1090" i="13"/>
  <c r="H1087" i="13"/>
  <c r="B1085" i="13"/>
  <c r="I1082" i="13"/>
  <c r="C1080" i="13"/>
  <c r="J1077" i="13"/>
  <c r="D1075" i="13"/>
  <c r="K1072" i="13"/>
  <c r="E1070" i="13"/>
  <c r="L1067" i="13"/>
  <c r="F1065" i="13"/>
  <c r="M1062" i="13"/>
  <c r="G1060" i="13"/>
  <c r="A1058" i="13"/>
  <c r="H1055" i="13"/>
  <c r="B1053" i="13"/>
  <c r="I1050" i="13"/>
  <c r="C1048" i="13"/>
  <c r="J1045" i="13"/>
  <c r="D1043" i="13"/>
  <c r="K1040" i="13"/>
  <c r="E1038" i="13"/>
  <c r="L1035" i="13"/>
  <c r="F1033" i="13"/>
  <c r="M1030" i="13"/>
  <c r="G1028" i="13"/>
  <c r="A1026" i="13"/>
  <c r="H1023" i="13"/>
  <c r="B1021" i="13"/>
  <c r="I1018" i="13"/>
  <c r="C1016" i="13"/>
  <c r="J1013" i="13"/>
  <c r="D1011" i="13"/>
  <c r="K1008" i="13"/>
  <c r="E1006" i="13"/>
  <c r="L1003" i="13"/>
  <c r="K1001" i="13"/>
  <c r="C1000" i="13"/>
  <c r="M998" i="13"/>
  <c r="J997" i="13"/>
  <c r="G996" i="13"/>
  <c r="D995" i="13"/>
  <c r="A994" i="13"/>
  <c r="K992" i="13"/>
  <c r="H991" i="13"/>
  <c r="E990" i="13"/>
  <c r="B989" i="13"/>
  <c r="L987" i="13"/>
  <c r="I986" i="13"/>
  <c r="F985" i="13"/>
  <c r="C984" i="13"/>
  <c r="M982" i="13"/>
  <c r="J981" i="13"/>
  <c r="G980" i="13"/>
  <c r="D979" i="13"/>
  <c r="A978" i="13"/>
  <c r="K976" i="13"/>
  <c r="H975" i="13"/>
  <c r="E974" i="13"/>
  <c r="B973" i="13"/>
  <c r="L971" i="13"/>
  <c r="I970" i="13"/>
  <c r="F969" i="13"/>
  <c r="C968" i="13"/>
  <c r="M966" i="13"/>
  <c r="J965" i="13"/>
  <c r="G964" i="13"/>
  <c r="D963" i="13"/>
  <c r="A962" i="13"/>
  <c r="I960" i="13"/>
  <c r="E959" i="13"/>
  <c r="A958" i="13"/>
  <c r="I956" i="13"/>
  <c r="E955" i="13"/>
  <c r="A954" i="13"/>
  <c r="I952" i="13"/>
  <c r="E951" i="13"/>
  <c r="A950" i="13"/>
  <c r="I948" i="13"/>
  <c r="E947" i="13"/>
  <c r="A946" i="13"/>
  <c r="I944" i="13"/>
  <c r="E943" i="13"/>
  <c r="A942" i="13"/>
  <c r="I940" i="13"/>
  <c r="E939" i="13"/>
  <c r="A938" i="13"/>
  <c r="K936" i="13"/>
  <c r="H935" i="13"/>
  <c r="E934" i="13"/>
  <c r="B933" i="13"/>
  <c r="L931" i="13"/>
  <c r="I930" i="13"/>
  <c r="F929" i="13"/>
  <c r="C928" i="13"/>
  <c r="M926" i="13"/>
  <c r="J925" i="13"/>
  <c r="G924" i="13"/>
  <c r="D923" i="13"/>
  <c r="A922" i="13"/>
  <c r="K920" i="13"/>
  <c r="H919" i="13"/>
  <c r="E918" i="13"/>
  <c r="B917" i="13"/>
  <c r="L915" i="13"/>
  <c r="I914" i="13"/>
  <c r="F913" i="13"/>
  <c r="C912" i="13"/>
  <c r="M910" i="13"/>
  <c r="J909" i="13"/>
  <c r="G908" i="13"/>
  <c r="D907" i="13"/>
  <c r="A906" i="13"/>
  <c r="K904" i="13"/>
  <c r="H903" i="13"/>
  <c r="E902" i="13"/>
  <c r="B901" i="13"/>
  <c r="L899" i="13"/>
  <c r="I898" i="13"/>
  <c r="F897" i="13"/>
  <c r="C896" i="13"/>
  <c r="M894" i="13"/>
  <c r="J893" i="13"/>
  <c r="G892" i="13"/>
  <c r="D891" i="13"/>
  <c r="A890" i="13"/>
  <c r="K888" i="13"/>
  <c r="H887" i="13"/>
  <c r="E886" i="13"/>
  <c r="B885" i="13"/>
  <c r="L883" i="13"/>
  <c r="I882" i="13"/>
  <c r="F881" i="13"/>
  <c r="C880" i="13"/>
  <c r="M878" i="13"/>
  <c r="J877" i="13"/>
  <c r="G876" i="13"/>
  <c r="D875" i="13"/>
  <c r="A874" i="13"/>
  <c r="K872" i="13"/>
  <c r="H871" i="13"/>
  <c r="E870" i="13"/>
  <c r="B869" i="13"/>
  <c r="L867" i="13"/>
  <c r="I866" i="13"/>
  <c r="E865" i="13"/>
  <c r="A864" i="13"/>
  <c r="I862" i="13"/>
  <c r="E861" i="13"/>
  <c r="A860" i="13"/>
  <c r="I858" i="13"/>
  <c r="E857" i="13"/>
  <c r="A856" i="13"/>
  <c r="I854" i="13"/>
  <c r="E853" i="13"/>
  <c r="A852" i="13"/>
  <c r="I850" i="13"/>
  <c r="E849" i="13"/>
  <c r="A848" i="13"/>
  <c r="K1204" i="13"/>
  <c r="M1194" i="13"/>
  <c r="B1185" i="13"/>
  <c r="G1175" i="13"/>
  <c r="H1170" i="13"/>
  <c r="I1165" i="13"/>
  <c r="J1161" i="13"/>
  <c r="F1158" i="13"/>
  <c r="C1155" i="13"/>
  <c r="I1151" i="13"/>
  <c r="B1148" i="13"/>
  <c r="H1144" i="13"/>
  <c r="A1141" i="13"/>
  <c r="F1137" i="13"/>
  <c r="M1133" i="13"/>
  <c r="B1131" i="13"/>
  <c r="F1128" i="13"/>
  <c r="J1125" i="13"/>
  <c r="B1123" i="13"/>
  <c r="F1120" i="13"/>
  <c r="J1117" i="13"/>
  <c r="B1115" i="13"/>
  <c r="F1112" i="13"/>
  <c r="J1109" i="13"/>
  <c r="B1107" i="13"/>
  <c r="H1104" i="13"/>
  <c r="B1102" i="13"/>
  <c r="I1099" i="13"/>
  <c r="C1097" i="13"/>
  <c r="J1094" i="13"/>
  <c r="D1092" i="13"/>
  <c r="K1089" i="13"/>
  <c r="E1087" i="13"/>
  <c r="L1084" i="13"/>
  <c r="F1082" i="13"/>
  <c r="M1079" i="13"/>
  <c r="G1077" i="13"/>
  <c r="A1075" i="13"/>
  <c r="H1072" i="13"/>
  <c r="B1070" i="13"/>
  <c r="I1067" i="13"/>
  <c r="C1065" i="13"/>
  <c r="J1062" i="13"/>
  <c r="D1060" i="13"/>
  <c r="K1057" i="13"/>
  <c r="E1055" i="13"/>
  <c r="L1052" i="13"/>
  <c r="F1050" i="13"/>
  <c r="M1047" i="13"/>
  <c r="G1045" i="13"/>
  <c r="A1043" i="13"/>
  <c r="H1040" i="13"/>
  <c r="B1038" i="13"/>
  <c r="I1035" i="13"/>
  <c r="C1033" i="13"/>
  <c r="J1030" i="13"/>
  <c r="D1028" i="13"/>
  <c r="K1025" i="13"/>
  <c r="E1023" i="13"/>
  <c r="L1020" i="13"/>
  <c r="F1018" i="13"/>
  <c r="M1015" i="13"/>
  <c r="G1013" i="13"/>
  <c r="A1011" i="13"/>
  <c r="H1008" i="13"/>
  <c r="B1006" i="13"/>
  <c r="I1003" i="13"/>
  <c r="J1001" i="13"/>
  <c r="B1000" i="13"/>
  <c r="L998" i="13"/>
  <c r="I997" i="13"/>
  <c r="F996" i="13"/>
  <c r="C995" i="13"/>
  <c r="M993" i="13"/>
  <c r="J992" i="13"/>
  <c r="G991" i="13"/>
  <c r="D990" i="13"/>
  <c r="A989" i="13"/>
  <c r="K987" i="13"/>
  <c r="H986" i="13"/>
  <c r="E985" i="13"/>
  <c r="B984" i="13"/>
  <c r="L982" i="13"/>
  <c r="I981" i="13"/>
  <c r="F980" i="13"/>
  <c r="C979" i="13"/>
  <c r="M977" i="13"/>
  <c r="J976" i="13"/>
  <c r="G975" i="13"/>
  <c r="D974" i="13"/>
  <c r="A973" i="13"/>
  <c r="K971" i="13"/>
  <c r="H970" i="13"/>
  <c r="E969" i="13"/>
  <c r="B968" i="13"/>
  <c r="L966" i="13"/>
  <c r="I965" i="13"/>
  <c r="F964" i="13"/>
  <c r="C963" i="13"/>
  <c r="M961" i="13"/>
  <c r="H960" i="13"/>
  <c r="D959" i="13"/>
  <c r="M957" i="13"/>
  <c r="H956" i="13"/>
  <c r="D955" i="13"/>
  <c r="M953" i="13"/>
  <c r="H952" i="13"/>
  <c r="D951" i="13"/>
  <c r="M949" i="13"/>
  <c r="H948" i="13"/>
  <c r="D947" i="13"/>
  <c r="M945" i="13"/>
  <c r="H944" i="13"/>
  <c r="D943" i="13"/>
  <c r="M941" i="13"/>
  <c r="H940" i="13"/>
  <c r="D939" i="13"/>
  <c r="M937" i="13"/>
  <c r="J936" i="13"/>
  <c r="G935" i="13"/>
  <c r="D934" i="13"/>
  <c r="A933" i="13"/>
  <c r="K931" i="13"/>
  <c r="H930" i="13"/>
  <c r="E929" i="13"/>
  <c r="B928" i="13"/>
  <c r="L926" i="13"/>
  <c r="I925" i="13"/>
  <c r="F924" i="13"/>
  <c r="C923" i="13"/>
  <c r="M921" i="13"/>
  <c r="J920" i="13"/>
  <c r="G919" i="13"/>
  <c r="D918" i="13"/>
  <c r="A917" i="13"/>
  <c r="K915" i="13"/>
  <c r="H914" i="13"/>
  <c r="E913" i="13"/>
  <c r="B912" i="13"/>
  <c r="L910" i="13"/>
  <c r="I909" i="13"/>
  <c r="F908" i="13"/>
  <c r="C907" i="13"/>
  <c r="M905" i="13"/>
  <c r="J904" i="13"/>
  <c r="G903" i="13"/>
  <c r="D902" i="13"/>
  <c r="A901" i="13"/>
  <c r="K899" i="13"/>
  <c r="H898" i="13"/>
  <c r="E897" i="13"/>
  <c r="B896" i="13"/>
  <c r="L894" i="13"/>
  <c r="I893" i="13"/>
  <c r="F892" i="13"/>
  <c r="C891" i="13"/>
  <c r="M889" i="13"/>
  <c r="J888" i="13"/>
  <c r="G887" i="13"/>
  <c r="D886" i="13"/>
  <c r="A885" i="13"/>
  <c r="K883" i="13"/>
  <c r="H882" i="13"/>
  <c r="E881" i="13"/>
  <c r="B880" i="13"/>
  <c r="L878" i="13"/>
  <c r="I877" i="13"/>
  <c r="F876" i="13"/>
  <c r="C875" i="13"/>
  <c r="M873" i="13"/>
  <c r="J872" i="13"/>
  <c r="G871" i="13"/>
  <c r="D870" i="13"/>
  <c r="A869" i="13"/>
  <c r="K867" i="13"/>
  <c r="H866" i="13"/>
  <c r="D865" i="13"/>
  <c r="M863" i="13"/>
  <c r="H862" i="13"/>
  <c r="D861" i="13"/>
  <c r="M859" i="13"/>
  <c r="H858" i="13"/>
  <c r="D857" i="13"/>
  <c r="M855" i="13"/>
  <c r="H854" i="13"/>
  <c r="D853" i="13"/>
  <c r="M851" i="13"/>
  <c r="H850" i="13"/>
  <c r="D849" i="13"/>
  <c r="M847" i="13"/>
  <c r="H846" i="13"/>
  <c r="D845" i="13"/>
  <c r="M843" i="13"/>
  <c r="H842" i="13"/>
  <c r="E841" i="13"/>
  <c r="B840" i="13"/>
  <c r="L838" i="13"/>
  <c r="I837" i="13"/>
  <c r="F836" i="13"/>
  <c r="C835" i="13"/>
  <c r="M833" i="13"/>
  <c r="J832" i="13"/>
  <c r="G831" i="13"/>
  <c r="D830" i="13"/>
  <c r="A829" i="13"/>
  <c r="K827" i="13"/>
  <c r="H826" i="13"/>
  <c r="E825" i="13"/>
  <c r="B824" i="13"/>
  <c r="L822" i="13"/>
  <c r="I821" i="13"/>
  <c r="F820" i="13"/>
  <c r="C819" i="13"/>
  <c r="M817" i="13"/>
  <c r="J816" i="13"/>
  <c r="G815" i="13"/>
  <c r="D814" i="13"/>
  <c r="A813" i="13"/>
  <c r="K811" i="13"/>
  <c r="H810" i="13"/>
  <c r="E809" i="13"/>
  <c r="B808" i="13"/>
  <c r="L806" i="13"/>
  <c r="I805" i="13"/>
  <c r="F804" i="13"/>
  <c r="C803" i="13"/>
  <c r="M801" i="13"/>
  <c r="J800" i="13"/>
  <c r="G799" i="13"/>
  <c r="D798" i="13"/>
  <c r="A797" i="13"/>
  <c r="K795" i="13"/>
  <c r="H794" i="13"/>
  <c r="E793" i="13"/>
  <c r="B792" i="13"/>
  <c r="L790" i="13"/>
  <c r="I789" i="13"/>
  <c r="F788" i="13"/>
  <c r="C787" i="13"/>
  <c r="M785" i="13"/>
  <c r="J784" i="13"/>
  <c r="G783" i="13"/>
  <c r="D782" i="13"/>
  <c r="A781" i="13"/>
  <c r="K779" i="13"/>
  <c r="H778" i="13"/>
  <c r="E777" i="13"/>
  <c r="B776" i="13"/>
  <c r="L774" i="13"/>
  <c r="I773" i="13"/>
  <c r="F772" i="13"/>
  <c r="C771" i="13"/>
  <c r="M769" i="13"/>
  <c r="H768" i="13"/>
  <c r="D767" i="13"/>
  <c r="M765" i="13"/>
  <c r="J1201" i="13"/>
  <c r="L1191" i="13"/>
  <c r="A1182" i="13"/>
  <c r="A1174" i="13"/>
  <c r="B1169" i="13"/>
  <c r="C1164" i="13"/>
  <c r="K1160" i="13"/>
  <c r="G1157" i="13"/>
  <c r="D1154" i="13"/>
  <c r="I1150" i="13"/>
  <c r="B1147" i="13"/>
  <c r="H1143" i="13"/>
  <c r="A1140" i="13"/>
  <c r="F1136" i="13"/>
  <c r="A1133" i="13"/>
  <c r="E1130" i="13"/>
  <c r="I1127" i="13"/>
  <c r="A1125" i="13"/>
  <c r="E1122" i="13"/>
  <c r="I1119" i="13"/>
  <c r="A1117" i="13"/>
  <c r="E1114" i="13"/>
  <c r="I1111" i="13"/>
  <c r="A1109" i="13"/>
  <c r="E1106" i="13"/>
  <c r="L1103" i="13"/>
  <c r="F1101" i="13"/>
  <c r="M1098" i="13"/>
  <c r="E1098" i="13"/>
  <c r="L1095" i="13"/>
  <c r="F1093" i="13"/>
  <c r="M1090" i="13"/>
  <c r="G1088" i="13"/>
  <c r="A1086" i="13"/>
  <c r="H1083" i="13"/>
  <c r="B1081" i="13"/>
  <c r="I1078" i="13"/>
  <c r="C1076" i="13"/>
  <c r="J1073" i="13"/>
  <c r="D1071" i="13"/>
  <c r="K1068" i="13"/>
  <c r="E1066" i="13"/>
  <c r="L1063" i="13"/>
  <c r="F1061" i="13"/>
  <c r="M1058" i="13"/>
  <c r="G1056" i="13"/>
  <c r="A1054" i="13"/>
  <c r="H1051" i="13"/>
  <c r="B1049" i="13"/>
  <c r="I1046" i="13"/>
  <c r="C1044" i="13"/>
  <c r="J1041" i="13"/>
  <c r="D1039" i="13"/>
  <c r="K1036" i="13"/>
  <c r="E1034" i="13"/>
  <c r="L1031" i="13"/>
  <c r="F1029" i="13"/>
  <c r="M1026" i="13"/>
  <c r="G1024" i="13"/>
  <c r="A1022" i="13"/>
  <c r="H1019" i="13"/>
  <c r="B1017" i="13"/>
  <c r="I1014" i="13"/>
  <c r="C1012" i="13"/>
  <c r="J1009" i="13"/>
  <c r="D1007" i="13"/>
  <c r="K1004" i="13"/>
  <c r="F1002" i="13"/>
  <c r="K1000" i="13"/>
  <c r="F999" i="13"/>
  <c r="C998" i="13"/>
  <c r="M996" i="13"/>
  <c r="J995" i="13"/>
  <c r="G994" i="13"/>
  <c r="D993" i="13"/>
  <c r="A992" i="13"/>
  <c r="K990" i="13"/>
  <c r="H989" i="13"/>
  <c r="E988" i="13"/>
  <c r="B987" i="13"/>
  <c r="L985" i="13"/>
  <c r="I984" i="13"/>
  <c r="F983" i="13"/>
  <c r="C982" i="13"/>
  <c r="M980" i="13"/>
  <c r="J979" i="13"/>
  <c r="G978" i="13"/>
  <c r="D977" i="13"/>
  <c r="A976" i="13"/>
  <c r="K974" i="13"/>
  <c r="H973" i="13"/>
  <c r="E972" i="13"/>
  <c r="B971" i="13"/>
  <c r="L969" i="13"/>
  <c r="B1201" i="13"/>
  <c r="D1191" i="13"/>
  <c r="F1181" i="13"/>
  <c r="M1169" i="13"/>
  <c r="J1154" i="13"/>
  <c r="H1140" i="13"/>
  <c r="B1128" i="13"/>
  <c r="F1117" i="13"/>
  <c r="J1106" i="13"/>
  <c r="L1096" i="13"/>
  <c r="A1087" i="13"/>
  <c r="C1077" i="13"/>
  <c r="E1067" i="13"/>
  <c r="G1057" i="13"/>
  <c r="I1047" i="13"/>
  <c r="K1037" i="13"/>
  <c r="M1027" i="13"/>
  <c r="B1018" i="13"/>
  <c r="D1008" i="13"/>
  <c r="M999" i="13"/>
  <c r="A995" i="13"/>
  <c r="B990" i="13"/>
  <c r="C985" i="13"/>
  <c r="D980" i="13"/>
  <c r="E975" i="13"/>
  <c r="F970" i="13"/>
  <c r="E967" i="13"/>
  <c r="L964" i="13"/>
  <c r="F962" i="13"/>
  <c r="J959" i="13"/>
  <c r="B957" i="13"/>
  <c r="F954" i="13"/>
  <c r="J951" i="13"/>
  <c r="B949" i="13"/>
  <c r="F946" i="13"/>
  <c r="J943" i="13"/>
  <c r="B941" i="13"/>
  <c r="F938" i="13"/>
  <c r="M935" i="13"/>
  <c r="G933" i="13"/>
  <c r="A931" i="13"/>
  <c r="H928" i="13"/>
  <c r="B926" i="13"/>
  <c r="I923" i="13"/>
  <c r="C921" i="13"/>
  <c r="J918" i="13"/>
  <c r="D916" i="13"/>
  <c r="K913" i="13"/>
  <c r="E911" i="13"/>
  <c r="L908" i="13"/>
  <c r="F906" i="13"/>
  <c r="M903" i="13"/>
  <c r="G901" i="13"/>
  <c r="A899" i="13"/>
  <c r="H896" i="13"/>
  <c r="B894" i="13"/>
  <c r="I891" i="13"/>
  <c r="C889" i="13"/>
  <c r="J886" i="13"/>
  <c r="D884" i="13"/>
  <c r="K881" i="13"/>
  <c r="E879" i="13"/>
  <c r="L876" i="13"/>
  <c r="F874" i="13"/>
  <c r="M871" i="13"/>
  <c r="G869" i="13"/>
  <c r="A867" i="13"/>
  <c r="F864" i="13"/>
  <c r="J861" i="13"/>
  <c r="B859" i="13"/>
  <c r="F856" i="13"/>
  <c r="J853" i="13"/>
  <c r="B851" i="13"/>
  <c r="F848" i="13"/>
  <c r="B846" i="13"/>
  <c r="E844" i="13"/>
  <c r="G842" i="13"/>
  <c r="L840" i="13"/>
  <c r="D839" i="13"/>
  <c r="H837" i="13"/>
  <c r="M835" i="13"/>
  <c r="E834" i="13"/>
  <c r="I832" i="13"/>
  <c r="A831" i="13"/>
  <c r="F829" i="13"/>
  <c r="J827" i="13"/>
  <c r="B826" i="13"/>
  <c r="G824" i="13"/>
  <c r="K822" i="13"/>
  <c r="C821" i="13"/>
  <c r="H819" i="13"/>
  <c r="L817" i="13"/>
  <c r="D816" i="13"/>
  <c r="I814" i="13"/>
  <c r="M812" i="13"/>
  <c r="E811" i="13"/>
  <c r="J809" i="13"/>
  <c r="A808" i="13"/>
  <c r="F806" i="13"/>
  <c r="K804" i="13"/>
  <c r="B803" i="13"/>
  <c r="G801" i="13"/>
  <c r="L799" i="13"/>
  <c r="C798" i="13"/>
  <c r="H796" i="13"/>
  <c r="M794" i="13"/>
  <c r="D793" i="13"/>
  <c r="I791" i="13"/>
  <c r="A790" i="13"/>
  <c r="E788" i="13"/>
  <c r="J786" i="13"/>
  <c r="B785" i="13"/>
  <c r="F783" i="13"/>
  <c r="K781" i="13"/>
  <c r="C780" i="13"/>
  <c r="G778" i="13"/>
  <c r="L776" i="13"/>
  <c r="D775" i="13"/>
  <c r="H773" i="13"/>
  <c r="M771" i="13"/>
  <c r="E770" i="13"/>
  <c r="G768" i="13"/>
  <c r="J766" i="13"/>
  <c r="A765" i="13"/>
  <c r="I763" i="13"/>
  <c r="E762" i="13"/>
  <c r="A761" i="13"/>
  <c r="I759" i="13"/>
  <c r="E758" i="13"/>
  <c r="A757" i="13"/>
  <c r="I755" i="13"/>
  <c r="E754" i="13"/>
  <c r="A753" i="13"/>
  <c r="I751" i="13"/>
  <c r="E750" i="13"/>
  <c r="A749" i="13"/>
  <c r="I747" i="13"/>
  <c r="E746" i="13"/>
  <c r="A745" i="13"/>
  <c r="I743" i="13"/>
  <c r="E742" i="13"/>
  <c r="A741" i="13"/>
  <c r="I739" i="13"/>
  <c r="E738" i="13"/>
  <c r="A737" i="13"/>
  <c r="I735" i="13"/>
  <c r="E734" i="13"/>
  <c r="A733" i="13"/>
  <c r="I731" i="13"/>
  <c r="E730" i="13"/>
  <c r="A729" i="13"/>
  <c r="I727" i="13"/>
  <c r="E726" i="13"/>
  <c r="A725" i="13"/>
  <c r="I723" i="13"/>
  <c r="E722" i="13"/>
  <c r="A721" i="13"/>
  <c r="I719" i="13"/>
  <c r="E718" i="13"/>
  <c r="A717" i="13"/>
  <c r="I715" i="13"/>
  <c r="E714" i="13"/>
  <c r="A713" i="13"/>
  <c r="I711" i="13"/>
  <c r="E710" i="13"/>
  <c r="A709" i="13"/>
  <c r="I707" i="13"/>
  <c r="E706" i="13"/>
  <c r="A705" i="13"/>
  <c r="I703" i="13"/>
  <c r="E702" i="13"/>
  <c r="A701" i="13"/>
  <c r="I699" i="13"/>
  <c r="E698" i="13"/>
  <c r="A697" i="13"/>
  <c r="I695" i="13"/>
  <c r="E694" i="13"/>
  <c r="A693" i="13"/>
  <c r="I691" i="13"/>
  <c r="E690" i="13"/>
  <c r="A689" i="13"/>
  <c r="I687" i="13"/>
  <c r="E686" i="13"/>
  <c r="A685" i="13"/>
  <c r="I683" i="13"/>
  <c r="E682" i="13"/>
  <c r="A681" i="13"/>
  <c r="I679" i="13"/>
  <c r="E678" i="13"/>
  <c r="A677" i="13"/>
  <c r="I675" i="13"/>
  <c r="E674" i="13"/>
  <c r="B673" i="13"/>
  <c r="L671" i="13"/>
  <c r="I670" i="13"/>
  <c r="F669" i="13"/>
  <c r="C668" i="13"/>
  <c r="M666" i="13"/>
  <c r="J665" i="13"/>
  <c r="G664" i="13"/>
  <c r="D663" i="13"/>
  <c r="A662" i="13"/>
  <c r="K660" i="13"/>
  <c r="H659" i="13"/>
  <c r="E658" i="13"/>
  <c r="B657" i="13"/>
  <c r="L655" i="13"/>
  <c r="I654" i="13"/>
  <c r="F653" i="13"/>
  <c r="C652" i="13"/>
  <c r="M650" i="13"/>
  <c r="J649" i="13"/>
  <c r="G648" i="13"/>
  <c r="D647" i="13"/>
  <c r="A646" i="13"/>
  <c r="K644" i="13"/>
  <c r="H643" i="13"/>
  <c r="E642" i="13"/>
  <c r="B641" i="13"/>
  <c r="L639" i="13"/>
  <c r="I638" i="13"/>
  <c r="F637" i="13"/>
  <c r="C636" i="13"/>
  <c r="M634" i="13"/>
  <c r="J633" i="13"/>
  <c r="G632" i="13"/>
  <c r="D631" i="13"/>
  <c r="A630" i="13"/>
  <c r="K628" i="13"/>
  <c r="H627" i="13"/>
  <c r="E626" i="13"/>
  <c r="B625" i="13"/>
  <c r="L623" i="13"/>
  <c r="I622" i="13"/>
  <c r="F621" i="13"/>
  <c r="C620" i="13"/>
  <c r="M618" i="13"/>
  <c r="J617" i="13"/>
  <c r="G616" i="13"/>
  <c r="D615" i="13"/>
  <c r="A614" i="13"/>
  <c r="K612" i="13"/>
  <c r="H611" i="13"/>
  <c r="E610" i="13"/>
  <c r="B609" i="13"/>
  <c r="L607" i="13"/>
  <c r="I606" i="13"/>
  <c r="F605" i="13"/>
  <c r="C604" i="13"/>
  <c r="M602" i="13"/>
  <c r="J601" i="13"/>
  <c r="G600" i="13"/>
  <c r="D599" i="13"/>
  <c r="A598" i="13"/>
  <c r="K596" i="13"/>
  <c r="H595" i="13"/>
  <c r="E594" i="13"/>
  <c r="B593" i="13"/>
  <c r="L591" i="13"/>
  <c r="K1163" i="13"/>
  <c r="E1150" i="13"/>
  <c r="B1136" i="13"/>
  <c r="J1124" i="13"/>
  <c r="B1114" i="13"/>
  <c r="I1103" i="13"/>
  <c r="K1093" i="13"/>
  <c r="M1083" i="13"/>
  <c r="B1074" i="13"/>
  <c r="D1064" i="13"/>
  <c r="F1054" i="13"/>
  <c r="H1044" i="13"/>
  <c r="J1034" i="13"/>
  <c r="L1024" i="13"/>
  <c r="A1015" i="13"/>
  <c r="C1005" i="13"/>
  <c r="F998" i="13"/>
  <c r="G993" i="13"/>
  <c r="H988" i="13"/>
  <c r="I983" i="13"/>
  <c r="J978" i="13"/>
  <c r="K973" i="13"/>
  <c r="M968" i="13"/>
  <c r="G966" i="13"/>
  <c r="A964" i="13"/>
  <c r="G961" i="13"/>
  <c r="L958" i="13"/>
  <c r="C956" i="13"/>
  <c r="G953" i="13"/>
  <c r="L950" i="13"/>
  <c r="C948" i="13"/>
  <c r="G945" i="13"/>
  <c r="L942" i="13"/>
  <c r="C940" i="13"/>
  <c r="H937" i="13"/>
  <c r="B935" i="13"/>
  <c r="I932" i="13"/>
  <c r="C930" i="13"/>
  <c r="J927" i="13"/>
  <c r="D925" i="13"/>
  <c r="K922" i="13"/>
  <c r="E920" i="13"/>
  <c r="L917" i="13"/>
  <c r="F915" i="13"/>
  <c r="M912" i="13"/>
  <c r="G910" i="13"/>
  <c r="A908" i="13"/>
  <c r="H905" i="13"/>
  <c r="B903" i="13"/>
  <c r="I900" i="13"/>
  <c r="C898" i="13"/>
  <c r="J895" i="13"/>
  <c r="D893" i="13"/>
  <c r="K890" i="13"/>
  <c r="E888" i="13"/>
  <c r="L885" i="13"/>
  <c r="F883" i="13"/>
  <c r="M880" i="13"/>
  <c r="G878" i="13"/>
  <c r="A876" i="13"/>
  <c r="H873" i="13"/>
  <c r="B871" i="13"/>
  <c r="I868" i="13"/>
  <c r="C866" i="13"/>
  <c r="G863" i="13"/>
  <c r="L860" i="13"/>
  <c r="C858" i="13"/>
  <c r="G855" i="13"/>
  <c r="L852" i="13"/>
  <c r="C850" i="13"/>
  <c r="G847" i="13"/>
  <c r="G845" i="13"/>
  <c r="J843" i="13"/>
  <c r="A842" i="13"/>
  <c r="E840" i="13"/>
  <c r="J838" i="13"/>
  <c r="B837" i="13"/>
  <c r="F835" i="13"/>
  <c r="K833" i="13"/>
  <c r="C832" i="13"/>
  <c r="G830" i="13"/>
  <c r="L828" i="13"/>
  <c r="D827" i="13"/>
  <c r="H825" i="13"/>
  <c r="M823" i="13"/>
  <c r="E822" i="13"/>
  <c r="I820" i="13"/>
  <c r="A819" i="13"/>
  <c r="F817" i="13"/>
  <c r="J815" i="13"/>
  <c r="B814" i="13"/>
  <c r="G812" i="13"/>
  <c r="K810" i="13"/>
  <c r="C809" i="13"/>
  <c r="H807" i="13"/>
  <c r="L805" i="13"/>
  <c r="D804" i="13"/>
  <c r="I802" i="13"/>
  <c r="M800" i="13"/>
  <c r="E799" i="13"/>
  <c r="J797" i="13"/>
  <c r="A796" i="13"/>
  <c r="F794" i="13"/>
  <c r="K792" i="13"/>
  <c r="B791" i="13"/>
  <c r="G789" i="13"/>
  <c r="L787" i="13"/>
  <c r="C786" i="13"/>
  <c r="H784" i="13"/>
  <c r="M782" i="13"/>
  <c r="D781" i="13"/>
  <c r="I779" i="13"/>
  <c r="A778" i="13"/>
  <c r="E776" i="13"/>
  <c r="J774" i="13"/>
  <c r="B773" i="13"/>
  <c r="F771" i="13"/>
  <c r="J769" i="13"/>
  <c r="A768" i="13"/>
  <c r="C766" i="13"/>
  <c r="H764" i="13"/>
  <c r="D763" i="13"/>
  <c r="M761" i="13"/>
  <c r="H760" i="13"/>
  <c r="D759" i="13"/>
  <c r="M757" i="13"/>
  <c r="H756" i="13"/>
  <c r="D755" i="13"/>
  <c r="M753" i="13"/>
  <c r="H752" i="13"/>
  <c r="D751" i="13"/>
  <c r="M749" i="13"/>
  <c r="H748" i="13"/>
  <c r="D747" i="13"/>
  <c r="M745" i="13"/>
  <c r="H744" i="13"/>
  <c r="D743" i="13"/>
  <c r="M741" i="13"/>
  <c r="H740" i="13"/>
  <c r="D739" i="13"/>
  <c r="M737" i="13"/>
  <c r="H736" i="13"/>
  <c r="D735" i="13"/>
  <c r="M733" i="13"/>
  <c r="H732" i="13"/>
  <c r="D731" i="13"/>
  <c r="M729" i="13"/>
  <c r="H728" i="13"/>
  <c r="D727" i="13"/>
  <c r="M725" i="13"/>
  <c r="H724" i="13"/>
  <c r="D723" i="13"/>
  <c r="M721" i="13"/>
  <c r="H720" i="13"/>
  <c r="D719" i="13"/>
  <c r="M717" i="13"/>
  <c r="H716" i="13"/>
  <c r="D715" i="13"/>
  <c r="M713" i="13"/>
  <c r="H712" i="13"/>
  <c r="D711" i="13"/>
  <c r="M709" i="13"/>
  <c r="H708" i="13"/>
  <c r="D707" i="13"/>
  <c r="M705" i="13"/>
  <c r="H704" i="13"/>
  <c r="D703" i="13"/>
  <c r="M701" i="13"/>
  <c r="H700" i="13"/>
  <c r="D699" i="13"/>
  <c r="M697" i="13"/>
  <c r="H696" i="13"/>
  <c r="D695" i="13"/>
  <c r="M693" i="13"/>
  <c r="H692" i="13"/>
  <c r="D691" i="13"/>
  <c r="M689" i="13"/>
  <c r="H688" i="13"/>
  <c r="D687" i="13"/>
  <c r="M685" i="13"/>
  <c r="H684" i="13"/>
  <c r="D683" i="13"/>
  <c r="M681" i="13"/>
  <c r="H680" i="13"/>
  <c r="D679" i="13"/>
  <c r="M677" i="13"/>
  <c r="H676" i="13"/>
  <c r="J1097" i="13"/>
  <c r="D1095" i="13"/>
  <c r="K1092" i="13"/>
  <c r="E1090" i="13"/>
  <c r="L1087" i="13"/>
  <c r="F1085" i="13"/>
  <c r="M1082" i="13"/>
  <c r="G1080" i="13"/>
  <c r="A1078" i="13"/>
  <c r="H1075" i="13"/>
  <c r="B1073" i="13"/>
  <c r="I1070" i="13"/>
  <c r="C1068" i="13"/>
  <c r="J1065" i="13"/>
  <c r="D1063" i="13"/>
  <c r="K1060" i="13"/>
  <c r="E1058" i="13"/>
  <c r="L1055" i="13"/>
  <c r="F1053" i="13"/>
  <c r="M1050" i="13"/>
  <c r="G1048" i="13"/>
  <c r="A1046" i="13"/>
  <c r="H1043" i="13"/>
  <c r="B1041" i="13"/>
  <c r="I1038" i="13"/>
  <c r="C1036" i="13"/>
  <c r="J1033" i="13"/>
  <c r="D1031" i="13"/>
  <c r="K1028" i="13"/>
  <c r="E1026" i="13"/>
  <c r="L1023" i="13"/>
  <c r="F1021" i="13"/>
  <c r="M1018" i="13"/>
  <c r="G1016" i="13"/>
  <c r="A1014" i="13"/>
  <c r="H1011" i="13"/>
  <c r="B1009" i="13"/>
  <c r="I1006" i="13"/>
  <c r="C1004" i="13"/>
  <c r="A1002" i="13"/>
  <c r="E1000" i="13"/>
  <c r="B999" i="13"/>
  <c r="L997" i="13"/>
  <c r="I996" i="13"/>
  <c r="F995" i="13"/>
  <c r="C994" i="13"/>
  <c r="M992" i="13"/>
  <c r="J991" i="13"/>
  <c r="G990" i="13"/>
  <c r="D989" i="13"/>
  <c r="A988" i="13"/>
  <c r="K986" i="13"/>
  <c r="H985" i="13"/>
  <c r="E984" i="13"/>
  <c r="B983" i="13"/>
  <c r="L981" i="13"/>
  <c r="I980" i="13"/>
  <c r="F979" i="13"/>
  <c r="C978" i="13"/>
  <c r="M976" i="13"/>
  <c r="J975" i="13"/>
  <c r="G974" i="13"/>
  <c r="D973" i="13"/>
  <c r="A972" i="13"/>
  <c r="K970" i="13"/>
  <c r="H969" i="13"/>
  <c r="I1198" i="13"/>
  <c r="K1188" i="13"/>
  <c r="M1178" i="13"/>
  <c r="A1165" i="13"/>
  <c r="D1151" i="13"/>
  <c r="A1137" i="13"/>
  <c r="F1125" i="13"/>
  <c r="J1114" i="13"/>
  <c r="D1104" i="13"/>
  <c r="F1094" i="13"/>
  <c r="H1084" i="13"/>
  <c r="J1074" i="13"/>
  <c r="L1064" i="13"/>
  <c r="A1055" i="13"/>
  <c r="C1045" i="13"/>
  <c r="E1035" i="13"/>
  <c r="G1025" i="13"/>
  <c r="I1015" i="13"/>
  <c r="K1005" i="13"/>
  <c r="J998" i="13"/>
  <c r="K993" i="13"/>
  <c r="L988" i="13"/>
  <c r="M983" i="13"/>
  <c r="A979" i="13"/>
  <c r="B974" i="13"/>
  <c r="C969" i="13"/>
  <c r="J966" i="13"/>
  <c r="D964" i="13"/>
  <c r="J961" i="13"/>
  <c r="B959" i="13"/>
  <c r="F956" i="13"/>
  <c r="J953" i="13"/>
  <c r="B951" i="13"/>
  <c r="F948" i="13"/>
  <c r="J945" i="13"/>
  <c r="B943" i="13"/>
  <c r="F940" i="13"/>
  <c r="K937" i="13"/>
  <c r="E935" i="13"/>
  <c r="L932" i="13"/>
  <c r="F930" i="13"/>
  <c r="M927" i="13"/>
  <c r="G925" i="13"/>
  <c r="A923" i="13"/>
  <c r="H920" i="13"/>
  <c r="B918" i="13"/>
  <c r="I915" i="13"/>
  <c r="C913" i="13"/>
  <c r="J910" i="13"/>
  <c r="D908" i="13"/>
  <c r="K905" i="13"/>
  <c r="E903" i="13"/>
  <c r="L900" i="13"/>
  <c r="F898" i="13"/>
  <c r="M895" i="13"/>
  <c r="G893" i="13"/>
  <c r="A891" i="13"/>
  <c r="H888" i="13"/>
  <c r="B886" i="13"/>
  <c r="I883" i="13"/>
  <c r="C881" i="13"/>
  <c r="J878" i="13"/>
  <c r="D876" i="13"/>
  <c r="K873" i="13"/>
  <c r="E871" i="13"/>
  <c r="L868" i="13"/>
  <c r="F866" i="13"/>
  <c r="J863" i="13"/>
  <c r="B861" i="13"/>
  <c r="F858" i="13"/>
  <c r="J855" i="13"/>
  <c r="B853" i="13"/>
  <c r="F850" i="13"/>
  <c r="J847" i="13"/>
  <c r="I845" i="13"/>
  <c r="L843" i="13"/>
  <c r="B842" i="13"/>
  <c r="G840" i="13"/>
  <c r="K838" i="13"/>
  <c r="C837" i="13"/>
  <c r="H835" i="13"/>
  <c r="L833" i="13"/>
  <c r="D832" i="13"/>
  <c r="I830" i="13"/>
  <c r="M828" i="13"/>
  <c r="E827" i="13"/>
  <c r="J825" i="13"/>
  <c r="A824" i="13"/>
  <c r="F822" i="13"/>
  <c r="K820" i="13"/>
  <c r="B819" i="13"/>
  <c r="G817" i="13"/>
  <c r="L815" i="13"/>
  <c r="C814" i="13"/>
  <c r="H812" i="13"/>
  <c r="M810" i="13"/>
  <c r="D809" i="13"/>
  <c r="I807" i="13"/>
  <c r="A806" i="13"/>
  <c r="E804" i="13"/>
  <c r="J802" i="13"/>
  <c r="B801" i="13"/>
  <c r="F799" i="13"/>
  <c r="K797" i="13"/>
  <c r="C796" i="13"/>
  <c r="G794" i="13"/>
  <c r="L792" i="13"/>
  <c r="D791" i="13"/>
  <c r="H789" i="13"/>
  <c r="M787" i="13"/>
  <c r="E786" i="13"/>
  <c r="I784" i="13"/>
  <c r="A783" i="13"/>
  <c r="F781" i="13"/>
  <c r="J779" i="13"/>
  <c r="B778" i="13"/>
  <c r="G776" i="13"/>
  <c r="K774" i="13"/>
  <c r="C773" i="13"/>
  <c r="H771" i="13"/>
  <c r="L769" i="13"/>
  <c r="B768" i="13"/>
  <c r="E766" i="13"/>
  <c r="I764" i="13"/>
  <c r="E763" i="13"/>
  <c r="A762" i="13"/>
  <c r="I760" i="13"/>
  <c r="E759" i="13"/>
  <c r="A758" i="13"/>
  <c r="I756" i="13"/>
  <c r="E755" i="13"/>
  <c r="A754" i="13"/>
  <c r="I752" i="13"/>
  <c r="E751" i="13"/>
  <c r="A750" i="13"/>
  <c r="I748" i="13"/>
  <c r="E747" i="13"/>
  <c r="A746" i="13"/>
  <c r="I744" i="13"/>
  <c r="E743" i="13"/>
  <c r="A742" i="13"/>
  <c r="I740" i="13"/>
  <c r="E739" i="13"/>
  <c r="A738" i="13"/>
  <c r="I736" i="13"/>
  <c r="E735" i="13"/>
  <c r="A734" i="13"/>
  <c r="I732" i="13"/>
  <c r="E731" i="13"/>
  <c r="A730" i="13"/>
  <c r="I728" i="13"/>
  <c r="E727" i="13"/>
  <c r="A726" i="13"/>
  <c r="I724" i="13"/>
  <c r="E723" i="13"/>
  <c r="A722" i="13"/>
  <c r="I720" i="13"/>
  <c r="E719" i="13"/>
  <c r="A718" i="13"/>
  <c r="I716" i="13"/>
  <c r="E715" i="13"/>
  <c r="A714" i="13"/>
  <c r="I712" i="13"/>
  <c r="E711" i="13"/>
  <c r="A710" i="13"/>
  <c r="I708" i="13"/>
  <c r="E707" i="13"/>
  <c r="A706" i="13"/>
  <c r="I704" i="13"/>
  <c r="E703" i="13"/>
  <c r="A702" i="13"/>
  <c r="I700" i="13"/>
  <c r="E699" i="13"/>
  <c r="A698" i="13"/>
  <c r="I696" i="13"/>
  <c r="E695" i="13"/>
  <c r="A694" i="13"/>
  <c r="I692" i="13"/>
  <c r="E691" i="13"/>
  <c r="A690" i="13"/>
  <c r="I688" i="13"/>
  <c r="E687" i="13"/>
  <c r="A686" i="13"/>
  <c r="I684" i="13"/>
  <c r="E683" i="13"/>
  <c r="A682" i="13"/>
  <c r="I680" i="13"/>
  <c r="E679" i="13"/>
  <c r="A678" i="13"/>
  <c r="I676" i="13"/>
  <c r="E675" i="13"/>
  <c r="A674" i="13"/>
  <c r="K672" i="13"/>
  <c r="H671" i="13"/>
  <c r="E670" i="13"/>
  <c r="B669" i="13"/>
  <c r="L667" i="13"/>
  <c r="I666" i="13"/>
  <c r="F665" i="13"/>
  <c r="C664" i="13"/>
  <c r="M662" i="13"/>
  <c r="J661" i="13"/>
  <c r="G660" i="13"/>
  <c r="D659" i="13"/>
  <c r="A658" i="13"/>
  <c r="K656" i="13"/>
  <c r="H655" i="13"/>
  <c r="E654" i="13"/>
  <c r="B653" i="13"/>
  <c r="L651" i="13"/>
  <c r="I650" i="13"/>
  <c r="F649" i="13"/>
  <c r="C648" i="13"/>
  <c r="M646" i="13"/>
  <c r="J645" i="13"/>
  <c r="G644" i="13"/>
  <c r="D643" i="13"/>
  <c r="A642" i="13"/>
  <c r="K640" i="13"/>
  <c r="H639" i="13"/>
  <c r="E638" i="13"/>
  <c r="B637" i="13"/>
  <c r="L635" i="13"/>
  <c r="I634" i="13"/>
  <c r="F633" i="13"/>
  <c r="C632" i="13"/>
  <c r="M630" i="13"/>
  <c r="J629" i="13"/>
  <c r="G628" i="13"/>
  <c r="D627" i="13"/>
  <c r="A626" i="13"/>
  <c r="K624" i="13"/>
  <c r="H623" i="13"/>
  <c r="E622" i="13"/>
  <c r="B621" i="13"/>
  <c r="L619" i="13"/>
  <c r="I618" i="13"/>
  <c r="F617" i="13"/>
  <c r="C616" i="13"/>
  <c r="M614" i="13"/>
  <c r="J613" i="13"/>
  <c r="G612" i="13"/>
  <c r="D611" i="13"/>
  <c r="A610" i="13"/>
  <c r="K608" i="13"/>
  <c r="H607" i="13"/>
  <c r="E606" i="13"/>
  <c r="B605" i="13"/>
  <c r="L603" i="13"/>
  <c r="I602" i="13"/>
  <c r="F601" i="13"/>
  <c r="C600" i="13"/>
  <c r="M598" i="13"/>
  <c r="J597" i="13"/>
  <c r="G596" i="13"/>
  <c r="D595" i="13"/>
  <c r="A594" i="13"/>
  <c r="K592" i="13"/>
  <c r="H591" i="13"/>
  <c r="G1160" i="13"/>
  <c r="J1146" i="13"/>
  <c r="J1132" i="13"/>
  <c r="B1122" i="13"/>
  <c r="F1111" i="13"/>
  <c r="C1101" i="13"/>
  <c r="E1091" i="13"/>
  <c r="G1081" i="13"/>
  <c r="I1071" i="13"/>
  <c r="K1061" i="13"/>
  <c r="M1051" i="13"/>
  <c r="B1042" i="13"/>
  <c r="D1032" i="13"/>
  <c r="F1022" i="13"/>
  <c r="H1012" i="13"/>
  <c r="J1002" i="13"/>
  <c r="C997" i="13"/>
  <c r="D992" i="13"/>
  <c r="E987" i="13"/>
  <c r="F982" i="13"/>
  <c r="G977" i="13"/>
  <c r="H972" i="13"/>
  <c r="E968" i="13"/>
  <c r="L965" i="13"/>
  <c r="F963" i="13"/>
  <c r="L960" i="13"/>
  <c r="C958" i="13"/>
  <c r="G955" i="13"/>
  <c r="L952" i="13"/>
  <c r="C950" i="13"/>
  <c r="G947" i="13"/>
  <c r="L944" i="13"/>
  <c r="C942" i="13"/>
  <c r="G939" i="13"/>
  <c r="M936" i="13"/>
  <c r="G934" i="13"/>
  <c r="A932" i="13"/>
  <c r="H929" i="13"/>
  <c r="B927" i="13"/>
  <c r="I924" i="13"/>
  <c r="C922" i="13"/>
  <c r="J919" i="13"/>
  <c r="D917" i="13"/>
  <c r="K914" i="13"/>
  <c r="E912" i="13"/>
  <c r="L909" i="13"/>
  <c r="F907" i="13"/>
  <c r="M904" i="13"/>
  <c r="G902" i="13"/>
  <c r="A900" i="13"/>
  <c r="H897" i="13"/>
  <c r="B895" i="13"/>
  <c r="I892" i="13"/>
  <c r="C890" i="13"/>
  <c r="J887" i="13"/>
  <c r="D885" i="13"/>
  <c r="K882" i="13"/>
  <c r="E880" i="13"/>
  <c r="L877" i="13"/>
  <c r="F875" i="13"/>
  <c r="M872" i="13"/>
  <c r="G870" i="13"/>
  <c r="A868" i="13"/>
  <c r="G865" i="13"/>
  <c r="L862" i="13"/>
  <c r="C860" i="13"/>
  <c r="G857" i="13"/>
  <c r="L854" i="13"/>
  <c r="C852" i="13"/>
  <c r="G849" i="13"/>
  <c r="L846" i="13"/>
  <c r="B845" i="13"/>
  <c r="E843" i="13"/>
  <c r="H841" i="13"/>
  <c r="M839" i="13"/>
  <c r="E838" i="13"/>
  <c r="I836" i="13"/>
  <c r="A835" i="13"/>
  <c r="F833" i="13"/>
  <c r="J831" i="13"/>
  <c r="B830" i="13"/>
  <c r="G828" i="13"/>
  <c r="K826" i="13"/>
  <c r="C825" i="13"/>
  <c r="H823" i="13"/>
  <c r="L821" i="13"/>
  <c r="D820" i="13"/>
  <c r="I818" i="13"/>
  <c r="M816" i="13"/>
  <c r="E815" i="13"/>
  <c r="J813" i="13"/>
  <c r="A812" i="13"/>
  <c r="F810" i="13"/>
  <c r="K808" i="13"/>
  <c r="B807" i="13"/>
  <c r="G805" i="13"/>
  <c r="L803" i="13"/>
  <c r="C802" i="13"/>
  <c r="H800" i="13"/>
  <c r="M798" i="13"/>
  <c r="D797" i="13"/>
  <c r="I795" i="13"/>
  <c r="A794" i="13"/>
  <c r="E792" i="13"/>
  <c r="J790" i="13"/>
  <c r="B789" i="13"/>
  <c r="F787" i="13"/>
  <c r="K785" i="13"/>
  <c r="C784" i="13"/>
  <c r="G782" i="13"/>
  <c r="L780" i="13"/>
  <c r="D779" i="13"/>
  <c r="H777" i="13"/>
  <c r="M775" i="13"/>
  <c r="E774" i="13"/>
  <c r="I772" i="13"/>
  <c r="A771" i="13"/>
  <c r="E769" i="13"/>
  <c r="G767" i="13"/>
  <c r="J765" i="13"/>
  <c r="D764" i="13"/>
  <c r="M762" i="13"/>
  <c r="H761" i="13"/>
  <c r="D760" i="13"/>
  <c r="M758" i="13"/>
  <c r="H757" i="13"/>
  <c r="D756" i="13"/>
  <c r="M754" i="13"/>
  <c r="H753" i="13"/>
  <c r="D752" i="13"/>
  <c r="M750" i="13"/>
  <c r="H749" i="13"/>
  <c r="D748" i="13"/>
  <c r="M746" i="13"/>
  <c r="H745" i="13"/>
  <c r="D744" i="13"/>
  <c r="M742" i="13"/>
  <c r="H741" i="13"/>
  <c r="D740" i="13"/>
  <c r="M738" i="13"/>
  <c r="H737" i="13"/>
  <c r="D736" i="13"/>
  <c r="M734" i="13"/>
  <c r="H733" i="13"/>
  <c r="D732" i="13"/>
  <c r="M730" i="13"/>
  <c r="H729" i="13"/>
  <c r="D728" i="13"/>
  <c r="M726" i="13"/>
  <c r="H725" i="13"/>
  <c r="D724" i="13"/>
  <c r="M722" i="13"/>
  <c r="H721" i="13"/>
  <c r="D720" i="13"/>
  <c r="M718" i="13"/>
  <c r="H717" i="13"/>
  <c r="D716" i="13"/>
  <c r="M714" i="13"/>
  <c r="H713" i="13"/>
  <c r="D712" i="13"/>
  <c r="M710" i="13"/>
  <c r="H709" i="13"/>
  <c r="D708" i="13"/>
  <c r="M706" i="13"/>
  <c r="H705" i="13"/>
  <c r="D704" i="13"/>
  <c r="M702" i="13"/>
  <c r="H701" i="13"/>
  <c r="D700" i="13"/>
  <c r="M698" i="13"/>
  <c r="H697" i="13"/>
  <c r="D696" i="13"/>
  <c r="M694" i="13"/>
  <c r="H693" i="13"/>
  <c r="D692" i="13"/>
  <c r="M690" i="13"/>
  <c r="H689" i="13"/>
  <c r="D688" i="13"/>
  <c r="M686" i="13"/>
  <c r="H685" i="13"/>
  <c r="D684" i="13"/>
  <c r="M682" i="13"/>
  <c r="H681" i="13"/>
  <c r="D680" i="13"/>
  <c r="M678" i="13"/>
  <c r="H677" i="13"/>
  <c r="B1097" i="13"/>
  <c r="I1094" i="13"/>
  <c r="C1092" i="13"/>
  <c r="J1089" i="13"/>
  <c r="D1087" i="13"/>
  <c r="K1084" i="13"/>
  <c r="E1082" i="13"/>
  <c r="L1079" i="13"/>
  <c r="F1077" i="13"/>
  <c r="M1074" i="13"/>
  <c r="G1072" i="13"/>
  <c r="A1070" i="13"/>
  <c r="H1067" i="13"/>
  <c r="B1065" i="13"/>
  <c r="I1062" i="13"/>
  <c r="C1060" i="13"/>
  <c r="J1057" i="13"/>
  <c r="D1055" i="13"/>
  <c r="K1052" i="13"/>
  <c r="E1050" i="13"/>
  <c r="L1047" i="13"/>
  <c r="F1045" i="13"/>
  <c r="M1042" i="13"/>
  <c r="G1040" i="13"/>
  <c r="A1038" i="13"/>
  <c r="H1035" i="13"/>
  <c r="B1033" i="13"/>
  <c r="I1030" i="13"/>
  <c r="C1028" i="13"/>
  <c r="J1025" i="13"/>
  <c r="D1023" i="13"/>
  <c r="K1020" i="13"/>
  <c r="E1018" i="13"/>
  <c r="L1015" i="13"/>
  <c r="F1013" i="13"/>
  <c r="M1010" i="13"/>
  <c r="G1008" i="13"/>
  <c r="A1006" i="13"/>
  <c r="H1003" i="13"/>
  <c r="H1001" i="13"/>
  <c r="A1000" i="13"/>
  <c r="K998" i="13"/>
  <c r="H997" i="13"/>
  <c r="E996" i="13"/>
  <c r="B995" i="13"/>
  <c r="L993" i="13"/>
  <c r="I992" i="13"/>
  <c r="F991" i="13"/>
  <c r="C990" i="13"/>
  <c r="M988" i="13"/>
  <c r="J987" i="13"/>
  <c r="G986" i="13"/>
  <c r="D985" i="13"/>
  <c r="A984" i="13"/>
  <c r="K982" i="13"/>
  <c r="H981" i="13"/>
  <c r="E980" i="13"/>
  <c r="B979" i="13"/>
  <c r="L977" i="13"/>
  <c r="I976" i="13"/>
  <c r="F975" i="13"/>
  <c r="C974" i="13"/>
  <c r="M972" i="13"/>
  <c r="J971" i="13"/>
  <c r="G970" i="13"/>
  <c r="D969" i="13"/>
  <c r="C1196" i="13"/>
  <c r="E1186" i="13"/>
  <c r="G1176" i="13"/>
  <c r="E1161" i="13"/>
  <c r="I1147" i="13"/>
  <c r="F1133" i="13"/>
  <c r="J1122" i="13"/>
  <c r="B1112" i="13"/>
  <c r="K1101" i="13"/>
  <c r="M1091" i="13"/>
  <c r="B1082" i="13"/>
  <c r="D1072" i="13"/>
  <c r="F1062" i="13"/>
  <c r="H1052" i="13"/>
  <c r="J1042" i="13"/>
  <c r="L1032" i="13"/>
  <c r="A1023" i="13"/>
  <c r="C1013" i="13"/>
  <c r="E1003" i="13"/>
  <c r="G997" i="13"/>
  <c r="H992" i="13"/>
  <c r="I987" i="13"/>
  <c r="J982" i="13"/>
  <c r="K977" i="13"/>
  <c r="L972" i="13"/>
  <c r="H968" i="13"/>
  <c r="B966" i="13"/>
  <c r="I963" i="13"/>
  <c r="B961" i="13"/>
  <c r="F958" i="13"/>
  <c r="J955" i="13"/>
  <c r="B953" i="13"/>
  <c r="F950" i="13"/>
  <c r="J947" i="13"/>
  <c r="B945" i="13"/>
  <c r="F942" i="13"/>
  <c r="J939" i="13"/>
  <c r="C937" i="13"/>
  <c r="J934" i="13"/>
  <c r="D932" i="13"/>
  <c r="K929" i="13"/>
  <c r="E927" i="13"/>
  <c r="L924" i="13"/>
  <c r="F922" i="13"/>
  <c r="M919" i="13"/>
  <c r="G917" i="13"/>
  <c r="A915" i="13"/>
  <c r="H912" i="13"/>
  <c r="B910" i="13"/>
  <c r="I907" i="13"/>
  <c r="C905" i="13"/>
  <c r="J902" i="13"/>
  <c r="D900" i="13"/>
  <c r="K897" i="13"/>
  <c r="E895" i="13"/>
  <c r="L892" i="13"/>
  <c r="F890" i="13"/>
  <c r="M887" i="13"/>
  <c r="G885" i="13"/>
  <c r="A883" i="13"/>
  <c r="H880" i="13"/>
  <c r="B878" i="13"/>
  <c r="I875" i="13"/>
  <c r="C873" i="13"/>
  <c r="J870" i="13"/>
  <c r="D868" i="13"/>
  <c r="J865" i="13"/>
  <c r="B863" i="13"/>
  <c r="F860" i="13"/>
  <c r="J857" i="13"/>
  <c r="B855" i="13"/>
  <c r="F852" i="13"/>
  <c r="J849" i="13"/>
  <c r="B847" i="13"/>
  <c r="C845" i="13"/>
  <c r="F843" i="13"/>
  <c r="J841" i="13"/>
  <c r="A840" i="13"/>
  <c r="F838" i="13"/>
  <c r="K836" i="13"/>
  <c r="B835" i="13"/>
  <c r="G833" i="13"/>
  <c r="L831" i="13"/>
  <c r="C830" i="13"/>
  <c r="H828" i="13"/>
  <c r="M826" i="13"/>
  <c r="D825" i="13"/>
  <c r="I823" i="13"/>
  <c r="A822" i="13"/>
  <c r="E820" i="13"/>
  <c r="J818" i="13"/>
  <c r="B817" i="13"/>
  <c r="F815" i="13"/>
  <c r="K813" i="13"/>
  <c r="C812" i="13"/>
  <c r="G810" i="13"/>
  <c r="L808" i="13"/>
  <c r="D807" i="13"/>
  <c r="H805" i="13"/>
  <c r="M803" i="13"/>
  <c r="E802" i="13"/>
  <c r="I800" i="13"/>
  <c r="A799" i="13"/>
  <c r="F797" i="13"/>
  <c r="J795" i="13"/>
  <c r="B794" i="13"/>
  <c r="G792" i="13"/>
  <c r="K790" i="13"/>
  <c r="C789" i="13"/>
  <c r="H787" i="13"/>
  <c r="L785" i="13"/>
  <c r="D784" i="13"/>
  <c r="I782" i="13"/>
  <c r="M780" i="13"/>
  <c r="E779" i="13"/>
  <c r="J777" i="13"/>
  <c r="A776" i="13"/>
  <c r="F774" i="13"/>
  <c r="K772" i="13"/>
  <c r="B771" i="13"/>
  <c r="F769" i="13"/>
  <c r="I767" i="13"/>
  <c r="L765" i="13"/>
  <c r="E764" i="13"/>
  <c r="A763" i="13"/>
  <c r="I761" i="13"/>
  <c r="E760" i="13"/>
  <c r="A759" i="13"/>
  <c r="I757" i="13"/>
  <c r="E756" i="13"/>
  <c r="A755" i="13"/>
  <c r="I753" i="13"/>
  <c r="E752" i="13"/>
  <c r="A751" i="13"/>
  <c r="I749" i="13"/>
  <c r="E748" i="13"/>
  <c r="A747" i="13"/>
  <c r="I745" i="13"/>
  <c r="E744" i="13"/>
  <c r="A743" i="13"/>
  <c r="I741" i="13"/>
  <c r="E740" i="13"/>
  <c r="A739" i="13"/>
  <c r="I737" i="13"/>
  <c r="E736" i="13"/>
  <c r="A735" i="13"/>
  <c r="I733" i="13"/>
  <c r="E732" i="13"/>
  <c r="A731" i="13"/>
  <c r="I729" i="13"/>
  <c r="E728" i="13"/>
  <c r="A727" i="13"/>
  <c r="I725" i="13"/>
  <c r="E724" i="13"/>
  <c r="A723" i="13"/>
  <c r="I721" i="13"/>
  <c r="E720" i="13"/>
  <c r="A719" i="13"/>
  <c r="I717" i="13"/>
  <c r="E716" i="13"/>
  <c r="A715" i="13"/>
  <c r="I713" i="13"/>
  <c r="E712" i="13"/>
  <c r="A711" i="13"/>
  <c r="I709" i="13"/>
  <c r="E708" i="13"/>
  <c r="A707" i="13"/>
  <c r="I705" i="13"/>
  <c r="E704" i="13"/>
  <c r="A703" i="13"/>
  <c r="I701" i="13"/>
  <c r="E700" i="13"/>
  <c r="A699" i="13"/>
  <c r="I697" i="13"/>
  <c r="E696" i="13"/>
  <c r="A695" i="13"/>
  <c r="I693" i="13"/>
  <c r="E692" i="13"/>
  <c r="A691" i="13"/>
  <c r="I689" i="13"/>
  <c r="E688" i="13"/>
  <c r="A687" i="13"/>
  <c r="I685" i="13"/>
  <c r="E684" i="13"/>
  <c r="A683" i="13"/>
  <c r="I681" i="13"/>
  <c r="E680" i="13"/>
  <c r="A679" i="13"/>
  <c r="I677" i="13"/>
  <c r="E676" i="13"/>
  <c r="A675" i="13"/>
  <c r="J673" i="13"/>
  <c r="G672" i="13"/>
  <c r="D671" i="13"/>
  <c r="A670" i="13"/>
  <c r="K668" i="13"/>
  <c r="H667" i="13"/>
  <c r="E666" i="13"/>
  <c r="B665" i="13"/>
  <c r="L663" i="13"/>
  <c r="I662" i="13"/>
  <c r="F661" i="13"/>
  <c r="C660" i="13"/>
  <c r="M658" i="13"/>
  <c r="J657" i="13"/>
  <c r="G656" i="13"/>
  <c r="D655" i="13"/>
  <c r="A654" i="13"/>
  <c r="K652" i="13"/>
  <c r="H651" i="13"/>
  <c r="E650" i="13"/>
  <c r="B649" i="13"/>
  <c r="L647" i="13"/>
  <c r="I646" i="13"/>
  <c r="F645" i="13"/>
  <c r="C644" i="13"/>
  <c r="M642" i="13"/>
  <c r="J641" i="13"/>
  <c r="G640" i="13"/>
  <c r="D639" i="13"/>
  <c r="A638" i="13"/>
  <c r="K636" i="13"/>
  <c r="H635" i="13"/>
  <c r="E634" i="13"/>
  <c r="B633" i="13"/>
  <c r="L631" i="13"/>
  <c r="I630" i="13"/>
  <c r="F629" i="13"/>
  <c r="C628" i="13"/>
  <c r="M626" i="13"/>
  <c r="J625" i="13"/>
  <c r="G624" i="13"/>
  <c r="D623" i="13"/>
  <c r="A622" i="13"/>
  <c r="K620" i="13"/>
  <c r="H619" i="13"/>
  <c r="E618" i="13"/>
  <c r="B617" i="13"/>
  <c r="L615" i="13"/>
  <c r="I614" i="13"/>
  <c r="F613" i="13"/>
  <c r="C612" i="13"/>
  <c r="M610" i="13"/>
  <c r="J609" i="13"/>
  <c r="G608" i="13"/>
  <c r="D607" i="13"/>
  <c r="A606" i="13"/>
  <c r="K604" i="13"/>
  <c r="H603" i="13"/>
  <c r="E602" i="13"/>
  <c r="B601" i="13"/>
  <c r="L599" i="13"/>
  <c r="I598" i="13"/>
  <c r="F597" i="13"/>
  <c r="C596" i="13"/>
  <c r="M594" i="13"/>
  <c r="J593" i="13"/>
  <c r="G592" i="13"/>
  <c r="I1173" i="13"/>
  <c r="C1157" i="13"/>
  <c r="D1143" i="13"/>
  <c r="B1130" i="13"/>
  <c r="F1119" i="13"/>
  <c r="J1108" i="13"/>
  <c r="J1098" i="13"/>
  <c r="L1088" i="13"/>
  <c r="A1079" i="13"/>
  <c r="C1069" i="13"/>
  <c r="E1059" i="13"/>
  <c r="G1049" i="13"/>
  <c r="I1039" i="13"/>
  <c r="K1029" i="13"/>
  <c r="M1019" i="13"/>
  <c r="B1010" i="13"/>
  <c r="B1001" i="13"/>
  <c r="M995" i="13"/>
  <c r="A991" i="13"/>
  <c r="B986" i="13"/>
  <c r="C981" i="13"/>
  <c r="D976" i="13"/>
  <c r="E971" i="13"/>
  <c r="J967" i="13"/>
  <c r="D965" i="13"/>
  <c r="K962" i="13"/>
  <c r="C960" i="13"/>
  <c r="G957" i="13"/>
  <c r="L954" i="13"/>
  <c r="C952" i="13"/>
  <c r="G949" i="13"/>
  <c r="L946" i="13"/>
  <c r="C944" i="13"/>
  <c r="G941" i="13"/>
  <c r="L938" i="13"/>
  <c r="E936" i="13"/>
  <c r="L933" i="13"/>
  <c r="F931" i="13"/>
  <c r="M928" i="13"/>
  <c r="G926" i="13"/>
  <c r="A924" i="13"/>
  <c r="H921" i="13"/>
  <c r="B919" i="13"/>
  <c r="I916" i="13"/>
  <c r="C914" i="13"/>
  <c r="J911" i="13"/>
  <c r="D909" i="13"/>
  <c r="K906" i="13"/>
  <c r="E904" i="13"/>
  <c r="L901" i="13"/>
  <c r="F899" i="13"/>
  <c r="M896" i="13"/>
  <c r="G894" i="13"/>
  <c r="A892" i="13"/>
  <c r="H889" i="13"/>
  <c r="B887" i="13"/>
  <c r="I884" i="13"/>
  <c r="C882" i="13"/>
  <c r="J879" i="13"/>
  <c r="D877" i="13"/>
  <c r="K874" i="13"/>
  <c r="E872" i="13"/>
  <c r="L869" i="13"/>
  <c r="F867" i="13"/>
  <c r="L864" i="13"/>
  <c r="C862" i="13"/>
  <c r="G859" i="13"/>
  <c r="L856" i="13"/>
  <c r="C854" i="13"/>
  <c r="G851" i="13"/>
  <c r="L848" i="13"/>
  <c r="F846" i="13"/>
  <c r="I844" i="13"/>
  <c r="L842" i="13"/>
  <c r="C841" i="13"/>
  <c r="H839" i="13"/>
  <c r="L837" i="13"/>
  <c r="D836" i="13"/>
  <c r="I834" i="13"/>
  <c r="M832" i="13"/>
  <c r="E831" i="13"/>
  <c r="J829" i="13"/>
  <c r="A828" i="13"/>
  <c r="F826" i="13"/>
  <c r="K824" i="13"/>
  <c r="B823" i="13"/>
  <c r="G821" i="13"/>
  <c r="L819" i="13"/>
  <c r="C818" i="13"/>
  <c r="H816" i="13"/>
  <c r="M814" i="13"/>
  <c r="D813" i="13"/>
  <c r="I811" i="13"/>
  <c r="A810" i="13"/>
  <c r="E808" i="13"/>
  <c r="J806" i="13"/>
  <c r="B805" i="13"/>
  <c r="F803" i="13"/>
  <c r="K801" i="13"/>
  <c r="C800" i="13"/>
  <c r="G798" i="13"/>
  <c r="L796" i="13"/>
  <c r="D795" i="13"/>
  <c r="H793" i="13"/>
  <c r="M791" i="13"/>
  <c r="E790" i="13"/>
  <c r="I788" i="13"/>
  <c r="A787" i="13"/>
  <c r="F785" i="13"/>
  <c r="J783" i="13"/>
  <c r="B782" i="13"/>
  <c r="G780" i="13"/>
  <c r="K778" i="13"/>
  <c r="C777" i="13"/>
  <c r="H775" i="13"/>
  <c r="L773" i="13"/>
  <c r="D772" i="13"/>
  <c r="I770" i="13"/>
  <c r="L768" i="13"/>
  <c r="B767" i="13"/>
  <c r="E765" i="13"/>
  <c r="M763" i="13"/>
  <c r="H762" i="13"/>
  <c r="D761" i="13"/>
  <c r="M759" i="13"/>
  <c r="H758" i="13"/>
  <c r="D757" i="13"/>
  <c r="M755" i="13"/>
  <c r="H754" i="13"/>
  <c r="D753" i="13"/>
  <c r="M751" i="13"/>
  <c r="H750" i="13"/>
  <c r="D749" i="13"/>
  <c r="M747" i="13"/>
  <c r="H746" i="13"/>
  <c r="D745" i="13"/>
  <c r="M743" i="13"/>
  <c r="H742" i="13"/>
  <c r="D741" i="13"/>
  <c r="M739" i="13"/>
  <c r="H738" i="13"/>
  <c r="D737" i="13"/>
  <c r="M735" i="13"/>
  <c r="H734" i="13"/>
  <c r="D733" i="13"/>
  <c r="M731" i="13"/>
  <c r="H730" i="13"/>
  <c r="D729" i="13"/>
  <c r="M727" i="13"/>
  <c r="H726" i="13"/>
  <c r="D725" i="13"/>
  <c r="M723" i="13"/>
  <c r="H722" i="13"/>
  <c r="D721" i="13"/>
  <c r="M719" i="13"/>
  <c r="H718" i="13"/>
  <c r="D717" i="13"/>
  <c r="M715" i="13"/>
  <c r="H714" i="13"/>
  <c r="D713" i="13"/>
  <c r="M711" i="13"/>
  <c r="H710" i="13"/>
  <c r="D709" i="13"/>
  <c r="M707" i="13"/>
  <c r="H706" i="13"/>
  <c r="D705" i="13"/>
  <c r="M703" i="13"/>
  <c r="H702" i="13"/>
  <c r="D701" i="13"/>
  <c r="M699" i="13"/>
  <c r="H698" i="13"/>
  <c r="D697" i="13"/>
  <c r="M695" i="13"/>
  <c r="H694" i="13"/>
  <c r="D693" i="13"/>
  <c r="M691" i="13"/>
  <c r="H690" i="13"/>
  <c r="D689" i="13"/>
  <c r="M687" i="13"/>
  <c r="H686" i="13"/>
  <c r="D685" i="13"/>
  <c r="M683" i="13"/>
  <c r="H682" i="13"/>
  <c r="D681" i="13"/>
  <c r="M679" i="13"/>
  <c r="H678" i="13"/>
  <c r="D677" i="13"/>
  <c r="G1096" i="13"/>
  <c r="A1094" i="13"/>
  <c r="H1091" i="13"/>
  <c r="B1089" i="13"/>
  <c r="I1086" i="13"/>
  <c r="C1084" i="13"/>
  <c r="J1081" i="13"/>
  <c r="D1079" i="13"/>
  <c r="K1076" i="13"/>
  <c r="E1074" i="13"/>
  <c r="L1071" i="13"/>
  <c r="F1069" i="13"/>
  <c r="M1066" i="13"/>
  <c r="G1064" i="13"/>
  <c r="A1062" i="13"/>
  <c r="H1059" i="13"/>
  <c r="B1057" i="13"/>
  <c r="I1054" i="13"/>
  <c r="C1052" i="13"/>
  <c r="J1049" i="13"/>
  <c r="D1047" i="13"/>
  <c r="K1044" i="13"/>
  <c r="E1042" i="13"/>
  <c r="L1039" i="13"/>
  <c r="F1037" i="13"/>
  <c r="M1034" i="13"/>
  <c r="G1032" i="13"/>
  <c r="A1030" i="13"/>
  <c r="H1027" i="13"/>
  <c r="B1025" i="13"/>
  <c r="I1022" i="13"/>
  <c r="C1020" i="13"/>
  <c r="J1017" i="13"/>
  <c r="D1015" i="13"/>
  <c r="K1012" i="13"/>
  <c r="E1010" i="13"/>
  <c r="L1007" i="13"/>
  <c r="F1005" i="13"/>
  <c r="M1002" i="13"/>
  <c r="C1001" i="13"/>
  <c r="J999" i="13"/>
  <c r="G998" i="13"/>
  <c r="D997" i="13"/>
  <c r="A996" i="13"/>
  <c r="K994" i="13"/>
  <c r="H993" i="13"/>
  <c r="E992" i="13"/>
  <c r="B991" i="13"/>
  <c r="L989" i="13"/>
  <c r="I988" i="13"/>
  <c r="F987" i="13"/>
  <c r="C986" i="13"/>
  <c r="M984" i="13"/>
  <c r="J983" i="13"/>
  <c r="G982" i="13"/>
  <c r="D981" i="13"/>
  <c r="A980" i="13"/>
  <c r="K978" i="13"/>
  <c r="H977" i="13"/>
  <c r="E976" i="13"/>
  <c r="B975" i="13"/>
  <c r="L973" i="13"/>
  <c r="I972" i="13"/>
  <c r="F971" i="13"/>
  <c r="C970" i="13"/>
  <c r="H1203" i="13"/>
  <c r="J1193" i="13"/>
  <c r="L1183" i="13"/>
  <c r="L1174" i="13"/>
  <c r="A1158" i="13"/>
  <c r="B1144" i="13"/>
  <c r="J1130" i="13"/>
  <c r="B1120" i="13"/>
  <c r="F1109" i="13"/>
  <c r="E1099" i="13"/>
  <c r="G1089" i="13"/>
  <c r="I1079" i="13"/>
  <c r="K1069" i="13"/>
  <c r="M1059" i="13"/>
  <c r="B1050" i="13"/>
  <c r="D1040" i="13"/>
  <c r="F1030" i="13"/>
  <c r="H1020" i="13"/>
  <c r="J1010" i="13"/>
  <c r="G1001" i="13"/>
  <c r="D996" i="13"/>
  <c r="E991" i="13"/>
  <c r="F986" i="13"/>
  <c r="G981" i="13"/>
  <c r="H976" i="13"/>
  <c r="I971" i="13"/>
  <c r="M967" i="13"/>
  <c r="G965" i="13"/>
  <c r="A963" i="13"/>
  <c r="F960" i="13"/>
  <c r="J957" i="13"/>
  <c r="B955" i="13"/>
  <c r="F952" i="13"/>
  <c r="J949" i="13"/>
  <c r="B947" i="13"/>
  <c r="F944" i="13"/>
  <c r="J941" i="13"/>
  <c r="B939" i="13"/>
  <c r="H936" i="13"/>
  <c r="B934" i="13"/>
  <c r="I931" i="13"/>
  <c r="C929" i="13"/>
  <c r="J926" i="13"/>
  <c r="D924" i="13"/>
  <c r="K921" i="13"/>
  <c r="E919" i="13"/>
  <c r="L916" i="13"/>
  <c r="F914" i="13"/>
  <c r="M911" i="13"/>
  <c r="G909" i="13"/>
  <c r="A907" i="13"/>
  <c r="H904" i="13"/>
  <c r="B902" i="13"/>
  <c r="I899" i="13"/>
  <c r="C897" i="13"/>
  <c r="J894" i="13"/>
  <c r="D892" i="13"/>
  <c r="K889" i="13"/>
  <c r="E887" i="13"/>
  <c r="L884" i="13"/>
  <c r="F882" i="13"/>
  <c r="M879" i="13"/>
  <c r="G877" i="13"/>
  <c r="A875" i="13"/>
  <c r="H872" i="13"/>
  <c r="B870" i="13"/>
  <c r="I867" i="13"/>
  <c r="B865" i="13"/>
  <c r="F862" i="13"/>
  <c r="J859" i="13"/>
  <c r="B857" i="13"/>
  <c r="F854" i="13"/>
  <c r="J851" i="13"/>
  <c r="B849" i="13"/>
  <c r="G846" i="13"/>
  <c r="J844" i="13"/>
  <c r="A843" i="13"/>
  <c r="D841" i="13"/>
  <c r="I839" i="13"/>
  <c r="A838" i="13"/>
  <c r="E836" i="13"/>
  <c r="J834" i="13"/>
  <c r="B833" i="13"/>
  <c r="F831" i="13"/>
  <c r="K829" i="13"/>
  <c r="C828" i="13"/>
  <c r="G826" i="13"/>
  <c r="L824" i="13"/>
  <c r="D823" i="13"/>
  <c r="H821" i="13"/>
  <c r="M819" i="13"/>
  <c r="E818" i="13"/>
  <c r="I816" i="13"/>
  <c r="A815" i="13"/>
  <c r="F813" i="13"/>
  <c r="J811" i="13"/>
  <c r="B810" i="13"/>
  <c r="G808" i="13"/>
  <c r="K806" i="13"/>
  <c r="C805" i="13"/>
  <c r="H803" i="13"/>
  <c r="L801" i="13"/>
  <c r="D800" i="13"/>
  <c r="I798" i="13"/>
  <c r="M796" i="13"/>
  <c r="E795" i="13"/>
  <c r="J793" i="13"/>
  <c r="A792" i="13"/>
  <c r="F790" i="13"/>
  <c r="K788" i="13"/>
  <c r="B787" i="13"/>
  <c r="G785" i="13"/>
  <c r="L783" i="13"/>
  <c r="C782" i="13"/>
  <c r="H780" i="13"/>
  <c r="M778" i="13"/>
  <c r="D777" i="13"/>
  <c r="I775" i="13"/>
  <c r="A774" i="13"/>
  <c r="E772" i="13"/>
  <c r="J770" i="13"/>
  <c r="A769" i="13"/>
  <c r="C767" i="13"/>
  <c r="F765" i="13"/>
  <c r="A764" i="13"/>
  <c r="I762" i="13"/>
  <c r="E761" i="13"/>
  <c r="A760" i="13"/>
  <c r="I758" i="13"/>
  <c r="E757" i="13"/>
  <c r="A756" i="13"/>
  <c r="I754" i="13"/>
  <c r="E753" i="13"/>
  <c r="A752" i="13"/>
  <c r="I750" i="13"/>
  <c r="E749" i="13"/>
  <c r="A748" i="13"/>
  <c r="I746" i="13"/>
  <c r="E745" i="13"/>
  <c r="A744" i="13"/>
  <c r="I742" i="13"/>
  <c r="E741" i="13"/>
  <c r="A740" i="13"/>
  <c r="I738" i="13"/>
  <c r="E737" i="13"/>
  <c r="A736" i="13"/>
  <c r="I734" i="13"/>
  <c r="E733" i="13"/>
  <c r="A732" i="13"/>
  <c r="I730" i="13"/>
  <c r="E729" i="13"/>
  <c r="A728" i="13"/>
  <c r="I726" i="13"/>
  <c r="E725" i="13"/>
  <c r="A724" i="13"/>
  <c r="I722" i="13"/>
  <c r="E721" i="13"/>
  <c r="A720" i="13"/>
  <c r="I718" i="13"/>
  <c r="E717" i="13"/>
  <c r="A716" i="13"/>
  <c r="I714" i="13"/>
  <c r="E713" i="13"/>
  <c r="A712" i="13"/>
  <c r="I710" i="13"/>
  <c r="E709" i="13"/>
  <c r="A708" i="13"/>
  <c r="I706" i="13"/>
  <c r="E705" i="13"/>
  <c r="A704" i="13"/>
  <c r="I702" i="13"/>
  <c r="E701" i="13"/>
  <c r="A700" i="13"/>
  <c r="I698" i="13"/>
  <c r="E697" i="13"/>
  <c r="A696" i="13"/>
  <c r="I694" i="13"/>
  <c r="E693" i="13"/>
  <c r="A692" i="13"/>
  <c r="I690" i="13"/>
  <c r="E689" i="13"/>
  <c r="A688" i="13"/>
  <c r="I686" i="13"/>
  <c r="E685" i="13"/>
  <c r="A684" i="13"/>
  <c r="I682" i="13"/>
  <c r="E681" i="13"/>
  <c r="A680" i="13"/>
  <c r="I678" i="13"/>
  <c r="E677" i="13"/>
  <c r="A676" i="13"/>
  <c r="I674" i="13"/>
  <c r="F673" i="13"/>
  <c r="C672" i="13"/>
  <c r="M670" i="13"/>
  <c r="J669" i="13"/>
  <c r="G668" i="13"/>
  <c r="D667" i="13"/>
  <c r="A666" i="13"/>
  <c r="K664" i="13"/>
  <c r="H663" i="13"/>
  <c r="E662" i="13"/>
  <c r="B661" i="13"/>
  <c r="L659" i="13"/>
  <c r="I658" i="13"/>
  <c r="F657" i="13"/>
  <c r="C656" i="13"/>
  <c r="M654" i="13"/>
  <c r="J653" i="13"/>
  <c r="G652" i="13"/>
  <c r="D651" i="13"/>
  <c r="A650" i="13"/>
  <c r="K648" i="13"/>
  <c r="H647" i="13"/>
  <c r="E646" i="13"/>
  <c r="B645" i="13"/>
  <c r="L643" i="13"/>
  <c r="I642" i="13"/>
  <c r="F641" i="13"/>
  <c r="C640" i="13"/>
  <c r="M638" i="13"/>
  <c r="J637" i="13"/>
  <c r="G636" i="13"/>
  <c r="D635" i="13"/>
  <c r="A634" i="13"/>
  <c r="K632" i="13"/>
  <c r="H631" i="13"/>
  <c r="E630" i="13"/>
  <c r="B629" i="13"/>
  <c r="L627" i="13"/>
  <c r="I626" i="13"/>
  <c r="F625" i="13"/>
  <c r="C624" i="13"/>
  <c r="M622" i="13"/>
  <c r="J621" i="13"/>
  <c r="G620" i="13"/>
  <c r="D619" i="13"/>
  <c r="A618" i="13"/>
  <c r="K616" i="13"/>
  <c r="H615" i="13"/>
  <c r="E614" i="13"/>
  <c r="B613" i="13"/>
  <c r="L611" i="13"/>
  <c r="I610" i="13"/>
  <c r="F609" i="13"/>
  <c r="C608" i="13"/>
  <c r="M606" i="13"/>
  <c r="J605" i="13"/>
  <c r="G604" i="13"/>
  <c r="D603" i="13"/>
  <c r="A602" i="13"/>
  <c r="K600" i="13"/>
  <c r="H599" i="13"/>
  <c r="E598" i="13"/>
  <c r="B597" i="13"/>
  <c r="L595" i="13"/>
  <c r="I594" i="13"/>
  <c r="F593" i="13"/>
  <c r="C592" i="13"/>
  <c r="J1168" i="13"/>
  <c r="M1153" i="13"/>
  <c r="I1139" i="13"/>
  <c r="F1127" i="13"/>
  <c r="J1116" i="13"/>
  <c r="B1106" i="13"/>
  <c r="D1096" i="13"/>
  <c r="F1086" i="13"/>
  <c r="H1076" i="13"/>
  <c r="J1066" i="13"/>
  <c r="L1056" i="13"/>
  <c r="A1047" i="13"/>
  <c r="C1037" i="13"/>
  <c r="E1027" i="13"/>
  <c r="G1017" i="13"/>
  <c r="I1007" i="13"/>
  <c r="I999" i="13"/>
  <c r="J994" i="13"/>
  <c r="K989" i="13"/>
  <c r="L984" i="13"/>
  <c r="M979" i="13"/>
  <c r="A975" i="13"/>
  <c r="B970" i="13"/>
  <c r="B967" i="13"/>
  <c r="I964" i="13"/>
  <c r="C962" i="13"/>
  <c r="G959" i="13"/>
  <c r="L956" i="13"/>
  <c r="C954" i="13"/>
  <c r="G951" i="13"/>
  <c r="L948" i="13"/>
  <c r="C946" i="13"/>
  <c r="G943" i="13"/>
  <c r="L940" i="13"/>
  <c r="C938" i="13"/>
  <c r="J935" i="13"/>
  <c r="D933" i="13"/>
  <c r="K930" i="13"/>
  <c r="E928" i="13"/>
  <c r="L925" i="13"/>
  <c r="F923" i="13"/>
  <c r="M920" i="13"/>
  <c r="G918" i="13"/>
  <c r="A916" i="13"/>
  <c r="H913" i="13"/>
  <c r="B911" i="13"/>
  <c r="I908" i="13"/>
  <c r="C906" i="13"/>
  <c r="J903" i="13"/>
  <c r="D901" i="13"/>
  <c r="K898" i="13"/>
  <c r="E896" i="13"/>
  <c r="L893" i="13"/>
  <c r="F891" i="13"/>
  <c r="M888" i="13"/>
  <c r="G886" i="13"/>
  <c r="A884" i="13"/>
  <c r="H881" i="13"/>
  <c r="B879" i="13"/>
  <c r="I876" i="13"/>
  <c r="C874" i="13"/>
  <c r="J871" i="13"/>
  <c r="D869" i="13"/>
  <c r="K866" i="13"/>
  <c r="C864" i="13"/>
  <c r="G861" i="13"/>
  <c r="L858" i="13"/>
  <c r="C856" i="13"/>
  <c r="G853" i="13"/>
  <c r="L850" i="13"/>
  <c r="C848" i="13"/>
  <c r="A846" i="13"/>
  <c r="C844" i="13"/>
  <c r="F842" i="13"/>
  <c r="K840" i="13"/>
  <c r="B839" i="13"/>
  <c r="G837" i="13"/>
  <c r="L835" i="13"/>
  <c r="C834" i="13"/>
  <c r="H832" i="13"/>
  <c r="M830" i="13"/>
  <c r="D829" i="13"/>
  <c r="I827" i="13"/>
  <c r="A826" i="13"/>
  <c r="E824" i="13"/>
  <c r="J822" i="13"/>
  <c r="B821" i="13"/>
  <c r="F819" i="13"/>
  <c r="K817" i="13"/>
  <c r="C816" i="13"/>
  <c r="G814" i="13"/>
  <c r="L812" i="13"/>
  <c r="D811" i="13"/>
  <c r="H809" i="13"/>
  <c r="M807" i="13"/>
  <c r="E806" i="13"/>
  <c r="I804" i="13"/>
  <c r="A803" i="13"/>
  <c r="F801" i="13"/>
  <c r="J799" i="13"/>
  <c r="B798" i="13"/>
  <c r="G796" i="13"/>
  <c r="K794" i="13"/>
  <c r="C793" i="13"/>
  <c r="H791" i="13"/>
  <c r="L789" i="13"/>
  <c r="D788" i="13"/>
  <c r="I786" i="13"/>
  <c r="M784" i="13"/>
  <c r="E783" i="13"/>
  <c r="J781" i="13"/>
  <c r="A780" i="13"/>
  <c r="F778" i="13"/>
  <c r="K776" i="13"/>
  <c r="B775" i="13"/>
  <c r="G773" i="13"/>
  <c r="L771" i="13"/>
  <c r="C770" i="13"/>
  <c r="F768" i="13"/>
  <c r="I766" i="13"/>
  <c r="M764" i="13"/>
  <c r="H763" i="13"/>
  <c r="D762" i="13"/>
  <c r="M760" i="13"/>
  <c r="H759" i="13"/>
  <c r="D758" i="13"/>
  <c r="M756" i="13"/>
  <c r="H755" i="13"/>
  <c r="D754" i="13"/>
  <c r="M752" i="13"/>
  <c r="H751" i="13"/>
  <c r="D750" i="13"/>
  <c r="M748" i="13"/>
  <c r="H747" i="13"/>
  <c r="D746" i="13"/>
  <c r="M744" i="13"/>
  <c r="H743" i="13"/>
  <c r="D742" i="13"/>
  <c r="M740" i="13"/>
  <c r="H739" i="13"/>
  <c r="D738" i="13"/>
  <c r="M736" i="13"/>
  <c r="H735" i="13"/>
  <c r="D734" i="13"/>
  <c r="M732" i="13"/>
  <c r="H731" i="13"/>
  <c r="D730" i="13"/>
  <c r="M728" i="13"/>
  <c r="H727" i="13"/>
  <c r="D726" i="13"/>
  <c r="M724" i="13"/>
  <c r="H723" i="13"/>
  <c r="D722" i="13"/>
  <c r="M720" i="13"/>
  <c r="H719" i="13"/>
  <c r="D718" i="13"/>
  <c r="M716" i="13"/>
  <c r="H715" i="13"/>
  <c r="D714" i="13"/>
  <c r="M712" i="13"/>
  <c r="H711" i="13"/>
  <c r="D710" i="13"/>
  <c r="M708" i="13"/>
  <c r="H707" i="13"/>
  <c r="D706" i="13"/>
  <c r="M704" i="13"/>
  <c r="H703" i="13"/>
  <c r="D702" i="13"/>
  <c r="M700" i="13"/>
  <c r="H699" i="13"/>
  <c r="D698" i="13"/>
  <c r="M696" i="13"/>
  <c r="H695" i="13"/>
  <c r="D694" i="13"/>
  <c r="M692" i="13"/>
  <c r="H691" i="13"/>
  <c r="D690" i="13"/>
  <c r="M688" i="13"/>
  <c r="H687" i="13"/>
  <c r="D686" i="13"/>
  <c r="M684" i="13"/>
  <c r="H683" i="13"/>
  <c r="D682" i="13"/>
  <c r="M680" i="13"/>
  <c r="H679" i="13"/>
  <c r="D678" i="13"/>
  <c r="M676" i="13"/>
  <c r="D676" i="13"/>
  <c r="M674" i="13"/>
  <c r="I673" i="13"/>
  <c r="F672" i="13"/>
  <c r="C671" i="13"/>
  <c r="M669" i="13"/>
  <c r="J668" i="13"/>
  <c r="G667" i="13"/>
  <c r="D666" i="13"/>
  <c r="A665" i="13"/>
  <c r="K663" i="13"/>
  <c r="H662" i="13"/>
  <c r="E661" i="13"/>
  <c r="B660" i="13"/>
  <c r="L658" i="13"/>
  <c r="I657" i="13"/>
  <c r="F656" i="13"/>
  <c r="C655" i="13"/>
  <c r="M653" i="13"/>
  <c r="J652" i="13"/>
  <c r="G651" i="13"/>
  <c r="D650" i="13"/>
  <c r="A649" i="13"/>
  <c r="K647" i="13"/>
  <c r="H646" i="13"/>
  <c r="E645" i="13"/>
  <c r="B644" i="13"/>
  <c r="L642" i="13"/>
  <c r="I641" i="13"/>
  <c r="F640" i="13"/>
  <c r="C639" i="13"/>
  <c r="M637" i="13"/>
  <c r="J636" i="13"/>
  <c r="G635" i="13"/>
  <c r="D634" i="13"/>
  <c r="A633" i="13"/>
  <c r="K631" i="13"/>
  <c r="H630" i="13"/>
  <c r="E629" i="13"/>
  <c r="B628" i="13"/>
  <c r="L626" i="13"/>
  <c r="I625" i="13"/>
  <c r="F624" i="13"/>
  <c r="C623" i="13"/>
  <c r="M621" i="13"/>
  <c r="J620" i="13"/>
  <c r="G619" i="13"/>
  <c r="D618" i="13"/>
  <c r="A617" i="13"/>
  <c r="K615" i="13"/>
  <c r="H614" i="13"/>
  <c r="E613" i="13"/>
  <c r="B612" i="13"/>
  <c r="L610" i="13"/>
  <c r="I609" i="13"/>
  <c r="F608" i="13"/>
  <c r="C607" i="13"/>
  <c r="M605" i="13"/>
  <c r="J604" i="13"/>
  <c r="G603" i="13"/>
  <c r="D602" i="13"/>
  <c r="A601" i="13"/>
  <c r="K599" i="13"/>
  <c r="H598" i="13"/>
  <c r="E597" i="13"/>
  <c r="B596" i="13"/>
  <c r="L594" i="13"/>
  <c r="I593" i="13"/>
  <c r="F592" i="13"/>
  <c r="C591" i="13"/>
  <c r="I1159" i="13"/>
  <c r="M1145" i="13"/>
  <c r="B1132" i="13"/>
  <c r="F1121" i="13"/>
  <c r="J1110" i="13"/>
  <c r="H1100" i="13"/>
  <c r="J1090" i="13"/>
  <c r="L1080" i="13"/>
  <c r="A1071" i="13"/>
  <c r="C1061" i="13"/>
  <c r="E1051" i="13"/>
  <c r="G1041" i="13"/>
  <c r="I1031" i="13"/>
  <c r="K1021" i="13"/>
  <c r="M1011" i="13"/>
  <c r="E1002" i="13"/>
  <c r="L996" i="13"/>
  <c r="M991" i="13"/>
  <c r="A987" i="13"/>
  <c r="C1171" i="13"/>
  <c r="B1118" i="13"/>
  <c r="K1077" i="13"/>
  <c r="F1038" i="13"/>
  <c r="D1000" i="13"/>
  <c r="K981" i="13"/>
  <c r="M971" i="13"/>
  <c r="H965" i="13"/>
  <c r="G960" i="13"/>
  <c r="C955" i="13"/>
  <c r="L949" i="13"/>
  <c r="G944" i="13"/>
  <c r="C939" i="13"/>
  <c r="C934" i="13"/>
  <c r="D929" i="13"/>
  <c r="E924" i="13"/>
  <c r="F919" i="13"/>
  <c r="G914" i="13"/>
  <c r="H909" i="13"/>
  <c r="I904" i="13"/>
  <c r="J899" i="13"/>
  <c r="K894" i="13"/>
  <c r="L889" i="13"/>
  <c r="M884" i="13"/>
  <c r="A880" i="13"/>
  <c r="B875" i="13"/>
  <c r="C870" i="13"/>
  <c r="C865" i="13"/>
  <c r="L859" i="13"/>
  <c r="G854" i="13"/>
  <c r="C849" i="13"/>
  <c r="L844" i="13"/>
  <c r="F841" i="13"/>
  <c r="B838" i="13"/>
  <c r="K834" i="13"/>
  <c r="H831" i="13"/>
  <c r="D828" i="13"/>
  <c r="M824" i="13"/>
  <c r="J821" i="13"/>
  <c r="F818" i="13"/>
  <c r="B815" i="13"/>
  <c r="L811" i="13"/>
  <c r="H808" i="13"/>
  <c r="D805" i="13"/>
  <c r="A802" i="13"/>
  <c r="J798" i="13"/>
  <c r="F795" i="13"/>
  <c r="C792" i="13"/>
  <c r="L788" i="13"/>
  <c r="H785" i="13"/>
  <c r="E782" i="13"/>
  <c r="A779" i="13"/>
  <c r="J775" i="13"/>
  <c r="G772" i="13"/>
  <c r="B769" i="13"/>
  <c r="G765" i="13"/>
  <c r="J762" i="13"/>
  <c r="B760" i="13"/>
  <c r="F757" i="13"/>
  <c r="J754" i="13"/>
  <c r="B752" i="13"/>
  <c r="F749" i="13"/>
  <c r="J746" i="13"/>
  <c r="B744" i="13"/>
  <c r="F741" i="13"/>
  <c r="J738" i="13"/>
  <c r="B736" i="13"/>
  <c r="F733" i="13"/>
  <c r="J730" i="13"/>
  <c r="B728" i="13"/>
  <c r="F725" i="13"/>
  <c r="J722" i="13"/>
  <c r="B720" i="13"/>
  <c r="F717" i="13"/>
  <c r="J714" i="13"/>
  <c r="B712" i="13"/>
  <c r="F709" i="13"/>
  <c r="J706" i="13"/>
  <c r="B704" i="13"/>
  <c r="F701" i="13"/>
  <c r="J698" i="13"/>
  <c r="B696" i="13"/>
  <c r="F693" i="13"/>
  <c r="J690" i="13"/>
  <c r="B688" i="13"/>
  <c r="F685" i="13"/>
  <c r="J682" i="13"/>
  <c r="B680" i="13"/>
  <c r="F677" i="13"/>
  <c r="J674" i="13"/>
  <c r="D672" i="13"/>
  <c r="K669" i="13"/>
  <c r="E667" i="13"/>
  <c r="L664" i="13"/>
  <c r="F662" i="13"/>
  <c r="M659" i="13"/>
  <c r="G657" i="13"/>
  <c r="A655" i="13"/>
  <c r="H652" i="13"/>
  <c r="B650" i="13"/>
  <c r="I647" i="13"/>
  <c r="C645" i="13"/>
  <c r="J642" i="13"/>
  <c r="D640" i="13"/>
  <c r="K637" i="13"/>
  <c r="E635" i="13"/>
  <c r="L632" i="13"/>
  <c r="F630" i="13"/>
  <c r="M627" i="13"/>
  <c r="G625" i="13"/>
  <c r="A623" i="13"/>
  <c r="H620" i="13"/>
  <c r="B618" i="13"/>
  <c r="I615" i="13"/>
  <c r="C613" i="13"/>
  <c r="J610" i="13"/>
  <c r="D608" i="13"/>
  <c r="K605" i="13"/>
  <c r="E603" i="13"/>
  <c r="L600" i="13"/>
  <c r="F598" i="13"/>
  <c r="M595" i="13"/>
  <c r="G593" i="13"/>
  <c r="B591" i="13"/>
  <c r="L589" i="13"/>
  <c r="I588" i="13"/>
  <c r="F587" i="13"/>
  <c r="C586" i="13"/>
  <c r="M584" i="13"/>
  <c r="B1152" i="13"/>
  <c r="L1104" i="13"/>
  <c r="G1065" i="13"/>
  <c r="B1026" i="13"/>
  <c r="B994" i="13"/>
  <c r="F978" i="13"/>
  <c r="L968" i="13"/>
  <c r="M963" i="13"/>
  <c r="J958" i="13"/>
  <c r="F953" i="13"/>
  <c r="B948" i="13"/>
  <c r="J942" i="13"/>
  <c r="G937" i="13"/>
  <c r="H932" i="13"/>
  <c r="I927" i="13"/>
  <c r="J922" i="13"/>
  <c r="K917" i="13"/>
  <c r="L912" i="13"/>
  <c r="M907" i="13"/>
  <c r="A903" i="13"/>
  <c r="B898" i="13"/>
  <c r="C893" i="13"/>
  <c r="D888" i="13"/>
  <c r="E883" i="13"/>
  <c r="F878" i="13"/>
  <c r="G873" i="13"/>
  <c r="H868" i="13"/>
  <c r="F863" i="13"/>
  <c r="B858" i="13"/>
  <c r="J852" i="13"/>
  <c r="F847" i="13"/>
  <c r="I843" i="13"/>
  <c r="D840" i="13"/>
  <c r="M836" i="13"/>
  <c r="J833" i="13"/>
  <c r="F830" i="13"/>
  <c r="B827" i="13"/>
  <c r="L823" i="13"/>
  <c r="H820" i="13"/>
  <c r="D817" i="13"/>
  <c r="A814" i="13"/>
  <c r="J810" i="13"/>
  <c r="F807" i="13"/>
  <c r="C804" i="13"/>
  <c r="L800" i="13"/>
  <c r="H797" i="13"/>
  <c r="E794" i="13"/>
  <c r="A791" i="13"/>
  <c r="J787" i="13"/>
  <c r="G784" i="13"/>
  <c r="C781" i="13"/>
  <c r="L777" i="13"/>
  <c r="I774" i="13"/>
  <c r="E771" i="13"/>
  <c r="L767" i="13"/>
  <c r="G764" i="13"/>
  <c r="L761" i="13"/>
  <c r="C759" i="13"/>
  <c r="G756" i="13"/>
  <c r="L753" i="13"/>
  <c r="C751" i="13"/>
  <c r="G748" i="13"/>
  <c r="L745" i="13"/>
  <c r="C743" i="13"/>
  <c r="G740" i="13"/>
  <c r="L737" i="13"/>
  <c r="C735" i="13"/>
  <c r="G732" i="13"/>
  <c r="L729" i="13"/>
  <c r="C727" i="13"/>
  <c r="G724" i="13"/>
  <c r="L721" i="13"/>
  <c r="C719" i="13"/>
  <c r="G716" i="13"/>
  <c r="L713" i="13"/>
  <c r="C711" i="13"/>
  <c r="G708" i="13"/>
  <c r="L705" i="13"/>
  <c r="C703" i="13"/>
  <c r="G700" i="13"/>
  <c r="L697" i="13"/>
  <c r="C695" i="13"/>
  <c r="G692" i="13"/>
  <c r="L689" i="13"/>
  <c r="C687" i="13"/>
  <c r="G684" i="13"/>
  <c r="L681" i="13"/>
  <c r="C679" i="13"/>
  <c r="G676" i="13"/>
  <c r="L673" i="13"/>
  <c r="F671" i="13"/>
  <c r="M668" i="13"/>
  <c r="G666" i="13"/>
  <c r="A664" i="13"/>
  <c r="H661" i="13"/>
  <c r="B659" i="13"/>
  <c r="I656" i="13"/>
  <c r="C654" i="13"/>
  <c r="J651" i="13"/>
  <c r="D649" i="13"/>
  <c r="K646" i="13"/>
  <c r="E644" i="13"/>
  <c r="L641" i="13"/>
  <c r="F639" i="13"/>
  <c r="M636" i="13"/>
  <c r="G634" i="13"/>
  <c r="A632" i="13"/>
  <c r="H629" i="13"/>
  <c r="B627" i="13"/>
  <c r="I624" i="13"/>
  <c r="C622" i="13"/>
  <c r="J619" i="13"/>
  <c r="D617" i="13"/>
  <c r="K614" i="13"/>
  <c r="E612" i="13"/>
  <c r="L609" i="13"/>
  <c r="F607" i="13"/>
  <c r="M604" i="13"/>
  <c r="G602" i="13"/>
  <c r="A600" i="13"/>
  <c r="H597" i="13"/>
  <c r="B595" i="13"/>
  <c r="I592" i="13"/>
  <c r="J590" i="13"/>
  <c r="G589" i="13"/>
  <c r="D588" i="13"/>
  <c r="A587" i="13"/>
  <c r="K585" i="13"/>
  <c r="H584" i="13"/>
  <c r="H1148" i="13"/>
  <c r="F1102" i="13"/>
  <c r="A1063" i="13"/>
  <c r="I1023" i="13"/>
  <c r="L992" i="13"/>
  <c r="B978" i="13"/>
  <c r="I968" i="13"/>
  <c r="J963" i="13"/>
  <c r="G958" i="13"/>
  <c r="C953" i="13"/>
  <c r="L947" i="13"/>
  <c r="G942" i="13"/>
  <c r="D937" i="13"/>
  <c r="E932" i="13"/>
  <c r="F927" i="13"/>
  <c r="G922" i="13"/>
  <c r="H917" i="13"/>
  <c r="I912" i="13"/>
  <c r="J907" i="13"/>
  <c r="K902" i="13"/>
  <c r="L897" i="13"/>
  <c r="M892" i="13"/>
  <c r="A888" i="13"/>
  <c r="B883" i="13"/>
  <c r="C878" i="13"/>
  <c r="D873" i="13"/>
  <c r="E868" i="13"/>
  <c r="C863" i="13"/>
  <c r="L857" i="13"/>
  <c r="G852" i="13"/>
  <c r="C847" i="13"/>
  <c r="G843" i="13"/>
  <c r="C840" i="13"/>
  <c r="L836" i="13"/>
  <c r="H833" i="13"/>
  <c r="E830" i="13"/>
  <c r="A827" i="13"/>
  <c r="J823" i="13"/>
  <c r="G820" i="13"/>
  <c r="C817" i="13"/>
  <c r="L813" i="13"/>
  <c r="I810" i="13"/>
  <c r="E807" i="13"/>
  <c r="A804" i="13"/>
  <c r="K800" i="13"/>
  <c r="G797" i="13"/>
  <c r="C794" i="13"/>
  <c r="M790" i="13"/>
  <c r="I787" i="13"/>
  <c r="E784" i="13"/>
  <c r="B781" i="13"/>
  <c r="K777" i="13"/>
  <c r="G774" i="13"/>
  <c r="D771" i="13"/>
  <c r="J767" i="13"/>
  <c r="F764" i="13"/>
  <c r="J761" i="13"/>
  <c r="B759" i="13"/>
  <c r="F756" i="13"/>
  <c r="J753" i="13"/>
  <c r="B751" i="13"/>
  <c r="F748" i="13"/>
  <c r="J745" i="13"/>
  <c r="B743" i="13"/>
  <c r="F740" i="13"/>
  <c r="J737" i="13"/>
  <c r="B735" i="13"/>
  <c r="F732" i="13"/>
  <c r="J729" i="13"/>
  <c r="B727" i="13"/>
  <c r="F724" i="13"/>
  <c r="J721" i="13"/>
  <c r="B719" i="13"/>
  <c r="F716" i="13"/>
  <c r="J713" i="13"/>
  <c r="B711" i="13"/>
  <c r="F708" i="13"/>
  <c r="J705" i="13"/>
  <c r="B703" i="13"/>
  <c r="F700" i="13"/>
  <c r="J697" i="13"/>
  <c r="B695" i="13"/>
  <c r="F692" i="13"/>
  <c r="J689" i="13"/>
  <c r="B687" i="13"/>
  <c r="F684" i="13"/>
  <c r="J681" i="13"/>
  <c r="B679" i="13"/>
  <c r="F676" i="13"/>
  <c r="K673" i="13"/>
  <c r="E671" i="13"/>
  <c r="L668" i="13"/>
  <c r="F666" i="13"/>
  <c r="M663" i="13"/>
  <c r="G661" i="13"/>
  <c r="A659" i="13"/>
  <c r="H656" i="13"/>
  <c r="B654" i="13"/>
  <c r="I651" i="13"/>
  <c r="C649" i="13"/>
  <c r="J646" i="13"/>
  <c r="D644" i="13"/>
  <c r="K641" i="13"/>
  <c r="E639" i="13"/>
  <c r="L636" i="13"/>
  <c r="F634" i="13"/>
  <c r="M631" i="13"/>
  <c r="G629" i="13"/>
  <c r="A627" i="13"/>
  <c r="H624" i="13"/>
  <c r="B622" i="13"/>
  <c r="I619" i="13"/>
  <c r="C617" i="13"/>
  <c r="J614" i="13"/>
  <c r="D612" i="13"/>
  <c r="K609" i="13"/>
  <c r="E607" i="13"/>
  <c r="L604" i="13"/>
  <c r="F602" i="13"/>
  <c r="M599" i="13"/>
  <c r="G597" i="13"/>
  <c r="A595" i="13"/>
  <c r="H592" i="13"/>
  <c r="I590" i="13"/>
  <c r="F589" i="13"/>
  <c r="C588" i="13"/>
  <c r="M586" i="13"/>
  <c r="J585" i="13"/>
  <c r="F1070" i="13"/>
  <c r="K969" i="13"/>
  <c r="J948" i="13"/>
  <c r="D928" i="13"/>
  <c r="H908" i="13"/>
  <c r="L888" i="13"/>
  <c r="C869" i="13"/>
  <c r="B848" i="13"/>
  <c r="B834" i="13"/>
  <c r="M820" i="13"/>
  <c r="L807" i="13"/>
  <c r="J794" i="13"/>
  <c r="H781" i="13"/>
  <c r="E768" i="13"/>
  <c r="L756" i="13"/>
  <c r="C746" i="13"/>
  <c r="G735" i="13"/>
  <c r="L724" i="13"/>
  <c r="C714" i="13"/>
  <c r="G703" i="13"/>
  <c r="L692" i="13"/>
  <c r="C682" i="13"/>
  <c r="J671" i="13"/>
  <c r="L661" i="13"/>
  <c r="A652" i="13"/>
  <c r="C642" i="13"/>
  <c r="E632" i="13"/>
  <c r="G622" i="13"/>
  <c r="I612" i="13"/>
  <c r="K602" i="13"/>
  <c r="M592" i="13"/>
  <c r="C587" i="13"/>
  <c r="L583" i="13"/>
  <c r="I582" i="13"/>
  <c r="F581" i="13"/>
  <c r="C580" i="13"/>
  <c r="M578" i="13"/>
  <c r="J577" i="13"/>
  <c r="G576" i="13"/>
  <c r="M675" i="13"/>
  <c r="H674" i="13"/>
  <c r="E673" i="13"/>
  <c r="B672" i="13"/>
  <c r="L670" i="13"/>
  <c r="I669" i="13"/>
  <c r="F668" i="13"/>
  <c r="C667" i="13"/>
  <c r="M665" i="13"/>
  <c r="J664" i="13"/>
  <c r="G663" i="13"/>
  <c r="D662" i="13"/>
  <c r="A661" i="13"/>
  <c r="K659" i="13"/>
  <c r="H658" i="13"/>
  <c r="E657" i="13"/>
  <c r="B656" i="13"/>
  <c r="L654" i="13"/>
  <c r="I653" i="13"/>
  <c r="F652" i="13"/>
  <c r="C651" i="13"/>
  <c r="M649" i="13"/>
  <c r="J648" i="13"/>
  <c r="G647" i="13"/>
  <c r="D646" i="13"/>
  <c r="A645" i="13"/>
  <c r="K643" i="13"/>
  <c r="H642" i="13"/>
  <c r="E641" i="13"/>
  <c r="B640" i="13"/>
  <c r="L638" i="13"/>
  <c r="I637" i="13"/>
  <c r="F636" i="13"/>
  <c r="C635" i="13"/>
  <c r="M633" i="13"/>
  <c r="J632" i="13"/>
  <c r="G631" i="13"/>
  <c r="D630" i="13"/>
  <c r="A629" i="13"/>
  <c r="K627" i="13"/>
  <c r="H626" i="13"/>
  <c r="E625" i="13"/>
  <c r="B624" i="13"/>
  <c r="L622" i="13"/>
  <c r="I621" i="13"/>
  <c r="F620" i="13"/>
  <c r="C619" i="13"/>
  <c r="M617" i="13"/>
  <c r="J616" i="13"/>
  <c r="G615" i="13"/>
  <c r="D614" i="13"/>
  <c r="A613" i="13"/>
  <c r="K611" i="13"/>
  <c r="H610" i="13"/>
  <c r="E609" i="13"/>
  <c r="B608" i="13"/>
  <c r="L606" i="13"/>
  <c r="I605" i="13"/>
  <c r="F604" i="13"/>
  <c r="C603" i="13"/>
  <c r="M601" i="13"/>
  <c r="J600" i="13"/>
  <c r="G599" i="13"/>
  <c r="D598" i="13"/>
  <c r="A597" i="13"/>
  <c r="K595" i="13"/>
  <c r="H594" i="13"/>
  <c r="E593" i="13"/>
  <c r="B592" i="13"/>
  <c r="F1172" i="13"/>
  <c r="F1156" i="13"/>
  <c r="E1142" i="13"/>
  <c r="F1129" i="13"/>
  <c r="J1118" i="13"/>
  <c r="B1108" i="13"/>
  <c r="B1098" i="13"/>
  <c r="D1088" i="13"/>
  <c r="F1078" i="13"/>
  <c r="H1068" i="13"/>
  <c r="J1058" i="13"/>
  <c r="L1048" i="13"/>
  <c r="A1039" i="13"/>
  <c r="C1029" i="13"/>
  <c r="E1019" i="13"/>
  <c r="G1009" i="13"/>
  <c r="I1000" i="13"/>
  <c r="I995" i="13"/>
  <c r="J990" i="13"/>
  <c r="K985" i="13"/>
  <c r="H1155" i="13"/>
  <c r="F1107" i="13"/>
  <c r="M1067" i="13"/>
  <c r="H1028" i="13"/>
  <c r="E995" i="13"/>
  <c r="E979" i="13"/>
  <c r="G969" i="13"/>
  <c r="E964" i="13"/>
  <c r="C959" i="13"/>
  <c r="L953" i="13"/>
  <c r="G948" i="13"/>
  <c r="C943" i="13"/>
  <c r="L937" i="13"/>
  <c r="M932" i="13"/>
  <c r="A928" i="13"/>
  <c r="B923" i="13"/>
  <c r="C918" i="13"/>
  <c r="D913" i="13"/>
  <c r="E908" i="13"/>
  <c r="F903" i="13"/>
  <c r="G898" i="13"/>
  <c r="H893" i="13"/>
  <c r="I888" i="13"/>
  <c r="J883" i="13"/>
  <c r="K878" i="13"/>
  <c r="L873" i="13"/>
  <c r="M868" i="13"/>
  <c r="L863" i="13"/>
  <c r="G858" i="13"/>
  <c r="C853" i="13"/>
  <c r="L847" i="13"/>
  <c r="A844" i="13"/>
  <c r="H840" i="13"/>
  <c r="D837" i="13"/>
  <c r="A834" i="13"/>
  <c r="J830" i="13"/>
  <c r="F827" i="13"/>
  <c r="C824" i="13"/>
  <c r="L820" i="13"/>
  <c r="H817" i="13"/>
  <c r="E814" i="13"/>
  <c r="A811" i="13"/>
  <c r="J807" i="13"/>
  <c r="G804" i="13"/>
  <c r="C801" i="13"/>
  <c r="L797" i="13"/>
  <c r="I794" i="13"/>
  <c r="E791" i="13"/>
  <c r="A788" i="13"/>
  <c r="K784" i="13"/>
  <c r="G781" i="13"/>
  <c r="C778" i="13"/>
  <c r="M774" i="13"/>
  <c r="I771" i="13"/>
  <c r="C768" i="13"/>
  <c r="J764" i="13"/>
  <c r="B762" i="13"/>
  <c r="F759" i="13"/>
  <c r="J756" i="13"/>
  <c r="B754" i="13"/>
  <c r="F751" i="13"/>
  <c r="J748" i="13"/>
  <c r="B746" i="13"/>
  <c r="F743" i="13"/>
  <c r="J740" i="13"/>
  <c r="B738" i="13"/>
  <c r="F735" i="13"/>
  <c r="J732" i="13"/>
  <c r="B730" i="13"/>
  <c r="F727" i="13"/>
  <c r="J724" i="13"/>
  <c r="B722" i="13"/>
  <c r="F719" i="13"/>
  <c r="J716" i="13"/>
  <c r="B714" i="13"/>
  <c r="F711" i="13"/>
  <c r="J708" i="13"/>
  <c r="B706" i="13"/>
  <c r="F703" i="13"/>
  <c r="J700" i="13"/>
  <c r="B698" i="13"/>
  <c r="F695" i="13"/>
  <c r="J692" i="13"/>
  <c r="B690" i="13"/>
  <c r="F687" i="13"/>
  <c r="J684" i="13"/>
  <c r="B682" i="13"/>
  <c r="F679" i="13"/>
  <c r="J676" i="13"/>
  <c r="B674" i="13"/>
  <c r="I671" i="13"/>
  <c r="C669" i="13"/>
  <c r="J666" i="13"/>
  <c r="D664" i="13"/>
  <c r="K661" i="13"/>
  <c r="E659" i="13"/>
  <c r="L656" i="13"/>
  <c r="F654" i="13"/>
  <c r="M651" i="13"/>
  <c r="G649" i="13"/>
  <c r="A647" i="13"/>
  <c r="H644" i="13"/>
  <c r="B642" i="13"/>
  <c r="I639" i="13"/>
  <c r="C637" i="13"/>
  <c r="J634" i="13"/>
  <c r="D632" i="13"/>
  <c r="K629" i="13"/>
  <c r="E627" i="13"/>
  <c r="L624" i="13"/>
  <c r="F622" i="13"/>
  <c r="M619" i="13"/>
  <c r="G617" i="13"/>
  <c r="A615" i="13"/>
  <c r="H612" i="13"/>
  <c r="B610" i="13"/>
  <c r="I607" i="13"/>
  <c r="C605" i="13"/>
  <c r="J602" i="13"/>
  <c r="D600" i="13"/>
  <c r="K597" i="13"/>
  <c r="E595" i="13"/>
  <c r="L592" i="13"/>
  <c r="K590" i="13"/>
  <c r="H589" i="13"/>
  <c r="E588" i="13"/>
  <c r="B587" i="13"/>
  <c r="L585" i="13"/>
  <c r="I584" i="13"/>
  <c r="M1137" i="13"/>
  <c r="A1095" i="13"/>
  <c r="I1055" i="13"/>
  <c r="D1016" i="13"/>
  <c r="C989" i="13"/>
  <c r="M975" i="13"/>
  <c r="I967" i="13"/>
  <c r="J962" i="13"/>
  <c r="F957" i="13"/>
  <c r="B952" i="13"/>
  <c r="J946" i="13"/>
  <c r="F941" i="13"/>
  <c r="D936" i="13"/>
  <c r="E931" i="13"/>
  <c r="F926" i="13"/>
  <c r="G921" i="13"/>
  <c r="H916" i="13"/>
  <c r="I911" i="13"/>
  <c r="J906" i="13"/>
  <c r="K901" i="13"/>
  <c r="L896" i="13"/>
  <c r="M891" i="13"/>
  <c r="A887" i="13"/>
  <c r="B882" i="13"/>
  <c r="C877" i="13"/>
  <c r="D872" i="13"/>
  <c r="E867" i="13"/>
  <c r="B862" i="13"/>
  <c r="J856" i="13"/>
  <c r="F851" i="13"/>
  <c r="E846" i="13"/>
  <c r="J842" i="13"/>
  <c r="F839" i="13"/>
  <c r="C836" i="13"/>
  <c r="L832" i="13"/>
  <c r="H829" i="13"/>
  <c r="E826" i="13"/>
  <c r="A823" i="13"/>
  <c r="J819" i="13"/>
  <c r="G816" i="13"/>
  <c r="C813" i="13"/>
  <c r="L809" i="13"/>
  <c r="I806" i="13"/>
  <c r="E803" i="13"/>
  <c r="A800" i="13"/>
  <c r="K796" i="13"/>
  <c r="G793" i="13"/>
  <c r="C790" i="13"/>
  <c r="M786" i="13"/>
  <c r="I783" i="13"/>
  <c r="E780" i="13"/>
  <c r="B777" i="13"/>
  <c r="K773" i="13"/>
  <c r="G770" i="13"/>
  <c r="A767" i="13"/>
  <c r="L763" i="13"/>
  <c r="C761" i="13"/>
  <c r="G758" i="13"/>
  <c r="L755" i="13"/>
  <c r="C753" i="13"/>
  <c r="G750" i="13"/>
  <c r="L747" i="13"/>
  <c r="C745" i="13"/>
  <c r="G742" i="13"/>
  <c r="L739" i="13"/>
  <c r="C737" i="13"/>
  <c r="G734" i="13"/>
  <c r="L731" i="13"/>
  <c r="C729" i="13"/>
  <c r="G726" i="13"/>
  <c r="L723" i="13"/>
  <c r="C721" i="13"/>
  <c r="G718" i="13"/>
  <c r="L715" i="13"/>
  <c r="C713" i="13"/>
  <c r="G710" i="13"/>
  <c r="L707" i="13"/>
  <c r="C705" i="13"/>
  <c r="G702" i="13"/>
  <c r="L699" i="13"/>
  <c r="C697" i="13"/>
  <c r="G694" i="13"/>
  <c r="L691" i="13"/>
  <c r="C689" i="13"/>
  <c r="G686" i="13"/>
  <c r="L683" i="13"/>
  <c r="C681" i="13"/>
  <c r="G678" i="13"/>
  <c r="L675" i="13"/>
  <c r="D673" i="13"/>
  <c r="K670" i="13"/>
  <c r="E668" i="13"/>
  <c r="L665" i="13"/>
  <c r="F663" i="13"/>
  <c r="M660" i="13"/>
  <c r="G658" i="13"/>
  <c r="A656" i="13"/>
  <c r="H653" i="13"/>
  <c r="B651" i="13"/>
  <c r="I648" i="13"/>
  <c r="C646" i="13"/>
  <c r="J643" i="13"/>
  <c r="D641" i="13"/>
  <c r="K638" i="13"/>
  <c r="E636" i="13"/>
  <c r="L633" i="13"/>
  <c r="F631" i="13"/>
  <c r="M628" i="13"/>
  <c r="G626" i="13"/>
  <c r="A624" i="13"/>
  <c r="H621" i="13"/>
  <c r="B619" i="13"/>
  <c r="I616" i="13"/>
  <c r="C614" i="13"/>
  <c r="J611" i="13"/>
  <c r="D609" i="13"/>
  <c r="K606" i="13"/>
  <c r="E604" i="13"/>
  <c r="L601" i="13"/>
  <c r="F599" i="13"/>
  <c r="M596" i="13"/>
  <c r="G594" i="13"/>
  <c r="A592" i="13"/>
  <c r="F590" i="13"/>
  <c r="C589" i="13"/>
  <c r="M587" i="13"/>
  <c r="J586" i="13"/>
  <c r="G585" i="13"/>
  <c r="D584" i="13"/>
  <c r="E1134" i="13"/>
  <c r="H1092" i="13"/>
  <c r="C1053" i="13"/>
  <c r="K1013" i="13"/>
  <c r="M987" i="13"/>
  <c r="I975" i="13"/>
  <c r="F967" i="13"/>
  <c r="G962" i="13"/>
  <c r="C957" i="13"/>
  <c r="L951" i="13"/>
  <c r="G946" i="13"/>
  <c r="C941" i="13"/>
  <c r="A936" i="13"/>
  <c r="B931" i="13"/>
  <c r="C926" i="13"/>
  <c r="D921" i="13"/>
  <c r="E916" i="13"/>
  <c r="F911" i="13"/>
  <c r="G906" i="13"/>
  <c r="H901" i="13"/>
  <c r="I896" i="13"/>
  <c r="J891" i="13"/>
  <c r="K886" i="13"/>
  <c r="L881" i="13"/>
  <c r="M876" i="13"/>
  <c r="A872" i="13"/>
  <c r="B867" i="13"/>
  <c r="L861" i="13"/>
  <c r="G856" i="13"/>
  <c r="C851" i="13"/>
  <c r="C846" i="13"/>
  <c r="I842" i="13"/>
  <c r="E839" i="13"/>
  <c r="A836" i="13"/>
  <c r="K832" i="13"/>
  <c r="G829" i="13"/>
  <c r="C826" i="13"/>
  <c r="M822" i="13"/>
  <c r="I819" i="13"/>
  <c r="E816" i="13"/>
  <c r="B813" i="13"/>
  <c r="K809" i="13"/>
  <c r="G806" i="13"/>
  <c r="D803" i="13"/>
  <c r="M799" i="13"/>
  <c r="I796" i="13"/>
  <c r="F793" i="13"/>
  <c r="B790" i="13"/>
  <c r="K786" i="13"/>
  <c r="H783" i="13"/>
  <c r="D780" i="13"/>
  <c r="M776" i="13"/>
  <c r="J773" i="13"/>
  <c r="F770" i="13"/>
  <c r="L766" i="13"/>
  <c r="J763" i="13"/>
  <c r="B761" i="13"/>
  <c r="F758" i="13"/>
  <c r="J755" i="13"/>
  <c r="B753" i="13"/>
  <c r="F750" i="13"/>
  <c r="J747" i="13"/>
  <c r="B745" i="13"/>
  <c r="F742" i="13"/>
  <c r="J739" i="13"/>
  <c r="B737" i="13"/>
  <c r="F734" i="13"/>
  <c r="J731" i="13"/>
  <c r="B729" i="13"/>
  <c r="F726" i="13"/>
  <c r="J723" i="13"/>
  <c r="B721" i="13"/>
  <c r="F718" i="13"/>
  <c r="J715" i="13"/>
  <c r="B713" i="13"/>
  <c r="F710" i="13"/>
  <c r="J707" i="13"/>
  <c r="B705" i="13"/>
  <c r="F702" i="13"/>
  <c r="J699" i="13"/>
  <c r="B697" i="13"/>
  <c r="F694" i="13"/>
  <c r="J691" i="13"/>
  <c r="B689" i="13"/>
  <c r="F686" i="13"/>
  <c r="J683" i="13"/>
  <c r="B681" i="13"/>
  <c r="F678" i="13"/>
  <c r="J675" i="13"/>
  <c r="C673" i="13"/>
  <c r="J670" i="13"/>
  <c r="D668" i="13"/>
  <c r="K665" i="13"/>
  <c r="E663" i="13"/>
  <c r="L660" i="13"/>
  <c r="F658" i="13"/>
  <c r="M655" i="13"/>
  <c r="G653" i="13"/>
  <c r="A651" i="13"/>
  <c r="H648" i="13"/>
  <c r="B646" i="13"/>
  <c r="I643" i="13"/>
  <c r="C641" i="13"/>
  <c r="J638" i="13"/>
  <c r="D636" i="13"/>
  <c r="K633" i="13"/>
  <c r="E631" i="13"/>
  <c r="L628" i="13"/>
  <c r="F626" i="13"/>
  <c r="M623" i="13"/>
  <c r="G621" i="13"/>
  <c r="A619" i="13"/>
  <c r="H616" i="13"/>
  <c r="B614" i="13"/>
  <c r="I611" i="13"/>
  <c r="C609" i="13"/>
  <c r="J606" i="13"/>
  <c r="D604" i="13"/>
  <c r="K601" i="13"/>
  <c r="E599" i="13"/>
  <c r="L596" i="13"/>
  <c r="F594" i="13"/>
  <c r="M591" i="13"/>
  <c r="E590" i="13"/>
  <c r="B589" i="13"/>
  <c r="L587" i="13"/>
  <c r="I586" i="13"/>
  <c r="F585" i="13"/>
  <c r="A1031" i="13"/>
  <c r="H964" i="13"/>
  <c r="F943" i="13"/>
  <c r="E923" i="13"/>
  <c r="I903" i="13"/>
  <c r="M883" i="13"/>
  <c r="B864" i="13"/>
  <c r="B844" i="13"/>
  <c r="K830" i="13"/>
  <c r="J817" i="13"/>
  <c r="H804" i="13"/>
  <c r="F791" i="13"/>
  <c r="E778" i="13"/>
  <c r="L764" i="13"/>
  <c r="C754" i="13"/>
  <c r="G743" i="13"/>
  <c r="L732" i="13"/>
  <c r="C722" i="13"/>
  <c r="G711" i="13"/>
  <c r="L700" i="13"/>
  <c r="C690" i="13"/>
  <c r="G679" i="13"/>
  <c r="D669" i="13"/>
  <c r="F659" i="13"/>
  <c r="H649" i="13"/>
  <c r="J639" i="13"/>
  <c r="L629" i="13"/>
  <c r="A620" i="13"/>
  <c r="C610" i="13"/>
  <c r="E600" i="13"/>
  <c r="L590" i="13"/>
  <c r="M585" i="13"/>
  <c r="H583" i="13"/>
  <c r="E582" i="13"/>
  <c r="B581" i="13"/>
  <c r="L579" i="13"/>
  <c r="I578" i="13"/>
  <c r="F577" i="13"/>
  <c r="C576" i="13"/>
  <c r="H675" i="13"/>
  <c r="D674" i="13"/>
  <c r="A673" i="13"/>
  <c r="K671" i="13"/>
  <c r="H670" i="13"/>
  <c r="E669" i="13"/>
  <c r="B668" i="13"/>
  <c r="L666" i="13"/>
  <c r="I665" i="13"/>
  <c r="F664" i="13"/>
  <c r="C663" i="13"/>
  <c r="M661" i="13"/>
  <c r="J660" i="13"/>
  <c r="G659" i="13"/>
  <c r="D658" i="13"/>
  <c r="A657" i="13"/>
  <c r="K655" i="13"/>
  <c r="H654" i="13"/>
  <c r="E653" i="13"/>
  <c r="B652" i="13"/>
  <c r="L650" i="13"/>
  <c r="I649" i="13"/>
  <c r="F648" i="13"/>
  <c r="C647" i="13"/>
  <c r="M645" i="13"/>
  <c r="J644" i="13"/>
  <c r="G643" i="13"/>
  <c r="D642" i="13"/>
  <c r="A641" i="13"/>
  <c r="K639" i="13"/>
  <c r="H638" i="13"/>
  <c r="E637" i="13"/>
  <c r="B636" i="13"/>
  <c r="L634" i="13"/>
  <c r="I633" i="13"/>
  <c r="F632" i="13"/>
  <c r="C631" i="13"/>
  <c r="M629" i="13"/>
  <c r="J628" i="13"/>
  <c r="G627" i="13"/>
  <c r="D626" i="13"/>
  <c r="A625" i="13"/>
  <c r="K623" i="13"/>
  <c r="H622" i="13"/>
  <c r="E621" i="13"/>
  <c r="B620" i="13"/>
  <c r="L618" i="13"/>
  <c r="I617" i="13"/>
  <c r="F616" i="13"/>
  <c r="C615" i="13"/>
  <c r="M613" i="13"/>
  <c r="J612" i="13"/>
  <c r="G611" i="13"/>
  <c r="D610" i="13"/>
  <c r="A609" i="13"/>
  <c r="K607" i="13"/>
  <c r="H606" i="13"/>
  <c r="E605" i="13"/>
  <c r="B604" i="13"/>
  <c r="L602" i="13"/>
  <c r="I601" i="13"/>
  <c r="F600" i="13"/>
  <c r="C599" i="13"/>
  <c r="M597" i="13"/>
  <c r="J596" i="13"/>
  <c r="G595" i="13"/>
  <c r="D594" i="13"/>
  <c r="A593" i="13"/>
  <c r="K591" i="13"/>
  <c r="G1167" i="13"/>
  <c r="A1153" i="13"/>
  <c r="J1138" i="13"/>
  <c r="J1126" i="13"/>
  <c r="B1116" i="13"/>
  <c r="G1105" i="13"/>
  <c r="I1095" i="13"/>
  <c r="K1085" i="13"/>
  <c r="M1075" i="13"/>
  <c r="B1066" i="13"/>
  <c r="D1056" i="13"/>
  <c r="F1046" i="13"/>
  <c r="H1036" i="13"/>
  <c r="J1026" i="13"/>
  <c r="L1016" i="13"/>
  <c r="A1007" i="13"/>
  <c r="E999" i="13"/>
  <c r="F994" i="13"/>
  <c r="G989" i="13"/>
  <c r="H984" i="13"/>
  <c r="F1141" i="13"/>
  <c r="G1097" i="13"/>
  <c r="B1058" i="13"/>
  <c r="J1018" i="13"/>
  <c r="F990" i="13"/>
  <c r="L976" i="13"/>
  <c r="A968" i="13"/>
  <c r="B963" i="13"/>
  <c r="L957" i="13"/>
  <c r="G952" i="13"/>
  <c r="C947" i="13"/>
  <c r="L941" i="13"/>
  <c r="I936" i="13"/>
  <c r="J931" i="13"/>
  <c r="K926" i="13"/>
  <c r="L921" i="13"/>
  <c r="M916" i="13"/>
  <c r="A912" i="13"/>
  <c r="B907" i="13"/>
  <c r="C902" i="13"/>
  <c r="D897" i="13"/>
  <c r="E892" i="13"/>
  <c r="F887" i="13"/>
  <c r="G882" i="13"/>
  <c r="H877" i="13"/>
  <c r="I872" i="13"/>
  <c r="J867" i="13"/>
  <c r="G862" i="13"/>
  <c r="C857" i="13"/>
  <c r="L851" i="13"/>
  <c r="I846" i="13"/>
  <c r="B843" i="13"/>
  <c r="J839" i="13"/>
  <c r="G836" i="13"/>
  <c r="C833" i="13"/>
  <c r="L829" i="13"/>
  <c r="I826" i="13"/>
  <c r="E823" i="13"/>
  <c r="A820" i="13"/>
  <c r="K816" i="13"/>
  <c r="G813" i="13"/>
  <c r="C810" i="13"/>
  <c r="M806" i="13"/>
  <c r="I803" i="13"/>
  <c r="E800" i="13"/>
  <c r="B797" i="13"/>
  <c r="K793" i="13"/>
  <c r="G790" i="13"/>
  <c r="D787" i="13"/>
  <c r="M783" i="13"/>
  <c r="I780" i="13"/>
  <c r="F777" i="13"/>
  <c r="B774" i="13"/>
  <c r="K770" i="13"/>
  <c r="E767" i="13"/>
  <c r="B764" i="13"/>
  <c r="F761" i="13"/>
  <c r="J758" i="13"/>
  <c r="B756" i="13"/>
  <c r="F753" i="13"/>
  <c r="J750" i="13"/>
  <c r="B748" i="13"/>
  <c r="F745" i="13"/>
  <c r="J742" i="13"/>
  <c r="B740" i="13"/>
  <c r="F737" i="13"/>
  <c r="J734" i="13"/>
  <c r="B732" i="13"/>
  <c r="F729" i="13"/>
  <c r="J726" i="13"/>
  <c r="B724" i="13"/>
  <c r="F721" i="13"/>
  <c r="J718" i="13"/>
  <c r="B716" i="13"/>
  <c r="F713" i="13"/>
  <c r="J710" i="13"/>
  <c r="B708" i="13"/>
  <c r="F705" i="13"/>
  <c r="J702" i="13"/>
  <c r="B700" i="13"/>
  <c r="F697" i="13"/>
  <c r="J694" i="13"/>
  <c r="B692" i="13"/>
  <c r="F689" i="13"/>
  <c r="J686" i="13"/>
  <c r="B684" i="13"/>
  <c r="F681" i="13"/>
  <c r="J678" i="13"/>
  <c r="B676" i="13"/>
  <c r="G673" i="13"/>
  <c r="A671" i="13"/>
  <c r="H668" i="13"/>
  <c r="B666" i="13"/>
  <c r="I663" i="13"/>
  <c r="C661" i="13"/>
  <c r="J658" i="13"/>
  <c r="D656" i="13"/>
  <c r="K653" i="13"/>
  <c r="E651" i="13"/>
  <c r="L648" i="13"/>
  <c r="F646" i="13"/>
  <c r="M643" i="13"/>
  <c r="G641" i="13"/>
  <c r="A639" i="13"/>
  <c r="H636" i="13"/>
  <c r="B634" i="13"/>
  <c r="I631" i="13"/>
  <c r="C629" i="13"/>
  <c r="J626" i="13"/>
  <c r="D624" i="13"/>
  <c r="K621" i="13"/>
  <c r="E619" i="13"/>
  <c r="L616" i="13"/>
  <c r="F614" i="13"/>
  <c r="M611" i="13"/>
  <c r="G609" i="13"/>
  <c r="A607" i="13"/>
  <c r="H604" i="13"/>
  <c r="B602" i="13"/>
  <c r="I599" i="13"/>
  <c r="C597" i="13"/>
  <c r="J594" i="13"/>
  <c r="D592" i="13"/>
  <c r="G590" i="13"/>
  <c r="D589" i="13"/>
  <c r="A588" i="13"/>
  <c r="K586" i="13"/>
  <c r="H585" i="13"/>
  <c r="E584" i="13"/>
  <c r="B1126" i="13"/>
  <c r="C1085" i="13"/>
  <c r="K1045" i="13"/>
  <c r="F1006" i="13"/>
  <c r="D984" i="13"/>
  <c r="G973" i="13"/>
  <c r="F966" i="13"/>
  <c r="F961" i="13"/>
  <c r="B956" i="13"/>
  <c r="J950" i="13"/>
  <c r="F945" i="13"/>
  <c r="B940" i="13"/>
  <c r="A935" i="13"/>
  <c r="B930" i="13"/>
  <c r="C925" i="13"/>
  <c r="D920" i="13"/>
  <c r="E915" i="13"/>
  <c r="F910" i="13"/>
  <c r="G905" i="13"/>
  <c r="H900" i="13"/>
  <c r="I895" i="13"/>
  <c r="J890" i="13"/>
  <c r="K885" i="13"/>
  <c r="L880" i="13"/>
  <c r="M875" i="13"/>
  <c r="A871" i="13"/>
  <c r="B866" i="13"/>
  <c r="J860" i="13"/>
  <c r="F855" i="13"/>
  <c r="B850" i="13"/>
  <c r="F845" i="13"/>
  <c r="L841" i="13"/>
  <c r="I838" i="13"/>
  <c r="E835" i="13"/>
  <c r="A832" i="13"/>
  <c r="K828" i="13"/>
  <c r="G825" i="13"/>
  <c r="C822" i="13"/>
  <c r="M818" i="13"/>
  <c r="I815" i="13"/>
  <c r="E812" i="13"/>
  <c r="B809" i="13"/>
  <c r="K805" i="13"/>
  <c r="G802" i="13"/>
  <c r="D799" i="13"/>
  <c r="M795" i="13"/>
  <c r="I792" i="13"/>
  <c r="F789" i="13"/>
  <c r="B786" i="13"/>
  <c r="K782" i="13"/>
  <c r="H779" i="13"/>
  <c r="D776" i="13"/>
  <c r="M772" i="13"/>
  <c r="I769" i="13"/>
  <c r="B766" i="13"/>
  <c r="C763" i="13"/>
  <c r="G760" i="13"/>
  <c r="L757" i="13"/>
  <c r="C755" i="13"/>
  <c r="G752" i="13"/>
  <c r="L749" i="13"/>
  <c r="C747" i="13"/>
  <c r="G744" i="13"/>
  <c r="L741" i="13"/>
  <c r="C739" i="13"/>
  <c r="G736" i="13"/>
  <c r="L733" i="13"/>
  <c r="C731" i="13"/>
  <c r="G728" i="13"/>
  <c r="L725" i="13"/>
  <c r="C723" i="13"/>
  <c r="G720" i="13"/>
  <c r="L717" i="13"/>
  <c r="C715" i="13"/>
  <c r="G712" i="13"/>
  <c r="L709" i="13"/>
  <c r="C707" i="13"/>
  <c r="G704" i="13"/>
  <c r="L701" i="13"/>
  <c r="C699" i="13"/>
  <c r="G696" i="13"/>
  <c r="L693" i="13"/>
  <c r="C691" i="13"/>
  <c r="G688" i="13"/>
  <c r="L685" i="13"/>
  <c r="C683" i="13"/>
  <c r="G680" i="13"/>
  <c r="L677" i="13"/>
  <c r="C675" i="13"/>
  <c r="I672" i="13"/>
  <c r="C670" i="13"/>
  <c r="J667" i="13"/>
  <c r="D665" i="13"/>
  <c r="K662" i="13"/>
  <c r="E660" i="13"/>
  <c r="L657" i="13"/>
  <c r="F655" i="13"/>
  <c r="M652" i="13"/>
  <c r="G650" i="13"/>
  <c r="A648" i="13"/>
  <c r="H645" i="13"/>
  <c r="B643" i="13"/>
  <c r="I640" i="13"/>
  <c r="C638" i="13"/>
  <c r="J635" i="13"/>
  <c r="D633" i="13"/>
  <c r="K630" i="13"/>
  <c r="E628" i="13"/>
  <c r="L625" i="13"/>
  <c r="F623" i="13"/>
  <c r="M620" i="13"/>
  <c r="G618" i="13"/>
  <c r="A616" i="13"/>
  <c r="H613" i="13"/>
  <c r="B611" i="13"/>
  <c r="I608" i="13"/>
  <c r="C606" i="13"/>
  <c r="J603" i="13"/>
  <c r="D601" i="13"/>
  <c r="K598" i="13"/>
  <c r="E596" i="13"/>
  <c r="L593" i="13"/>
  <c r="F591" i="13"/>
  <c r="B590" i="13"/>
  <c r="L588" i="13"/>
  <c r="I587" i="13"/>
  <c r="F586" i="13"/>
  <c r="C585" i="13"/>
  <c r="M583" i="13"/>
  <c r="F1123" i="13"/>
  <c r="J1082" i="13"/>
  <c r="E1043" i="13"/>
  <c r="M1003" i="13"/>
  <c r="A983" i="13"/>
  <c r="C973" i="13"/>
  <c r="C966" i="13"/>
  <c r="C961" i="13"/>
  <c r="L955" i="13"/>
  <c r="G950" i="13"/>
  <c r="C945" i="13"/>
  <c r="L939" i="13"/>
  <c r="K934" i="13"/>
  <c r="L929" i="13"/>
  <c r="M924" i="13"/>
  <c r="A920" i="13"/>
  <c r="B915" i="13"/>
  <c r="C910" i="13"/>
  <c r="D905" i="13"/>
  <c r="E900" i="13"/>
  <c r="F895" i="13"/>
  <c r="G890" i="13"/>
  <c r="H885" i="13"/>
  <c r="I880" i="13"/>
  <c r="J875" i="13"/>
  <c r="K870" i="13"/>
  <c r="L865" i="13"/>
  <c r="G860" i="13"/>
  <c r="C855" i="13"/>
  <c r="L849" i="13"/>
  <c r="E845" i="13"/>
  <c r="K841" i="13"/>
  <c r="G838" i="13"/>
  <c r="D835" i="13"/>
  <c r="M831" i="13"/>
  <c r="I828" i="13"/>
  <c r="F825" i="13"/>
  <c r="B822" i="13"/>
  <c r="K818" i="13"/>
  <c r="H815" i="13"/>
  <c r="D812" i="13"/>
  <c r="M808" i="13"/>
  <c r="J805" i="13"/>
  <c r="F802" i="13"/>
  <c r="B799" i="13"/>
  <c r="L795" i="13"/>
  <c r="H792" i="13"/>
  <c r="D789" i="13"/>
  <c r="A786" i="13"/>
  <c r="J782" i="13"/>
  <c r="F779" i="13"/>
  <c r="C776" i="13"/>
  <c r="L772" i="13"/>
  <c r="G769" i="13"/>
  <c r="A766" i="13"/>
  <c r="B763" i="13"/>
  <c r="F760" i="13"/>
  <c r="J757" i="13"/>
  <c r="B755" i="13"/>
  <c r="F752" i="13"/>
  <c r="J749" i="13"/>
  <c r="B747" i="13"/>
  <c r="F744" i="13"/>
  <c r="J741" i="13"/>
  <c r="B739" i="13"/>
  <c r="F736" i="13"/>
  <c r="J733" i="13"/>
  <c r="B731" i="13"/>
  <c r="F728" i="13"/>
  <c r="J725" i="13"/>
  <c r="B723" i="13"/>
  <c r="F720" i="13"/>
  <c r="J717" i="13"/>
  <c r="B715" i="13"/>
  <c r="F712" i="13"/>
  <c r="J709" i="13"/>
  <c r="B707" i="13"/>
  <c r="F704" i="13"/>
  <c r="J701" i="13"/>
  <c r="B699" i="13"/>
  <c r="F696" i="13"/>
  <c r="J693" i="13"/>
  <c r="B691" i="13"/>
  <c r="F688" i="13"/>
  <c r="J685" i="13"/>
  <c r="B683" i="13"/>
  <c r="F680" i="13"/>
  <c r="J677" i="13"/>
  <c r="B675" i="13"/>
  <c r="H672" i="13"/>
  <c r="B670" i="13"/>
  <c r="I667" i="13"/>
  <c r="C665" i="13"/>
  <c r="J662" i="13"/>
  <c r="D660" i="13"/>
  <c r="K657" i="13"/>
  <c r="E655" i="13"/>
  <c r="L652" i="13"/>
  <c r="F650" i="13"/>
  <c r="M647" i="13"/>
  <c r="G645" i="13"/>
  <c r="A643" i="13"/>
  <c r="H640" i="13"/>
  <c r="B638" i="13"/>
  <c r="I635" i="13"/>
  <c r="C633" i="13"/>
  <c r="J630" i="13"/>
  <c r="D628" i="13"/>
  <c r="K625" i="13"/>
  <c r="E623" i="13"/>
  <c r="L620" i="13"/>
  <c r="F618" i="13"/>
  <c r="M615" i="13"/>
  <c r="G613" i="13"/>
  <c r="A611" i="13"/>
  <c r="H608" i="13"/>
  <c r="B606" i="13"/>
  <c r="I603" i="13"/>
  <c r="C601" i="13"/>
  <c r="J598" i="13"/>
  <c r="D596" i="13"/>
  <c r="K593" i="13"/>
  <c r="E591" i="13"/>
  <c r="A590" i="13"/>
  <c r="K588" i="13"/>
  <c r="H587" i="13"/>
  <c r="E586" i="13"/>
  <c r="L1158" i="13"/>
  <c r="H996" i="13"/>
  <c r="F959" i="13"/>
  <c r="B938" i="13"/>
  <c r="F918" i="13"/>
  <c r="J898" i="13"/>
  <c r="A879" i="13"/>
  <c r="J858" i="13"/>
  <c r="I840" i="13"/>
  <c r="H827" i="13"/>
  <c r="F814" i="13"/>
  <c r="D801" i="13"/>
  <c r="C788" i="13"/>
  <c r="A775" i="13"/>
  <c r="C762" i="13"/>
  <c r="G751" i="13"/>
  <c r="L740" i="13"/>
  <c r="C730" i="13"/>
  <c r="G719" i="13"/>
  <c r="L708" i="13"/>
  <c r="C698" i="13"/>
  <c r="G687" i="13"/>
  <c r="L676" i="13"/>
  <c r="K666" i="13"/>
  <c r="M656" i="13"/>
  <c r="B647" i="13"/>
  <c r="D637" i="13"/>
  <c r="F627" i="13"/>
  <c r="H617" i="13"/>
  <c r="J607" i="13"/>
  <c r="L597" i="13"/>
  <c r="I589" i="13"/>
  <c r="A585" i="13"/>
  <c r="D583" i="13"/>
  <c r="A582" i="13"/>
  <c r="K580" i="13"/>
  <c r="H579" i="13"/>
  <c r="E578" i="13"/>
  <c r="B577" i="13"/>
  <c r="D675" i="13"/>
  <c r="M673" i="13"/>
  <c r="J672" i="13"/>
  <c r="G671" i="13"/>
  <c r="D670" i="13"/>
  <c r="A669" i="13"/>
  <c r="K667" i="13"/>
  <c r="H666" i="13"/>
  <c r="E665" i="13"/>
  <c r="B664" i="13"/>
  <c r="L662" i="13"/>
  <c r="I661" i="13"/>
  <c r="F660" i="13"/>
  <c r="C659" i="13"/>
  <c r="M657" i="13"/>
  <c r="J656" i="13"/>
  <c r="G655" i="13"/>
  <c r="D654" i="13"/>
  <c r="A653" i="13"/>
  <c r="K651" i="13"/>
  <c r="H650" i="13"/>
  <c r="E649" i="13"/>
  <c r="B648" i="13"/>
  <c r="L646" i="13"/>
  <c r="I645" i="13"/>
  <c r="F644" i="13"/>
  <c r="C643" i="13"/>
  <c r="M641" i="13"/>
  <c r="J640" i="13"/>
  <c r="G639" i="13"/>
  <c r="D638" i="13"/>
  <c r="A637" i="13"/>
  <c r="K635" i="13"/>
  <c r="H634" i="13"/>
  <c r="E633" i="13"/>
  <c r="B632" i="13"/>
  <c r="L630" i="13"/>
  <c r="I629" i="13"/>
  <c r="F628" i="13"/>
  <c r="C627" i="13"/>
  <c r="M625" i="13"/>
  <c r="J624" i="13"/>
  <c r="G623" i="13"/>
  <c r="D622" i="13"/>
  <c r="A621" i="13"/>
  <c r="K619" i="13"/>
  <c r="H618" i="13"/>
  <c r="E617" i="13"/>
  <c r="B616" i="13"/>
  <c r="L614" i="13"/>
  <c r="I613" i="13"/>
  <c r="F612" i="13"/>
  <c r="C611" i="13"/>
  <c r="M609" i="13"/>
  <c r="J608" i="13"/>
  <c r="G607" i="13"/>
  <c r="D606" i="13"/>
  <c r="A605" i="13"/>
  <c r="K603" i="13"/>
  <c r="H602" i="13"/>
  <c r="E601" i="13"/>
  <c r="B600" i="13"/>
  <c r="L598" i="13"/>
  <c r="I597" i="13"/>
  <c r="F596" i="13"/>
  <c r="C595" i="13"/>
  <c r="M593" i="13"/>
  <c r="J592" i="13"/>
  <c r="G591" i="13"/>
  <c r="M1162" i="13"/>
  <c r="F1149" i="13"/>
  <c r="D1135" i="13"/>
  <c r="B1124" i="13"/>
  <c r="F1113" i="13"/>
  <c r="A1103" i="13"/>
  <c r="C1093" i="13"/>
  <c r="E1083" i="13"/>
  <c r="G1073" i="13"/>
  <c r="I1063" i="13"/>
  <c r="K1053" i="13"/>
  <c r="M1043" i="13"/>
  <c r="B1034" i="13"/>
  <c r="D1024" i="13"/>
  <c r="F1014" i="13"/>
  <c r="H1004" i="13"/>
  <c r="B998" i="13"/>
  <c r="C993" i="13"/>
  <c r="D988" i="13"/>
  <c r="E983" i="13"/>
  <c r="J1128" i="13"/>
  <c r="I1087" i="13"/>
  <c r="D1048" i="13"/>
  <c r="L1008" i="13"/>
  <c r="G985" i="13"/>
  <c r="F974" i="13"/>
  <c r="K966" i="13"/>
  <c r="L961" i="13"/>
  <c r="G956" i="13"/>
  <c r="C951" i="13"/>
  <c r="L945" i="13"/>
  <c r="G940" i="13"/>
  <c r="F935" i="13"/>
  <c r="G930" i="13"/>
  <c r="H925" i="13"/>
  <c r="I920" i="13"/>
  <c r="J915" i="13"/>
  <c r="K910" i="13"/>
  <c r="L905" i="13"/>
  <c r="M900" i="13"/>
  <c r="A896" i="13"/>
  <c r="B891" i="13"/>
  <c r="C886" i="13"/>
  <c r="D881" i="13"/>
  <c r="E876" i="13"/>
  <c r="F871" i="13"/>
  <c r="G866" i="13"/>
  <c r="C861" i="13"/>
  <c r="L855" i="13"/>
  <c r="G850" i="13"/>
  <c r="J845" i="13"/>
  <c r="C842" i="13"/>
  <c r="M838" i="13"/>
  <c r="I835" i="13"/>
  <c r="E832" i="13"/>
  <c r="B829" i="13"/>
  <c r="K825" i="13"/>
  <c r="G822" i="13"/>
  <c r="D819" i="13"/>
  <c r="M815" i="13"/>
  <c r="I812" i="13"/>
  <c r="F809" i="13"/>
  <c r="B806" i="13"/>
  <c r="K802" i="13"/>
  <c r="H799" i="13"/>
  <c r="D796" i="13"/>
  <c r="M792" i="13"/>
  <c r="J789" i="13"/>
  <c r="F786" i="13"/>
  <c r="B783" i="13"/>
  <c r="L779" i="13"/>
  <c r="H776" i="13"/>
  <c r="D773" i="13"/>
  <c r="A770" i="13"/>
  <c r="F766" i="13"/>
  <c r="F763" i="13"/>
  <c r="J760" i="13"/>
  <c r="B758" i="13"/>
  <c r="F755" i="13"/>
  <c r="J752" i="13"/>
  <c r="B750" i="13"/>
  <c r="F747" i="13"/>
  <c r="J744" i="13"/>
  <c r="B742" i="13"/>
  <c r="F739" i="13"/>
  <c r="J736" i="13"/>
  <c r="B734" i="13"/>
  <c r="F731" i="13"/>
  <c r="J728" i="13"/>
  <c r="B726" i="13"/>
  <c r="F723" i="13"/>
  <c r="J720" i="13"/>
  <c r="B718" i="13"/>
  <c r="F715" i="13"/>
  <c r="J712" i="13"/>
  <c r="B710" i="13"/>
  <c r="F707" i="13"/>
  <c r="J704" i="13"/>
  <c r="B702" i="13"/>
  <c r="F699" i="13"/>
  <c r="J696" i="13"/>
  <c r="B694" i="13"/>
  <c r="F691" i="13"/>
  <c r="J688" i="13"/>
  <c r="B686" i="13"/>
  <c r="F683" i="13"/>
  <c r="J680" i="13"/>
  <c r="B678" i="13"/>
  <c r="F675" i="13"/>
  <c r="L672" i="13"/>
  <c r="F670" i="13"/>
  <c r="M667" i="13"/>
  <c r="G665" i="13"/>
  <c r="A663" i="13"/>
  <c r="H660" i="13"/>
  <c r="B658" i="13"/>
  <c r="I655" i="13"/>
  <c r="C653" i="13"/>
  <c r="J650" i="13"/>
  <c r="D648" i="13"/>
  <c r="K645" i="13"/>
  <c r="E643" i="13"/>
  <c r="L640" i="13"/>
  <c r="F638" i="13"/>
  <c r="M635" i="13"/>
  <c r="G633" i="13"/>
  <c r="A631" i="13"/>
  <c r="H628" i="13"/>
  <c r="B626" i="13"/>
  <c r="I623" i="13"/>
  <c r="C621" i="13"/>
  <c r="J618" i="13"/>
  <c r="D616" i="13"/>
  <c r="K613" i="13"/>
  <c r="E611" i="13"/>
  <c r="L608" i="13"/>
  <c r="F606" i="13"/>
  <c r="M603" i="13"/>
  <c r="G601" i="13"/>
  <c r="A599" i="13"/>
  <c r="H596" i="13"/>
  <c r="B594" i="13"/>
  <c r="I591" i="13"/>
  <c r="C590" i="13"/>
  <c r="M588" i="13"/>
  <c r="J587" i="13"/>
  <c r="G586" i="13"/>
  <c r="D585" i="13"/>
  <c r="D1166" i="13"/>
  <c r="F1115" i="13"/>
  <c r="E1075" i="13"/>
  <c r="M1035" i="13"/>
  <c r="A999" i="13"/>
  <c r="L980" i="13"/>
  <c r="A971" i="13"/>
  <c r="C965" i="13"/>
  <c r="B960" i="13"/>
  <c r="J954" i="13"/>
  <c r="F949" i="13"/>
  <c r="B944" i="13"/>
  <c r="J938" i="13"/>
  <c r="K933" i="13"/>
  <c r="L928" i="13"/>
  <c r="M923" i="13"/>
  <c r="A919" i="13"/>
  <c r="B914" i="13"/>
  <c r="C909" i="13"/>
  <c r="D904" i="13"/>
  <c r="E899" i="13"/>
  <c r="F894" i="13"/>
  <c r="G889" i="13"/>
  <c r="H884" i="13"/>
  <c r="I879" i="13"/>
  <c r="J874" i="13"/>
  <c r="K869" i="13"/>
  <c r="J864" i="13"/>
  <c r="F859" i="13"/>
  <c r="B854" i="13"/>
  <c r="J848" i="13"/>
  <c r="G844" i="13"/>
  <c r="B841" i="13"/>
  <c r="K837" i="13"/>
  <c r="G834" i="13"/>
  <c r="D831" i="13"/>
  <c r="M827" i="13"/>
  <c r="I824" i="13"/>
  <c r="F821" i="13"/>
  <c r="B818" i="13"/>
  <c r="K814" i="13"/>
  <c r="H811" i="13"/>
  <c r="D808" i="13"/>
  <c r="M804" i="13"/>
  <c r="J801" i="13"/>
  <c r="F798" i="13"/>
  <c r="B795" i="13"/>
  <c r="L791" i="13"/>
  <c r="H788" i="13"/>
  <c r="D785" i="13"/>
  <c r="A782" i="13"/>
  <c r="J778" i="13"/>
  <c r="F775" i="13"/>
  <c r="C772" i="13"/>
  <c r="J768" i="13"/>
  <c r="C765" i="13"/>
  <c r="G762" i="13"/>
  <c r="L759" i="13"/>
  <c r="C757" i="13"/>
  <c r="G754" i="13"/>
  <c r="L751" i="13"/>
  <c r="C749" i="13"/>
  <c r="G746" i="13"/>
  <c r="L743" i="13"/>
  <c r="C741" i="13"/>
  <c r="G738" i="13"/>
  <c r="L735" i="13"/>
  <c r="C733" i="13"/>
  <c r="G730" i="13"/>
  <c r="L727" i="13"/>
  <c r="C725" i="13"/>
  <c r="G722" i="13"/>
  <c r="L719" i="13"/>
  <c r="C717" i="13"/>
  <c r="G714" i="13"/>
  <c r="L711" i="13"/>
  <c r="C709" i="13"/>
  <c r="G706" i="13"/>
  <c r="L703" i="13"/>
  <c r="C701" i="13"/>
  <c r="G698" i="13"/>
  <c r="L695" i="13"/>
  <c r="C693" i="13"/>
  <c r="G690" i="13"/>
  <c r="L687" i="13"/>
  <c r="C685" i="13"/>
  <c r="G682" i="13"/>
  <c r="L679" i="13"/>
  <c r="C677" i="13"/>
  <c r="G674" i="13"/>
  <c r="A672" i="13"/>
  <c r="H669" i="13"/>
  <c r="B667" i="13"/>
  <c r="I664" i="13"/>
  <c r="C662" i="13"/>
  <c r="J659" i="13"/>
  <c r="D657" i="13"/>
  <c r="K654" i="13"/>
  <c r="E652" i="13"/>
  <c r="L649" i="13"/>
  <c r="F647" i="13"/>
  <c r="M644" i="13"/>
  <c r="G642" i="13"/>
  <c r="A640" i="13"/>
  <c r="H637" i="13"/>
  <c r="B635" i="13"/>
  <c r="I632" i="13"/>
  <c r="C630" i="13"/>
  <c r="J627" i="13"/>
  <c r="D625" i="13"/>
  <c r="K622" i="13"/>
  <c r="E620" i="13"/>
  <c r="L617" i="13"/>
  <c r="F615" i="13"/>
  <c r="M612" i="13"/>
  <c r="G610" i="13"/>
  <c r="A608" i="13"/>
  <c r="H605" i="13"/>
  <c r="B603" i="13"/>
  <c r="I600" i="13"/>
  <c r="C598" i="13"/>
  <c r="J595" i="13"/>
  <c r="D593" i="13"/>
  <c r="A591" i="13"/>
  <c r="K589" i="13"/>
  <c r="H588" i="13"/>
  <c r="E587" i="13"/>
  <c r="B586" i="13"/>
  <c r="L584" i="13"/>
  <c r="B1162" i="13"/>
  <c r="J1112" i="13"/>
  <c r="L1072" i="13"/>
  <c r="G1033" i="13"/>
  <c r="K997" i="13"/>
  <c r="H980" i="13"/>
  <c r="J970" i="13"/>
  <c r="M964" i="13"/>
  <c r="L959" i="13"/>
  <c r="G954" i="13"/>
  <c r="C949" i="13"/>
  <c r="L943" i="13"/>
  <c r="G938" i="13"/>
  <c r="H933" i="13"/>
  <c r="I928" i="13"/>
  <c r="J923" i="13"/>
  <c r="K918" i="13"/>
  <c r="L913" i="13"/>
  <c r="M908" i="13"/>
  <c r="A904" i="13"/>
  <c r="B899" i="13"/>
  <c r="C894" i="13"/>
  <c r="D889" i="13"/>
  <c r="E884" i="13"/>
  <c r="F879" i="13"/>
  <c r="G874" i="13"/>
  <c r="H869" i="13"/>
  <c r="G864" i="13"/>
  <c r="C859" i="13"/>
  <c r="L853" i="13"/>
  <c r="G848" i="13"/>
  <c r="F844" i="13"/>
  <c r="M840" i="13"/>
  <c r="J837" i="13"/>
  <c r="F834" i="13"/>
  <c r="B831" i="13"/>
  <c r="L827" i="13"/>
  <c r="H824" i="13"/>
  <c r="D821" i="13"/>
  <c r="A818" i="13"/>
  <c r="J814" i="13"/>
  <c r="F811" i="13"/>
  <c r="C808" i="13"/>
  <c r="L804" i="13"/>
  <c r="H801" i="13"/>
  <c r="E798" i="13"/>
  <c r="A795" i="13"/>
  <c r="J791" i="13"/>
  <c r="G788" i="13"/>
  <c r="C785" i="13"/>
  <c r="L781" i="13"/>
  <c r="I778" i="13"/>
  <c r="E775" i="13"/>
  <c r="A772" i="13"/>
  <c r="I768" i="13"/>
  <c r="B765" i="13"/>
  <c r="F762" i="13"/>
  <c r="J759" i="13"/>
  <c r="B757" i="13"/>
  <c r="F754" i="13"/>
  <c r="J751" i="13"/>
  <c r="B749" i="13"/>
  <c r="F746" i="13"/>
  <c r="J743" i="13"/>
  <c r="B741" i="13"/>
  <c r="F738" i="13"/>
  <c r="J735" i="13"/>
  <c r="B733" i="13"/>
  <c r="F730" i="13"/>
  <c r="J727" i="13"/>
  <c r="B725" i="13"/>
  <c r="F722" i="13"/>
  <c r="J719" i="13"/>
  <c r="B717" i="13"/>
  <c r="F714" i="13"/>
  <c r="J711" i="13"/>
  <c r="B709" i="13"/>
  <c r="F706" i="13"/>
  <c r="J703" i="13"/>
  <c r="B701" i="13"/>
  <c r="F698" i="13"/>
  <c r="J695" i="13"/>
  <c r="B693" i="13"/>
  <c r="F690" i="13"/>
  <c r="J687" i="13"/>
  <c r="B685" i="13"/>
  <c r="F682" i="13"/>
  <c r="J679" i="13"/>
  <c r="B677" i="13"/>
  <c r="F674" i="13"/>
  <c r="M671" i="13"/>
  <c r="G669" i="13"/>
  <c r="A667" i="13"/>
  <c r="H664" i="13"/>
  <c r="B662" i="13"/>
  <c r="I659" i="13"/>
  <c r="C657" i="13"/>
  <c r="J654" i="13"/>
  <c r="D652" i="13"/>
  <c r="K649" i="13"/>
  <c r="E647" i="13"/>
  <c r="L644" i="13"/>
  <c r="F642" i="13"/>
  <c r="M639" i="13"/>
  <c r="G637" i="13"/>
  <c r="A635" i="13"/>
  <c r="H632" i="13"/>
  <c r="B630" i="13"/>
  <c r="I627" i="13"/>
  <c r="C625" i="13"/>
  <c r="J622" i="13"/>
  <c r="D620" i="13"/>
  <c r="K617" i="13"/>
  <c r="E615" i="13"/>
  <c r="L612" i="13"/>
  <c r="F610" i="13"/>
  <c r="M607" i="13"/>
  <c r="G605" i="13"/>
  <c r="A603" i="13"/>
  <c r="H600" i="13"/>
  <c r="B598" i="13"/>
  <c r="I595" i="13"/>
  <c r="C593" i="13"/>
  <c r="M590" i="13"/>
  <c r="J589" i="13"/>
  <c r="G588" i="13"/>
  <c r="D587" i="13"/>
  <c r="A586" i="13"/>
  <c r="B1110" i="13"/>
  <c r="I979" i="13"/>
  <c r="B954" i="13"/>
  <c r="C933" i="13"/>
  <c r="G913" i="13"/>
  <c r="K893" i="13"/>
  <c r="B874" i="13"/>
  <c r="F853" i="13"/>
  <c r="F837" i="13"/>
  <c r="D824" i="13"/>
  <c r="B811" i="13"/>
  <c r="A798" i="13"/>
  <c r="L784" i="13"/>
  <c r="J771" i="13"/>
  <c r="G759" i="13"/>
  <c r="L748" i="13"/>
  <c r="C738" i="13"/>
  <c r="G727" i="13"/>
  <c r="L716" i="13"/>
  <c r="C706" i="13"/>
  <c r="G695" i="13"/>
  <c r="L684" i="13"/>
  <c r="C674" i="13"/>
  <c r="E664" i="13"/>
  <c r="G654" i="13"/>
  <c r="I644" i="13"/>
  <c r="K634" i="13"/>
  <c r="M624" i="13"/>
  <c r="B615" i="13"/>
  <c r="D605" i="13"/>
  <c r="F595" i="13"/>
  <c r="F588" i="13"/>
  <c r="F584" i="13"/>
  <c r="M582" i="13"/>
  <c r="J581" i="13"/>
  <c r="G580" i="13"/>
  <c r="D579" i="13"/>
  <c r="A578" i="13"/>
  <c r="D575" i="13"/>
  <c r="A574" i="13"/>
  <c r="K572" i="13"/>
  <c r="H571" i="13"/>
  <c r="E570" i="13"/>
  <c r="B569" i="13"/>
  <c r="L567" i="13"/>
  <c r="I566" i="13"/>
  <c r="F565" i="13"/>
  <c r="C564" i="13"/>
  <c r="M562" i="13"/>
  <c r="J561" i="13"/>
  <c r="G560" i="13"/>
  <c r="D559" i="13"/>
  <c r="A558" i="13"/>
  <c r="K556" i="13"/>
  <c r="H555" i="13"/>
  <c r="E554" i="13"/>
  <c r="A553" i="13"/>
  <c r="I551" i="13"/>
  <c r="E550" i="13"/>
  <c r="A549" i="13"/>
  <c r="I547" i="13"/>
  <c r="E546" i="13"/>
  <c r="B545" i="13"/>
  <c r="M1099" i="13"/>
  <c r="C977" i="13"/>
  <c r="J952" i="13"/>
  <c r="M931" i="13"/>
  <c r="D912" i="13"/>
  <c r="H892" i="13"/>
  <c r="L872" i="13"/>
  <c r="B852" i="13"/>
  <c r="H836" i="13"/>
  <c r="F823" i="13"/>
  <c r="E810" i="13"/>
  <c r="C797" i="13"/>
  <c r="A784" i="13"/>
  <c r="M770" i="13"/>
  <c r="L758" i="13"/>
  <c r="C748" i="13"/>
  <c r="G737" i="13"/>
  <c r="L726" i="13"/>
  <c r="C716" i="13"/>
  <c r="G705" i="13"/>
  <c r="L694" i="13"/>
  <c r="C684" i="13"/>
  <c r="H673" i="13"/>
  <c r="J663" i="13"/>
  <c r="L653" i="13"/>
  <c r="A644" i="13"/>
  <c r="C634" i="13"/>
  <c r="E624" i="13"/>
  <c r="G614" i="13"/>
  <c r="I604" i="13"/>
  <c r="K594" i="13"/>
  <c r="B588" i="13"/>
  <c r="C584" i="13"/>
  <c r="L582" i="13"/>
  <c r="I581" i="13"/>
  <c r="F580" i="13"/>
  <c r="C579" i="13"/>
  <c r="M577" i="13"/>
  <c r="J576" i="13"/>
  <c r="G575" i="13"/>
  <c r="D574" i="13"/>
  <c r="A573" i="13"/>
  <c r="K571" i="13"/>
  <c r="H570" i="13"/>
  <c r="E569" i="13"/>
  <c r="B568" i="13"/>
  <c r="L566" i="13"/>
  <c r="I565" i="13"/>
  <c r="F564" i="13"/>
  <c r="C563" i="13"/>
  <c r="M561" i="13"/>
  <c r="J560" i="13"/>
  <c r="G559" i="13"/>
  <c r="D558" i="13"/>
  <c r="A557" i="13"/>
  <c r="K555" i="13"/>
  <c r="H554" i="13"/>
  <c r="D553" i="13"/>
  <c r="M551" i="13"/>
  <c r="H550" i="13"/>
  <c r="D549" i="13"/>
  <c r="M547" i="13"/>
  <c r="H546" i="13"/>
  <c r="E545" i="13"/>
  <c r="B1090" i="13"/>
  <c r="J974" i="13"/>
  <c r="F951" i="13"/>
  <c r="J930" i="13"/>
  <c r="A911" i="13"/>
  <c r="E891" i="13"/>
  <c r="I871" i="13"/>
  <c r="J850" i="13"/>
  <c r="J835" i="13"/>
  <c r="I822" i="13"/>
  <c r="G809" i="13"/>
  <c r="E796" i="13"/>
  <c r="D783" i="13"/>
  <c r="B770" i="13"/>
  <c r="C758" i="13"/>
  <c r="G747" i="13"/>
  <c r="L736" i="13"/>
  <c r="C726" i="13"/>
  <c r="G715" i="13"/>
  <c r="L704" i="13"/>
  <c r="C694" i="13"/>
  <c r="G683" i="13"/>
  <c r="M672" i="13"/>
  <c r="B663" i="13"/>
  <c r="D653" i="13"/>
  <c r="F643" i="13"/>
  <c r="H633" i="13"/>
  <c r="J623" i="13"/>
  <c r="L613" i="13"/>
  <c r="A604" i="13"/>
  <c r="C594" i="13"/>
  <c r="K587" i="13"/>
  <c r="B584" i="13"/>
  <c r="K582" i="13"/>
  <c r="H581" i="13"/>
  <c r="E580" i="13"/>
  <c r="B579" i="13"/>
  <c r="L577" i="13"/>
  <c r="I576" i="13"/>
  <c r="F575" i="13"/>
  <c r="C574" i="13"/>
  <c r="M572" i="13"/>
  <c r="J571" i="13"/>
  <c r="G570" i="13"/>
  <c r="D569" i="13"/>
  <c r="A568" i="13"/>
  <c r="K566" i="13"/>
  <c r="H565" i="13"/>
  <c r="E564" i="13"/>
  <c r="B563" i="13"/>
  <c r="L561" i="13"/>
  <c r="I560" i="13"/>
  <c r="F559" i="13"/>
  <c r="C558" i="13"/>
  <c r="M556" i="13"/>
  <c r="J555" i="13"/>
  <c r="G554" i="13"/>
  <c r="C553" i="13"/>
  <c r="L551" i="13"/>
  <c r="G550" i="13"/>
  <c r="C549" i="13"/>
  <c r="L547" i="13"/>
  <c r="G546" i="13"/>
  <c r="D545" i="13"/>
  <c r="D1080" i="13"/>
  <c r="D972" i="13"/>
  <c r="B950" i="13"/>
  <c r="G929" i="13"/>
  <c r="K909" i="13"/>
  <c r="B890" i="13"/>
  <c r="F870" i="13"/>
  <c r="F849" i="13"/>
  <c r="M834" i="13"/>
  <c r="K821" i="13"/>
  <c r="I808" i="13"/>
  <c r="H795" i="13"/>
  <c r="F782" i="13"/>
  <c r="C769" i="13"/>
  <c r="G757" i="13"/>
  <c r="L746" i="13"/>
  <c r="C736" i="13"/>
  <c r="G725" i="13"/>
  <c r="L714" i="13"/>
  <c r="C704" i="13"/>
  <c r="G693" i="13"/>
  <c r="L682" i="13"/>
  <c r="E672" i="13"/>
  <c r="G662" i="13"/>
  <c r="I652" i="13"/>
  <c r="K642" i="13"/>
  <c r="M632" i="13"/>
  <c r="B623" i="13"/>
  <c r="D613" i="13"/>
  <c r="F603" i="13"/>
  <c r="H593" i="13"/>
  <c r="G587" i="13"/>
  <c r="A584" i="13"/>
  <c r="J582" i="13"/>
  <c r="G581" i="13"/>
  <c r="D580" i="13"/>
  <c r="A579" i="13"/>
  <c r="K577" i="13"/>
  <c r="H576" i="13"/>
  <c r="E575" i="13"/>
  <c r="B574" i="13"/>
  <c r="L572" i="13"/>
  <c r="I571" i="13"/>
  <c r="F570" i="13"/>
  <c r="C569" i="13"/>
  <c r="M567" i="13"/>
  <c r="J566" i="13"/>
  <c r="G565" i="13"/>
  <c r="D564" i="13"/>
  <c r="A563" i="13"/>
  <c r="K561" i="13"/>
  <c r="H560" i="13"/>
  <c r="E559" i="13"/>
  <c r="B558" i="13"/>
  <c r="L556" i="13"/>
  <c r="I555" i="13"/>
  <c r="F554" i="13"/>
  <c r="B553" i="13"/>
  <c r="J551" i="13"/>
  <c r="F550" i="13"/>
  <c r="B549" i="13"/>
  <c r="J547" i="13"/>
  <c r="F546" i="13"/>
  <c r="C545" i="13"/>
  <c r="L543" i="13"/>
  <c r="I542" i="13"/>
  <c r="F541" i="13"/>
  <c r="C540" i="13"/>
  <c r="M538" i="13"/>
  <c r="J537" i="13"/>
  <c r="G536" i="13"/>
  <c r="D535" i="13"/>
  <c r="A534" i="13"/>
  <c r="K532" i="13"/>
  <c r="H531" i="13"/>
  <c r="E530" i="13"/>
  <c r="B529" i="13"/>
  <c r="L527" i="13"/>
  <c r="I526" i="13"/>
  <c r="F525" i="13"/>
  <c r="C524" i="13"/>
  <c r="M522" i="13"/>
  <c r="J521" i="13"/>
  <c r="G520" i="13"/>
  <c r="D519" i="13"/>
  <c r="A518" i="13"/>
  <c r="K516" i="13"/>
  <c r="H515" i="13"/>
  <c r="E514" i="13"/>
  <c r="B513" i="13"/>
  <c r="L511" i="13"/>
  <c r="I510" i="13"/>
  <c r="F509" i="13"/>
  <c r="C508" i="13"/>
  <c r="M506" i="13"/>
  <c r="J505" i="13"/>
  <c r="G504" i="13"/>
  <c r="D503" i="13"/>
  <c r="A502" i="13"/>
  <c r="K500" i="13"/>
  <c r="H499" i="13"/>
  <c r="E498" i="13"/>
  <c r="B497" i="13"/>
  <c r="L495" i="13"/>
  <c r="I494" i="13"/>
  <c r="F493" i="13"/>
  <c r="C492" i="13"/>
  <c r="M490" i="13"/>
  <c r="J489" i="13"/>
  <c r="G488" i="13"/>
  <c r="D487" i="13"/>
  <c r="A486" i="13"/>
  <c r="K484" i="13"/>
  <c r="H483" i="13"/>
  <c r="E482" i="13"/>
  <c r="B481" i="13"/>
  <c r="L479" i="13"/>
  <c r="I478" i="13"/>
  <c r="F477" i="13"/>
  <c r="C476" i="13"/>
  <c r="M474" i="13"/>
  <c r="J473" i="13"/>
  <c r="G472" i="13"/>
  <c r="D471" i="13"/>
  <c r="A470" i="13"/>
  <c r="K468" i="13"/>
  <c r="H467" i="13"/>
  <c r="E466" i="13"/>
  <c r="B465" i="13"/>
  <c r="L463" i="13"/>
  <c r="I462" i="13"/>
  <c r="F461" i="13"/>
  <c r="C460" i="13"/>
  <c r="M458" i="13"/>
  <c r="J457" i="13"/>
  <c r="G456" i="13"/>
  <c r="D455" i="13"/>
  <c r="A454" i="13"/>
  <c r="K452" i="13"/>
  <c r="H451" i="13"/>
  <c r="E450" i="13"/>
  <c r="B449" i="13"/>
  <c r="L447" i="13"/>
  <c r="I446" i="13"/>
  <c r="F445" i="13"/>
  <c r="C444" i="13"/>
  <c r="M442" i="13"/>
  <c r="J441" i="13"/>
  <c r="G440" i="13"/>
  <c r="D439" i="13"/>
  <c r="A438" i="13"/>
  <c r="K436" i="13"/>
  <c r="H435" i="13"/>
  <c r="E434" i="13"/>
  <c r="B433" i="13"/>
  <c r="L431" i="13"/>
  <c r="I430" i="13"/>
  <c r="F429" i="13"/>
  <c r="C428" i="13"/>
  <c r="M426" i="13"/>
  <c r="J425" i="13"/>
  <c r="G424" i="13"/>
  <c r="D423" i="13"/>
  <c r="A422" i="13"/>
  <c r="K420" i="13"/>
  <c r="H419" i="13"/>
  <c r="E418" i="13"/>
  <c r="B417" i="13"/>
  <c r="L415" i="13"/>
  <c r="I414" i="13"/>
  <c r="F413" i="13"/>
  <c r="C412" i="13"/>
  <c r="M410" i="13"/>
  <c r="J409" i="13"/>
  <c r="G408" i="13"/>
  <c r="D407" i="13"/>
  <c r="A406" i="13"/>
  <c r="K404" i="13"/>
  <c r="H403" i="13"/>
  <c r="E402" i="13"/>
  <c r="B401" i="13"/>
  <c r="L399" i="13"/>
  <c r="I398" i="13"/>
  <c r="F397" i="13"/>
  <c r="C396" i="13"/>
  <c r="M394" i="13"/>
  <c r="J393" i="13"/>
  <c r="G392" i="13"/>
  <c r="D391" i="13"/>
  <c r="A390" i="13"/>
  <c r="K388" i="13"/>
  <c r="H387" i="13"/>
  <c r="K543" i="13"/>
  <c r="H542" i="13"/>
  <c r="E541" i="13"/>
  <c r="B540" i="13"/>
  <c r="L538" i="13"/>
  <c r="I537" i="13"/>
  <c r="F536" i="13"/>
  <c r="C535" i="13"/>
  <c r="M533" i="13"/>
  <c r="J532" i="13"/>
  <c r="G531" i="13"/>
  <c r="D530" i="13"/>
  <c r="A529" i="13"/>
  <c r="K527" i="13"/>
  <c r="H526" i="13"/>
  <c r="E525" i="13"/>
  <c r="B524" i="13"/>
  <c r="L522" i="13"/>
  <c r="I521" i="13"/>
  <c r="F520" i="13"/>
  <c r="C519" i="13"/>
  <c r="M517" i="13"/>
  <c r="J516" i="13"/>
  <c r="G515" i="13"/>
  <c r="D514" i="13"/>
  <c r="A513" i="13"/>
  <c r="K511" i="13"/>
  <c r="H510" i="13"/>
  <c r="E509" i="13"/>
  <c r="B508" i="13"/>
  <c r="L506" i="13"/>
  <c r="I505" i="13"/>
  <c r="F504" i="13"/>
  <c r="C503" i="13"/>
  <c r="M501" i="13"/>
  <c r="J500" i="13"/>
  <c r="G499" i="13"/>
  <c r="D498" i="13"/>
  <c r="A497" i="13"/>
  <c r="K495" i="13"/>
  <c r="H494" i="13"/>
  <c r="E493" i="13"/>
  <c r="B492" i="13"/>
  <c r="L490" i="13"/>
  <c r="I489" i="13"/>
  <c r="F488" i="13"/>
  <c r="C487" i="13"/>
  <c r="M485" i="13"/>
  <c r="J484" i="13"/>
  <c r="G483" i="13"/>
  <c r="D482" i="13"/>
  <c r="A481" i="13"/>
  <c r="K479" i="13"/>
  <c r="H478" i="13"/>
  <c r="E477" i="13"/>
  <c r="B476" i="13"/>
  <c r="L474" i="13"/>
  <c r="I473" i="13"/>
  <c r="F472" i="13"/>
  <c r="C471" i="13"/>
  <c r="M469" i="13"/>
  <c r="J468" i="13"/>
  <c r="G467" i="13"/>
  <c r="D466" i="13"/>
  <c r="A465" i="13"/>
  <c r="K463" i="13"/>
  <c r="H462" i="13"/>
  <c r="E461" i="13"/>
  <c r="B460" i="13"/>
  <c r="L458" i="13"/>
  <c r="I457" i="13"/>
  <c r="F456" i="13"/>
  <c r="C455" i="13"/>
  <c r="M453" i="13"/>
  <c r="J452" i="13"/>
  <c r="G451" i="13"/>
  <c r="D450" i="13"/>
  <c r="A449" i="13"/>
  <c r="K447" i="13"/>
  <c r="H446" i="13"/>
  <c r="E445" i="13"/>
  <c r="B444" i="13"/>
  <c r="L442" i="13"/>
  <c r="I441" i="13"/>
  <c r="F440" i="13"/>
  <c r="C439" i="13"/>
  <c r="M437" i="13"/>
  <c r="J436" i="13"/>
  <c r="G435" i="13"/>
  <c r="D434" i="13"/>
  <c r="A433" i="13"/>
  <c r="K431" i="13"/>
  <c r="H430" i="13"/>
  <c r="E429" i="13"/>
  <c r="B428" i="13"/>
  <c r="L426" i="13"/>
  <c r="I425" i="13"/>
  <c r="F424" i="13"/>
  <c r="C423" i="13"/>
  <c r="M421" i="13"/>
  <c r="J420" i="13"/>
  <c r="G419" i="13"/>
  <c r="D418" i="13"/>
  <c r="A417" i="13"/>
  <c r="K415" i="13"/>
  <c r="H414" i="13"/>
  <c r="E413" i="13"/>
  <c r="B412" i="13"/>
  <c r="L410" i="13"/>
  <c r="I409" i="13"/>
  <c r="F408" i="13"/>
  <c r="C407" i="13"/>
  <c r="M405" i="13"/>
  <c r="J404" i="13"/>
  <c r="G403" i="13"/>
  <c r="D402" i="13"/>
  <c r="A401" i="13"/>
  <c r="K399" i="13"/>
  <c r="H398" i="13"/>
  <c r="E397" i="13"/>
  <c r="B396" i="13"/>
  <c r="L394" i="13"/>
  <c r="I393" i="13"/>
  <c r="F392" i="13"/>
  <c r="C391" i="13"/>
  <c r="M389" i="13"/>
  <c r="J388" i="13"/>
  <c r="G387" i="13"/>
  <c r="J543" i="13"/>
  <c r="G542" i="13"/>
  <c r="D541" i="13"/>
  <c r="A540" i="13"/>
  <c r="K538" i="13"/>
  <c r="H537" i="13"/>
  <c r="E536" i="13"/>
  <c r="B535" i="13"/>
  <c r="L533" i="13"/>
  <c r="I532" i="13"/>
  <c r="F531" i="13"/>
  <c r="C530" i="13"/>
  <c r="M528" i="13"/>
  <c r="J527" i="13"/>
  <c r="G526" i="13"/>
  <c r="D525" i="13"/>
  <c r="A524" i="13"/>
  <c r="K522" i="13"/>
  <c r="H521" i="13"/>
  <c r="E520" i="13"/>
  <c r="B519" i="13"/>
  <c r="L517" i="13"/>
  <c r="I516" i="13"/>
  <c r="F515" i="13"/>
  <c r="C514" i="13"/>
  <c r="M512" i="13"/>
  <c r="J511" i="13"/>
  <c r="G510" i="13"/>
  <c r="D509" i="13"/>
  <c r="A508" i="13"/>
  <c r="K506" i="13"/>
  <c r="H505" i="13"/>
  <c r="E504" i="13"/>
  <c r="B503" i="13"/>
  <c r="L501" i="13"/>
  <c r="I500" i="13"/>
  <c r="F499" i="13"/>
  <c r="C498" i="13"/>
  <c r="M496" i="13"/>
  <c r="J495" i="13"/>
  <c r="G494" i="13"/>
  <c r="D493" i="13"/>
  <c r="A492" i="13"/>
  <c r="K490" i="13"/>
  <c r="H489" i="13"/>
  <c r="E488" i="13"/>
  <c r="B487" i="13"/>
  <c r="L485" i="13"/>
  <c r="I484" i="13"/>
  <c r="F483" i="13"/>
  <c r="C482" i="13"/>
  <c r="M480" i="13"/>
  <c r="J479" i="13"/>
  <c r="G478" i="13"/>
  <c r="D477" i="13"/>
  <c r="A476" i="13"/>
  <c r="K474" i="13"/>
  <c r="H473" i="13"/>
  <c r="E472" i="13"/>
  <c r="B471" i="13"/>
  <c r="L469" i="13"/>
  <c r="I468" i="13"/>
  <c r="F467" i="13"/>
  <c r="C466" i="13"/>
  <c r="M464" i="13"/>
  <c r="J463" i="13"/>
  <c r="G462" i="13"/>
  <c r="D461" i="13"/>
  <c r="A460" i="13"/>
  <c r="K458" i="13"/>
  <c r="H457" i="13"/>
  <c r="E456" i="13"/>
  <c r="B455" i="13"/>
  <c r="L453" i="13"/>
  <c r="I452" i="13"/>
  <c r="F451" i="13"/>
  <c r="C450" i="13"/>
  <c r="M448" i="13"/>
  <c r="J447" i="13"/>
  <c r="G446" i="13"/>
  <c r="D445" i="13"/>
  <c r="A444" i="13"/>
  <c r="K442" i="13"/>
  <c r="H441" i="13"/>
  <c r="E440" i="13"/>
  <c r="B439" i="13"/>
  <c r="L437" i="13"/>
  <c r="I436" i="13"/>
  <c r="F435" i="13"/>
  <c r="C434" i="13"/>
  <c r="M432" i="13"/>
  <c r="J431" i="13"/>
  <c r="G430" i="13"/>
  <c r="D429" i="13"/>
  <c r="A428" i="13"/>
  <c r="K426" i="13"/>
  <c r="H425" i="13"/>
  <c r="E424" i="13"/>
  <c r="B423" i="13"/>
  <c r="L421" i="13"/>
  <c r="I420" i="13"/>
  <c r="F419" i="13"/>
  <c r="C418" i="13"/>
  <c r="M416" i="13"/>
  <c r="J415" i="13"/>
  <c r="G414" i="13"/>
  <c r="D413" i="13"/>
  <c r="A412" i="13"/>
  <c r="K410" i="13"/>
  <c r="H409" i="13"/>
  <c r="E408" i="13"/>
  <c r="B407" i="13"/>
  <c r="L405" i="13"/>
  <c r="I404" i="13"/>
  <c r="F403" i="13"/>
  <c r="C402" i="13"/>
  <c r="M400" i="13"/>
  <c r="J399" i="13"/>
  <c r="G398" i="13"/>
  <c r="D397" i="13"/>
  <c r="A396" i="13"/>
  <c r="K394" i="13"/>
  <c r="H393" i="13"/>
  <c r="E392" i="13"/>
  <c r="B391" i="13"/>
  <c r="L389" i="13"/>
  <c r="I388" i="13"/>
  <c r="F387" i="13"/>
  <c r="I543" i="13"/>
  <c r="F542" i="13"/>
  <c r="C541" i="13"/>
  <c r="M539" i="13"/>
  <c r="J538" i="13"/>
  <c r="G537" i="13"/>
  <c r="D536" i="13"/>
  <c r="A535" i="13"/>
  <c r="K533" i="13"/>
  <c r="H532" i="13"/>
  <c r="E531" i="13"/>
  <c r="B530" i="13"/>
  <c r="L528" i="13"/>
  <c r="I527" i="13"/>
  <c r="F526" i="13"/>
  <c r="C525" i="13"/>
  <c r="M523" i="13"/>
  <c r="J522" i="13"/>
  <c r="G521" i="13"/>
  <c r="D520" i="13"/>
  <c r="A519" i="13"/>
  <c r="K517" i="13"/>
  <c r="H516" i="13"/>
  <c r="E515" i="13"/>
  <c r="B514" i="13"/>
  <c r="L512" i="13"/>
  <c r="I511" i="13"/>
  <c r="F510" i="13"/>
  <c r="C509" i="13"/>
  <c r="M507" i="13"/>
  <c r="J506" i="13"/>
  <c r="G505" i="13"/>
  <c r="D504" i="13"/>
  <c r="A503" i="13"/>
  <c r="K501" i="13"/>
  <c r="H500" i="13"/>
  <c r="E499" i="13"/>
  <c r="B498" i="13"/>
  <c r="L496" i="13"/>
  <c r="I495" i="13"/>
  <c r="F494" i="13"/>
  <c r="C493" i="13"/>
  <c r="M491" i="13"/>
  <c r="J490" i="13"/>
  <c r="G489" i="13"/>
  <c r="D488" i="13"/>
  <c r="A487" i="13"/>
  <c r="K485" i="13"/>
  <c r="H484" i="13"/>
  <c r="E483" i="13"/>
  <c r="B482" i="13"/>
  <c r="L480" i="13"/>
  <c r="I479" i="13"/>
  <c r="F478" i="13"/>
  <c r="C477" i="13"/>
  <c r="M475" i="13"/>
  <c r="J474" i="13"/>
  <c r="G473" i="13"/>
  <c r="D472" i="13"/>
  <c r="A471" i="13"/>
  <c r="K469" i="13"/>
  <c r="H468" i="13"/>
  <c r="E467" i="13"/>
  <c r="B466" i="13"/>
  <c r="L464" i="13"/>
  <c r="I463" i="13"/>
  <c r="F462" i="13"/>
  <c r="C461" i="13"/>
  <c r="M459" i="13"/>
  <c r="J458" i="13"/>
  <c r="G457" i="13"/>
  <c r="D456" i="13"/>
  <c r="A455" i="13"/>
  <c r="K453" i="13"/>
  <c r="H452" i="13"/>
  <c r="E451" i="13"/>
  <c r="B450" i="13"/>
  <c r="L448" i="13"/>
  <c r="I447" i="13"/>
  <c r="F446" i="13"/>
  <c r="C445" i="13"/>
  <c r="M443" i="13"/>
  <c r="J442" i="13"/>
  <c r="G441" i="13"/>
  <c r="D440" i="13"/>
  <c r="A439" i="13"/>
  <c r="K437" i="13"/>
  <c r="H436" i="13"/>
  <c r="E435" i="13"/>
  <c r="B434" i="13"/>
  <c r="L432" i="13"/>
  <c r="I431" i="13"/>
  <c r="F430" i="13"/>
  <c r="C429" i="13"/>
  <c r="M427" i="13"/>
  <c r="J426" i="13"/>
  <c r="G425" i="13"/>
  <c r="D424" i="13"/>
  <c r="A423" i="13"/>
  <c r="K421" i="13"/>
  <c r="H420" i="13"/>
  <c r="E419" i="13"/>
  <c r="B418" i="13"/>
  <c r="L416" i="13"/>
  <c r="I415" i="13"/>
  <c r="F414" i="13"/>
  <c r="C413" i="13"/>
  <c r="M411" i="13"/>
  <c r="J410" i="13"/>
  <c r="G409" i="13"/>
  <c r="D408" i="13"/>
  <c r="A407" i="13"/>
  <c r="K405" i="13"/>
  <c r="H404" i="13"/>
  <c r="E403" i="13"/>
  <c r="B402" i="13"/>
  <c r="L400" i="13"/>
  <c r="I399" i="13"/>
  <c r="F398" i="13"/>
  <c r="C397" i="13"/>
  <c r="M395" i="13"/>
  <c r="J394" i="13"/>
  <c r="G393" i="13"/>
  <c r="D392" i="13"/>
  <c r="A391" i="13"/>
  <c r="K389" i="13"/>
  <c r="H388" i="13"/>
  <c r="E387" i="13"/>
  <c r="B386" i="13"/>
  <c r="J384" i="13"/>
  <c r="F383" i="13"/>
  <c r="B382" i="13"/>
  <c r="J380" i="13"/>
  <c r="F379" i="13"/>
  <c r="B378" i="13"/>
  <c r="J376" i="13"/>
  <c r="F375" i="13"/>
  <c r="B374" i="13"/>
  <c r="J372" i="13"/>
  <c r="F371" i="13"/>
  <c r="B370" i="13"/>
  <c r="J368" i="13"/>
  <c r="F367" i="13"/>
  <c r="B366" i="13"/>
  <c r="J364" i="13"/>
  <c r="F363" i="13"/>
  <c r="B362" i="13"/>
  <c r="L360" i="13"/>
  <c r="I359" i="13"/>
  <c r="F358" i="13"/>
  <c r="C357" i="13"/>
  <c r="M355" i="13"/>
  <c r="J354" i="13"/>
  <c r="G353" i="13"/>
  <c r="D352" i="13"/>
  <c r="A351" i="13"/>
  <c r="K349" i="13"/>
  <c r="H348" i="13"/>
  <c r="E347" i="13"/>
  <c r="B346" i="13"/>
  <c r="L344" i="13"/>
  <c r="I343" i="13"/>
  <c r="F342" i="13"/>
  <c r="C341" i="13"/>
  <c r="M339" i="13"/>
  <c r="J338" i="13"/>
  <c r="G337" i="13"/>
  <c r="D336" i="13"/>
  <c r="A335" i="13"/>
  <c r="K333" i="13"/>
  <c r="H332" i="13"/>
  <c r="E331" i="13"/>
  <c r="B330" i="13"/>
  <c r="L328" i="13"/>
  <c r="I327" i="13"/>
  <c r="F326" i="13"/>
  <c r="C325" i="13"/>
  <c r="M323" i="13"/>
  <c r="J322" i="13"/>
  <c r="G321" i="13"/>
  <c r="D320" i="13"/>
  <c r="A319" i="13"/>
  <c r="K317" i="13"/>
  <c r="H316" i="13"/>
  <c r="E315" i="13"/>
  <c r="B314" i="13"/>
  <c r="L312" i="13"/>
  <c r="I311" i="13"/>
  <c r="F310" i="13"/>
  <c r="C309" i="13"/>
  <c r="M307" i="13"/>
  <c r="J306" i="13"/>
  <c r="G305" i="13"/>
  <c r="D304" i="13"/>
  <c r="A303" i="13"/>
  <c r="K301" i="13"/>
  <c r="H300" i="13"/>
  <c r="E299" i="13"/>
  <c r="B298" i="13"/>
  <c r="L296" i="13"/>
  <c r="I295" i="13"/>
  <c r="F294" i="13"/>
  <c r="C293" i="13"/>
  <c r="M291" i="13"/>
  <c r="J290" i="13"/>
  <c r="F289" i="13"/>
  <c r="B288" i="13"/>
  <c r="J286" i="13"/>
  <c r="F285" i="13"/>
  <c r="B284" i="13"/>
  <c r="J282" i="13"/>
  <c r="F281" i="13"/>
  <c r="B280" i="13"/>
  <c r="J278" i="13"/>
  <c r="F277" i="13"/>
  <c r="B276" i="13"/>
  <c r="J274" i="13"/>
  <c r="F273" i="13"/>
  <c r="B272" i="13"/>
  <c r="J270" i="13"/>
  <c r="F269" i="13"/>
  <c r="B268" i="13"/>
  <c r="J266" i="13"/>
  <c r="F265" i="13"/>
  <c r="B264" i="13"/>
  <c r="J262" i="13"/>
  <c r="F261" i="13"/>
  <c r="B260" i="13"/>
  <c r="J258" i="13"/>
  <c r="F257" i="13"/>
  <c r="B256" i="13"/>
  <c r="J254" i="13"/>
  <c r="F253" i="13"/>
  <c r="B252" i="13"/>
  <c r="J250" i="13"/>
  <c r="F249" i="13"/>
  <c r="B248" i="13"/>
  <c r="J246" i="13"/>
  <c r="F245" i="13"/>
  <c r="B244" i="13"/>
  <c r="J242" i="13"/>
  <c r="F241" i="13"/>
  <c r="B240" i="13"/>
  <c r="J238" i="13"/>
  <c r="F237" i="13"/>
  <c r="B236" i="13"/>
  <c r="L234" i="13"/>
  <c r="H233" i="13"/>
  <c r="D232" i="13"/>
  <c r="M230" i="13"/>
  <c r="H229" i="13"/>
  <c r="D228" i="13"/>
  <c r="A227" i="13"/>
  <c r="J225" i="13"/>
  <c r="F224" i="13"/>
  <c r="B223" i="13"/>
  <c r="J221" i="13"/>
  <c r="F220" i="13"/>
  <c r="C219" i="13"/>
  <c r="M217" i="13"/>
  <c r="H216" i="13"/>
  <c r="D215" i="13"/>
  <c r="M213" i="13"/>
  <c r="H212" i="13"/>
  <c r="E211" i="13"/>
  <c r="B210" i="13"/>
  <c r="J208" i="13"/>
  <c r="F207" i="13"/>
  <c r="B206" i="13"/>
  <c r="J204" i="13"/>
  <c r="G203" i="13"/>
  <c r="D202" i="13"/>
  <c r="M200" i="13"/>
  <c r="H199" i="13"/>
  <c r="D198" i="13"/>
  <c r="M196" i="13"/>
  <c r="I195" i="13"/>
  <c r="F194" i="13"/>
  <c r="B193" i="13"/>
  <c r="J191" i="13"/>
  <c r="F190" i="13"/>
  <c r="B189" i="13"/>
  <c r="K187" i="13"/>
  <c r="H186" i="13"/>
  <c r="D185" i="13"/>
  <c r="M183" i="13"/>
  <c r="H182" i="13"/>
  <c r="D181" i="13"/>
  <c r="M179" i="13"/>
  <c r="J178" i="13"/>
  <c r="F177" i="13"/>
  <c r="B176" i="13"/>
  <c r="J174" i="13"/>
  <c r="F173" i="13"/>
  <c r="B172" i="13"/>
  <c r="L170" i="13"/>
  <c r="H169" i="13"/>
  <c r="D168" i="13"/>
  <c r="M166" i="13"/>
  <c r="H165" i="13"/>
  <c r="D164" i="13"/>
  <c r="M162" i="13"/>
  <c r="H161" i="13"/>
  <c r="D160" i="13"/>
  <c r="M158" i="13"/>
  <c r="H157" i="13"/>
  <c r="D156" i="13"/>
  <c r="A155" i="13"/>
  <c r="J153" i="13"/>
  <c r="F152" i="13"/>
  <c r="B151" i="13"/>
  <c r="J149" i="13"/>
  <c r="F148" i="13"/>
  <c r="B147" i="13"/>
  <c r="J145" i="13"/>
  <c r="F144" i="13"/>
  <c r="B143" i="13"/>
  <c r="J141" i="13"/>
  <c r="F140" i="13"/>
  <c r="C139" i="13"/>
  <c r="M137" i="13"/>
  <c r="H136" i="13"/>
  <c r="D135" i="13"/>
  <c r="M133" i="13"/>
  <c r="H132" i="13"/>
  <c r="D131" i="13"/>
  <c r="M129" i="13"/>
  <c r="H128" i="13"/>
  <c r="D127" i="13"/>
  <c r="M125" i="13"/>
  <c r="H124" i="13"/>
  <c r="E123" i="13"/>
  <c r="B122" i="13"/>
  <c r="J120" i="13"/>
  <c r="F119" i="13"/>
  <c r="B118" i="13"/>
  <c r="J116" i="13"/>
  <c r="G115" i="13"/>
  <c r="D114" i="13"/>
  <c r="M112" i="13"/>
  <c r="H111" i="13"/>
  <c r="D110" i="13"/>
  <c r="M108" i="13"/>
  <c r="I107" i="13"/>
  <c r="F106" i="13"/>
  <c r="B105" i="13"/>
  <c r="J103" i="13"/>
  <c r="F102" i="13"/>
  <c r="B101" i="13"/>
  <c r="K99" i="13"/>
  <c r="H98" i="13"/>
  <c r="D97" i="13"/>
  <c r="M95" i="13"/>
  <c r="H94" i="13"/>
  <c r="D93" i="13"/>
  <c r="M91" i="13"/>
  <c r="H90" i="13"/>
  <c r="D89" i="13"/>
  <c r="M87" i="13"/>
  <c r="H86" i="13"/>
  <c r="D85" i="13"/>
  <c r="M83" i="13"/>
  <c r="H82" i="13"/>
  <c r="D81" i="13"/>
  <c r="M79" i="13"/>
  <c r="H78" i="13"/>
  <c r="D77" i="13"/>
  <c r="M75" i="13"/>
  <c r="H74" i="13"/>
  <c r="E73" i="13"/>
  <c r="B72" i="13"/>
  <c r="L70" i="13"/>
  <c r="I69" i="13"/>
  <c r="F68" i="13"/>
  <c r="C67" i="13"/>
  <c r="M65" i="13"/>
  <c r="J64" i="13"/>
  <c r="G63" i="13"/>
  <c r="D62" i="13"/>
  <c r="A61" i="13"/>
  <c r="K59" i="13"/>
  <c r="H58" i="13"/>
  <c r="E57" i="13"/>
  <c r="B56" i="13"/>
  <c r="E386" i="13"/>
  <c r="A385" i="13"/>
  <c r="I383" i="13"/>
  <c r="E382" i="13"/>
  <c r="A381" i="13"/>
  <c r="I379" i="13"/>
  <c r="E378" i="13"/>
  <c r="A377" i="13"/>
  <c r="I375" i="13"/>
  <c r="E374" i="13"/>
  <c r="A373" i="13"/>
  <c r="I371" i="13"/>
  <c r="E370" i="13"/>
  <c r="A369" i="13"/>
  <c r="I367" i="13"/>
  <c r="E366" i="13"/>
  <c r="A365" i="13"/>
  <c r="I363" i="13"/>
  <c r="E362" i="13"/>
  <c r="B361" i="13"/>
  <c r="L359" i="13"/>
  <c r="I358" i="13"/>
  <c r="F357" i="13"/>
  <c r="C356" i="13"/>
  <c r="M354" i="13"/>
  <c r="J353" i="13"/>
  <c r="G352" i="13"/>
  <c r="D351" i="13"/>
  <c r="A350" i="13"/>
  <c r="K348" i="13"/>
  <c r="H347" i="13"/>
  <c r="E346" i="13"/>
  <c r="B345" i="13"/>
  <c r="L343" i="13"/>
  <c r="I342" i="13"/>
  <c r="F341" i="13"/>
  <c r="C340" i="13"/>
  <c r="K576" i="13"/>
  <c r="M574" i="13"/>
  <c r="J573" i="13"/>
  <c r="G572" i="13"/>
  <c r="D571" i="13"/>
  <c r="A570" i="13"/>
  <c r="K568" i="13"/>
  <c r="H567" i="13"/>
  <c r="E566" i="13"/>
  <c r="B565" i="13"/>
  <c r="L563" i="13"/>
  <c r="I562" i="13"/>
  <c r="F561" i="13"/>
  <c r="C560" i="13"/>
  <c r="M558" i="13"/>
  <c r="J557" i="13"/>
  <c r="G556" i="13"/>
  <c r="D555" i="13"/>
  <c r="A554" i="13"/>
  <c r="I552" i="13"/>
  <c r="E551" i="13"/>
  <c r="A550" i="13"/>
  <c r="I548" i="13"/>
  <c r="E547" i="13"/>
  <c r="A546" i="13"/>
  <c r="K544" i="13"/>
  <c r="H1060" i="13"/>
  <c r="D968" i="13"/>
  <c r="F947" i="13"/>
  <c r="A927" i="13"/>
  <c r="E907" i="13"/>
  <c r="I887" i="13"/>
  <c r="M867" i="13"/>
  <c r="J846" i="13"/>
  <c r="D833" i="13"/>
  <c r="C820" i="13"/>
  <c r="A807" i="13"/>
  <c r="L793" i="13"/>
  <c r="K780" i="13"/>
  <c r="F767" i="13"/>
  <c r="C756" i="13"/>
  <c r="G745" i="13"/>
  <c r="L734" i="13"/>
  <c r="C724" i="13"/>
  <c r="G713" i="13"/>
  <c r="L702" i="13"/>
  <c r="C692" i="13"/>
  <c r="G681" i="13"/>
  <c r="B671" i="13"/>
  <c r="D661" i="13"/>
  <c r="F651" i="13"/>
  <c r="H641" i="13"/>
  <c r="J631" i="13"/>
  <c r="L621" i="13"/>
  <c r="A612" i="13"/>
  <c r="C602" i="13"/>
  <c r="E592" i="13"/>
  <c r="L586" i="13"/>
  <c r="K583" i="13"/>
  <c r="H582" i="13"/>
  <c r="E581" i="13"/>
  <c r="B580" i="13"/>
  <c r="L578" i="13"/>
  <c r="I577" i="13"/>
  <c r="F576" i="13"/>
  <c r="C575" i="13"/>
  <c r="M573" i="13"/>
  <c r="J572" i="13"/>
  <c r="G571" i="13"/>
  <c r="D570" i="13"/>
  <c r="A569" i="13"/>
  <c r="K567" i="13"/>
  <c r="H566" i="13"/>
  <c r="E565" i="13"/>
  <c r="B564" i="13"/>
  <c r="L562" i="13"/>
  <c r="I561" i="13"/>
  <c r="F560" i="13"/>
  <c r="C559" i="13"/>
  <c r="M557" i="13"/>
  <c r="J556" i="13"/>
  <c r="G555" i="13"/>
  <c r="D554" i="13"/>
  <c r="M552" i="13"/>
  <c r="H551" i="13"/>
  <c r="D550" i="13"/>
  <c r="M548" i="13"/>
  <c r="H547" i="13"/>
  <c r="D546" i="13"/>
  <c r="A545" i="13"/>
  <c r="J1050" i="13"/>
  <c r="A967" i="13"/>
  <c r="B946" i="13"/>
  <c r="K925" i="13"/>
  <c r="B906" i="13"/>
  <c r="F886" i="13"/>
  <c r="J866" i="13"/>
  <c r="L845" i="13"/>
  <c r="G832" i="13"/>
  <c r="E819" i="13"/>
  <c r="C806" i="13"/>
  <c r="B793" i="13"/>
  <c r="M779" i="13"/>
  <c r="G766" i="13"/>
  <c r="G755" i="13"/>
  <c r="L744" i="13"/>
  <c r="C734" i="13"/>
  <c r="G723" i="13"/>
  <c r="L712" i="13"/>
  <c r="C702" i="13"/>
  <c r="G691" i="13"/>
  <c r="L680" i="13"/>
  <c r="G670" i="13"/>
  <c r="I660" i="13"/>
  <c r="K650" i="13"/>
  <c r="M640" i="13"/>
  <c r="B631" i="13"/>
  <c r="D621" i="13"/>
  <c r="F611" i="13"/>
  <c r="H601" i="13"/>
  <c r="J591" i="13"/>
  <c r="H586" i="13"/>
  <c r="J583" i="13"/>
  <c r="G582" i="13"/>
  <c r="D581" i="13"/>
  <c r="A580" i="13"/>
  <c r="K578" i="13"/>
  <c r="H577" i="13"/>
  <c r="E576" i="13"/>
  <c r="B575" i="13"/>
  <c r="L573" i="13"/>
  <c r="I572" i="13"/>
  <c r="F571" i="13"/>
  <c r="C570" i="13"/>
  <c r="M568" i="13"/>
  <c r="J567" i="13"/>
  <c r="G566" i="13"/>
  <c r="D565" i="13"/>
  <c r="A564" i="13"/>
  <c r="K562" i="13"/>
  <c r="H561" i="13"/>
  <c r="E560" i="13"/>
  <c r="B559" i="13"/>
  <c r="L557" i="13"/>
  <c r="I556" i="13"/>
  <c r="F555" i="13"/>
  <c r="C554" i="13"/>
  <c r="L552" i="13"/>
  <c r="G551" i="13"/>
  <c r="C550" i="13"/>
  <c r="L548" i="13"/>
  <c r="G547" i="13"/>
  <c r="C546" i="13"/>
  <c r="M544" i="13"/>
  <c r="L1040" i="13"/>
  <c r="K965" i="13"/>
  <c r="J944" i="13"/>
  <c r="H924" i="13"/>
  <c r="L904" i="13"/>
  <c r="C885" i="13"/>
  <c r="F865" i="13"/>
  <c r="A845" i="13"/>
  <c r="I831" i="13"/>
  <c r="G818" i="13"/>
  <c r="F805" i="13"/>
  <c r="D792" i="13"/>
  <c r="B779" i="13"/>
  <c r="I765" i="13"/>
  <c r="L754" i="13"/>
  <c r="C744" i="13"/>
  <c r="G733" i="13"/>
  <c r="L722" i="13"/>
  <c r="C712" i="13"/>
  <c r="G701" i="13"/>
  <c r="L690" i="13"/>
  <c r="C680" i="13"/>
  <c r="L669" i="13"/>
  <c r="A660" i="13"/>
  <c r="C650" i="13"/>
  <c r="E640" i="13"/>
  <c r="G630" i="13"/>
  <c r="I620" i="13"/>
  <c r="K610" i="13"/>
  <c r="M600" i="13"/>
  <c r="D591" i="13"/>
  <c r="D586" i="13"/>
  <c r="I583" i="13"/>
  <c r="F582" i="13"/>
  <c r="C581" i="13"/>
  <c r="M579" i="13"/>
  <c r="J578" i="13"/>
  <c r="G577" i="13"/>
  <c r="D576" i="13"/>
  <c r="A575" i="13"/>
  <c r="K573" i="13"/>
  <c r="H572" i="13"/>
  <c r="E571" i="13"/>
  <c r="B570" i="13"/>
  <c r="L568" i="13"/>
  <c r="I567" i="13"/>
  <c r="F566" i="13"/>
  <c r="C565" i="13"/>
  <c r="M563" i="13"/>
  <c r="J562" i="13"/>
  <c r="G561" i="13"/>
  <c r="D560" i="13"/>
  <c r="A559" i="13"/>
  <c r="K557" i="13"/>
  <c r="H556" i="13"/>
  <c r="E555" i="13"/>
  <c r="B554" i="13"/>
  <c r="J552" i="13"/>
  <c r="F551" i="13"/>
  <c r="B550" i="13"/>
  <c r="J548" i="13"/>
  <c r="F547" i="13"/>
  <c r="B546" i="13"/>
  <c r="L544" i="13"/>
  <c r="H543" i="13"/>
  <c r="E542" i="13"/>
  <c r="B541" i="13"/>
  <c r="L539" i="13"/>
  <c r="I538" i="13"/>
  <c r="F537" i="13"/>
  <c r="C536" i="13"/>
  <c r="M534" i="13"/>
  <c r="J533" i="13"/>
  <c r="G532" i="13"/>
  <c r="D531" i="13"/>
  <c r="A530" i="13"/>
  <c r="K528" i="13"/>
  <c r="H527" i="13"/>
  <c r="E526" i="13"/>
  <c r="B525" i="13"/>
  <c r="L523" i="13"/>
  <c r="I522" i="13"/>
  <c r="F521" i="13"/>
  <c r="C520" i="13"/>
  <c r="M518" i="13"/>
  <c r="J517" i="13"/>
  <c r="G516" i="13"/>
  <c r="D515" i="13"/>
  <c r="A514" i="13"/>
  <c r="K512" i="13"/>
  <c r="H511" i="13"/>
  <c r="E510" i="13"/>
  <c r="B509" i="13"/>
  <c r="L507" i="13"/>
  <c r="I506" i="13"/>
  <c r="F505" i="13"/>
  <c r="C504" i="13"/>
  <c r="M502" i="13"/>
  <c r="J501" i="13"/>
  <c r="G500" i="13"/>
  <c r="D499" i="13"/>
  <c r="A498" i="13"/>
  <c r="K496" i="13"/>
  <c r="H495" i="13"/>
  <c r="E494" i="13"/>
  <c r="B493" i="13"/>
  <c r="L491" i="13"/>
  <c r="I490" i="13"/>
  <c r="F489" i="13"/>
  <c r="C488" i="13"/>
  <c r="M486" i="13"/>
  <c r="J485" i="13"/>
  <c r="G484" i="13"/>
  <c r="D483" i="13"/>
  <c r="A482" i="13"/>
  <c r="K480" i="13"/>
  <c r="H479" i="13"/>
  <c r="E478" i="13"/>
  <c r="B477" i="13"/>
  <c r="L475" i="13"/>
  <c r="I474" i="13"/>
  <c r="F473" i="13"/>
  <c r="C472" i="13"/>
  <c r="M470" i="13"/>
  <c r="J469" i="13"/>
  <c r="G468" i="13"/>
  <c r="D467" i="13"/>
  <c r="A466" i="13"/>
  <c r="K464" i="13"/>
  <c r="H463" i="13"/>
  <c r="E462" i="13"/>
  <c r="B461" i="13"/>
  <c r="L459" i="13"/>
  <c r="I458" i="13"/>
  <c r="F457" i="13"/>
  <c r="C456" i="13"/>
  <c r="M454" i="13"/>
  <c r="J453" i="13"/>
  <c r="G452" i="13"/>
  <c r="D451" i="13"/>
  <c r="A450" i="13"/>
  <c r="K448" i="13"/>
  <c r="H447" i="13"/>
  <c r="E446" i="13"/>
  <c r="B445" i="13"/>
  <c r="L443" i="13"/>
  <c r="I442" i="13"/>
  <c r="F441" i="13"/>
  <c r="C440" i="13"/>
  <c r="M438" i="13"/>
  <c r="J437" i="13"/>
  <c r="G436" i="13"/>
  <c r="D435" i="13"/>
  <c r="A434" i="13"/>
  <c r="K432" i="13"/>
  <c r="H431" i="13"/>
  <c r="E430" i="13"/>
  <c r="B429" i="13"/>
  <c r="L427" i="13"/>
  <c r="I426" i="13"/>
  <c r="F425" i="13"/>
  <c r="C424" i="13"/>
  <c r="M422" i="13"/>
  <c r="J421" i="13"/>
  <c r="G420" i="13"/>
  <c r="D419" i="13"/>
  <c r="A418" i="13"/>
  <c r="K416" i="13"/>
  <c r="H415" i="13"/>
  <c r="E414" i="13"/>
  <c r="B413" i="13"/>
  <c r="L411" i="13"/>
  <c r="I410" i="13"/>
  <c r="F409" i="13"/>
  <c r="C408" i="13"/>
  <c r="M406" i="13"/>
  <c r="J405" i="13"/>
  <c r="G404" i="13"/>
  <c r="D403" i="13"/>
  <c r="A402" i="13"/>
  <c r="K400" i="13"/>
  <c r="H399" i="13"/>
  <c r="E398" i="13"/>
  <c r="B397" i="13"/>
  <c r="L395" i="13"/>
  <c r="I394" i="13"/>
  <c r="F393" i="13"/>
  <c r="C392" i="13"/>
  <c r="M390" i="13"/>
  <c r="J389" i="13"/>
  <c r="G388" i="13"/>
  <c r="D387" i="13"/>
  <c r="G543" i="13"/>
  <c r="D542" i="13"/>
  <c r="A541" i="13"/>
  <c r="K539" i="13"/>
  <c r="H538" i="13"/>
  <c r="E537" i="13"/>
  <c r="B536" i="13"/>
  <c r="L534" i="13"/>
  <c r="I533" i="13"/>
  <c r="F532" i="13"/>
  <c r="C531" i="13"/>
  <c r="M529" i="13"/>
  <c r="J528" i="13"/>
  <c r="G527" i="13"/>
  <c r="D526" i="13"/>
  <c r="A525" i="13"/>
  <c r="K523" i="13"/>
  <c r="H522" i="13"/>
  <c r="E521" i="13"/>
  <c r="B520" i="13"/>
  <c r="L518" i="13"/>
  <c r="I517" i="13"/>
  <c r="F516" i="13"/>
  <c r="C515" i="13"/>
  <c r="M513" i="13"/>
  <c r="J512" i="13"/>
  <c r="G511" i="13"/>
  <c r="D510" i="13"/>
  <c r="A509" i="13"/>
  <c r="K507" i="13"/>
  <c r="H506" i="13"/>
  <c r="E505" i="13"/>
  <c r="B504" i="13"/>
  <c r="L502" i="13"/>
  <c r="I501" i="13"/>
  <c r="F500" i="13"/>
  <c r="C499" i="13"/>
  <c r="M497" i="13"/>
  <c r="J496" i="13"/>
  <c r="G495" i="13"/>
  <c r="D494" i="13"/>
  <c r="A493" i="13"/>
  <c r="K491" i="13"/>
  <c r="H490" i="13"/>
  <c r="E489" i="13"/>
  <c r="B488" i="13"/>
  <c r="L486" i="13"/>
  <c r="I485" i="13"/>
  <c r="F484" i="13"/>
  <c r="C483" i="13"/>
  <c r="M481" i="13"/>
  <c r="J480" i="13"/>
  <c r="G479" i="13"/>
  <c r="D478" i="13"/>
  <c r="A477" i="13"/>
  <c r="K475" i="13"/>
  <c r="H474" i="13"/>
  <c r="E473" i="13"/>
  <c r="B472" i="13"/>
  <c r="L470" i="13"/>
  <c r="I469" i="13"/>
  <c r="F468" i="13"/>
  <c r="C467" i="13"/>
  <c r="M465" i="13"/>
  <c r="J464" i="13"/>
  <c r="G463" i="13"/>
  <c r="D462" i="13"/>
  <c r="A461" i="13"/>
  <c r="K459" i="13"/>
  <c r="H458" i="13"/>
  <c r="E457" i="13"/>
  <c r="B456" i="13"/>
  <c r="L454" i="13"/>
  <c r="I453" i="13"/>
  <c r="F452" i="13"/>
  <c r="C451" i="13"/>
  <c r="M449" i="13"/>
  <c r="J448" i="13"/>
  <c r="G447" i="13"/>
  <c r="D446" i="13"/>
  <c r="A445" i="13"/>
  <c r="K443" i="13"/>
  <c r="H442" i="13"/>
  <c r="E441" i="13"/>
  <c r="B440" i="13"/>
  <c r="L438" i="13"/>
  <c r="I437" i="13"/>
  <c r="F436" i="13"/>
  <c r="C435" i="13"/>
  <c r="M433" i="13"/>
  <c r="J432" i="13"/>
  <c r="G431" i="13"/>
  <c r="D430" i="13"/>
  <c r="A429" i="13"/>
  <c r="K427" i="13"/>
  <c r="H426" i="13"/>
  <c r="E425" i="13"/>
  <c r="B424" i="13"/>
  <c r="L422" i="13"/>
  <c r="I421" i="13"/>
  <c r="F420" i="13"/>
  <c r="C419" i="13"/>
  <c r="M417" i="13"/>
  <c r="J416" i="13"/>
  <c r="G415" i="13"/>
  <c r="D414" i="13"/>
  <c r="A413" i="13"/>
  <c r="K411" i="13"/>
  <c r="H410" i="13"/>
  <c r="E409" i="13"/>
  <c r="B408" i="13"/>
  <c r="L406" i="13"/>
  <c r="I405" i="13"/>
  <c r="F404" i="13"/>
  <c r="C403" i="13"/>
  <c r="M401" i="13"/>
  <c r="J400" i="13"/>
  <c r="G399" i="13"/>
  <c r="D398" i="13"/>
  <c r="A397" i="13"/>
  <c r="K395" i="13"/>
  <c r="H394" i="13"/>
  <c r="E393" i="13"/>
  <c r="B392" i="13"/>
  <c r="L390" i="13"/>
  <c r="I389" i="13"/>
  <c r="F388" i="13"/>
  <c r="C387" i="13"/>
  <c r="F543" i="13"/>
  <c r="C542" i="13"/>
  <c r="M540" i="13"/>
  <c r="J539" i="13"/>
  <c r="G538" i="13"/>
  <c r="D537" i="13"/>
  <c r="A536" i="13"/>
  <c r="K534" i="13"/>
  <c r="H533" i="13"/>
  <c r="E532" i="13"/>
  <c r="B531" i="13"/>
  <c r="L529" i="13"/>
  <c r="I528" i="13"/>
  <c r="F527" i="13"/>
  <c r="C526" i="13"/>
  <c r="M524" i="13"/>
  <c r="J523" i="13"/>
  <c r="G522" i="13"/>
  <c r="D521" i="13"/>
  <c r="A520" i="13"/>
  <c r="K518" i="13"/>
  <c r="H517" i="13"/>
  <c r="E516" i="13"/>
  <c r="B515" i="13"/>
  <c r="L513" i="13"/>
  <c r="I512" i="13"/>
  <c r="F511" i="13"/>
  <c r="C510" i="13"/>
  <c r="M508" i="13"/>
  <c r="J507" i="13"/>
  <c r="G506" i="13"/>
  <c r="D505" i="13"/>
  <c r="A504" i="13"/>
  <c r="K502" i="13"/>
  <c r="H501" i="13"/>
  <c r="E500" i="13"/>
  <c r="B499" i="13"/>
  <c r="L497" i="13"/>
  <c r="I496" i="13"/>
  <c r="F495" i="13"/>
  <c r="C494" i="13"/>
  <c r="M492" i="13"/>
  <c r="J491" i="13"/>
  <c r="G490" i="13"/>
  <c r="D489" i="13"/>
  <c r="A488" i="13"/>
  <c r="K486" i="13"/>
  <c r="H485" i="13"/>
  <c r="E484" i="13"/>
  <c r="B483" i="13"/>
  <c r="L481" i="13"/>
  <c r="I480" i="13"/>
  <c r="F479" i="13"/>
  <c r="C478" i="13"/>
  <c r="M476" i="13"/>
  <c r="J475" i="13"/>
  <c r="G474" i="13"/>
  <c r="D473" i="13"/>
  <c r="A472" i="13"/>
  <c r="K470" i="13"/>
  <c r="H469" i="13"/>
  <c r="E468" i="13"/>
  <c r="B467" i="13"/>
  <c r="L465" i="13"/>
  <c r="I464" i="13"/>
  <c r="F463" i="13"/>
  <c r="C462" i="13"/>
  <c r="M460" i="13"/>
  <c r="J459" i="13"/>
  <c r="G458" i="13"/>
  <c r="D457" i="13"/>
  <c r="A456" i="13"/>
  <c r="K454" i="13"/>
  <c r="H453" i="13"/>
  <c r="E452" i="13"/>
  <c r="B451" i="13"/>
  <c r="L449" i="13"/>
  <c r="I448" i="13"/>
  <c r="F447" i="13"/>
  <c r="C446" i="13"/>
  <c r="M444" i="13"/>
  <c r="J443" i="13"/>
  <c r="G442" i="13"/>
  <c r="D441" i="13"/>
  <c r="A440" i="13"/>
  <c r="K438" i="13"/>
  <c r="H437" i="13"/>
  <c r="E436" i="13"/>
  <c r="B435" i="13"/>
  <c r="L433" i="13"/>
  <c r="I432" i="13"/>
  <c r="F431" i="13"/>
  <c r="C430" i="13"/>
  <c r="M428" i="13"/>
  <c r="J427" i="13"/>
  <c r="G426" i="13"/>
  <c r="D425" i="13"/>
  <c r="A424" i="13"/>
  <c r="K422" i="13"/>
  <c r="H421" i="13"/>
  <c r="E420" i="13"/>
  <c r="B419" i="13"/>
  <c r="L417" i="13"/>
  <c r="I416" i="13"/>
  <c r="F415" i="13"/>
  <c r="C414" i="13"/>
  <c r="M412" i="13"/>
  <c r="J411" i="13"/>
  <c r="G410" i="13"/>
  <c r="D409" i="13"/>
  <c r="A408" i="13"/>
  <c r="K406" i="13"/>
  <c r="H405" i="13"/>
  <c r="E404" i="13"/>
  <c r="B403" i="13"/>
  <c r="L401" i="13"/>
  <c r="I400" i="13"/>
  <c r="F399" i="13"/>
  <c r="C398" i="13"/>
  <c r="M396" i="13"/>
  <c r="J395" i="13"/>
  <c r="G394" i="13"/>
  <c r="D393" i="13"/>
  <c r="A392" i="13"/>
  <c r="K390" i="13"/>
  <c r="H389" i="13"/>
  <c r="E388" i="13"/>
  <c r="B387" i="13"/>
  <c r="E543" i="13"/>
  <c r="B542" i="13"/>
  <c r="L540" i="13"/>
  <c r="I539" i="13"/>
  <c r="F538" i="13"/>
  <c r="C537" i="13"/>
  <c r="M535" i="13"/>
  <c r="J534" i="13"/>
  <c r="G533" i="13"/>
  <c r="D532" i="13"/>
  <c r="A531" i="13"/>
  <c r="K529" i="13"/>
  <c r="H528" i="13"/>
  <c r="E527" i="13"/>
  <c r="B526" i="13"/>
  <c r="L524" i="13"/>
  <c r="I523" i="13"/>
  <c r="F522" i="13"/>
  <c r="C521" i="13"/>
  <c r="M519" i="13"/>
  <c r="J518" i="13"/>
  <c r="G517" i="13"/>
  <c r="D516" i="13"/>
  <c r="A515" i="13"/>
  <c r="K513" i="13"/>
  <c r="H512" i="13"/>
  <c r="E511" i="13"/>
  <c r="B510" i="13"/>
  <c r="L508" i="13"/>
  <c r="I507" i="13"/>
  <c r="F506" i="13"/>
  <c r="C505" i="13"/>
  <c r="M503" i="13"/>
  <c r="J502" i="13"/>
  <c r="G501" i="13"/>
  <c r="D500" i="13"/>
  <c r="A499" i="13"/>
  <c r="K497" i="13"/>
  <c r="H496" i="13"/>
  <c r="E495" i="13"/>
  <c r="B494" i="13"/>
  <c r="L492" i="13"/>
  <c r="I491" i="13"/>
  <c r="F490" i="13"/>
  <c r="C489" i="13"/>
  <c r="M487" i="13"/>
  <c r="J486" i="13"/>
  <c r="G485" i="13"/>
  <c r="D484" i="13"/>
  <c r="A483" i="13"/>
  <c r="K481" i="13"/>
  <c r="H480" i="13"/>
  <c r="E479" i="13"/>
  <c r="B478" i="13"/>
  <c r="L476" i="13"/>
  <c r="I475" i="13"/>
  <c r="F474" i="13"/>
  <c r="C473" i="13"/>
  <c r="M471" i="13"/>
  <c r="J470" i="13"/>
  <c r="G469" i="13"/>
  <c r="D468" i="13"/>
  <c r="A467" i="13"/>
  <c r="K465" i="13"/>
  <c r="H464" i="13"/>
  <c r="E463" i="13"/>
  <c r="B462" i="13"/>
  <c r="L460" i="13"/>
  <c r="I459" i="13"/>
  <c r="F458" i="13"/>
  <c r="C457" i="13"/>
  <c r="M455" i="13"/>
  <c r="J454" i="13"/>
  <c r="G453" i="13"/>
  <c r="D452" i="13"/>
  <c r="A451" i="13"/>
  <c r="K449" i="13"/>
  <c r="H448" i="13"/>
  <c r="E447" i="13"/>
  <c r="B446" i="13"/>
  <c r="L444" i="13"/>
  <c r="I443" i="13"/>
  <c r="F442" i="13"/>
  <c r="C441" i="13"/>
  <c r="M439" i="13"/>
  <c r="J438" i="13"/>
  <c r="G437" i="13"/>
  <c r="D436" i="13"/>
  <c r="A435" i="13"/>
  <c r="K433" i="13"/>
  <c r="H432" i="13"/>
  <c r="E431" i="13"/>
  <c r="B430" i="13"/>
  <c r="L428" i="13"/>
  <c r="I427" i="13"/>
  <c r="F426" i="13"/>
  <c r="C425" i="13"/>
  <c r="M423" i="13"/>
  <c r="J422" i="13"/>
  <c r="G421" i="13"/>
  <c r="D420" i="13"/>
  <c r="A419" i="13"/>
  <c r="K417" i="13"/>
  <c r="H416" i="13"/>
  <c r="E415" i="13"/>
  <c r="B414" i="13"/>
  <c r="L412" i="13"/>
  <c r="I411" i="13"/>
  <c r="F410" i="13"/>
  <c r="C409" i="13"/>
  <c r="M407" i="13"/>
  <c r="J406" i="13"/>
  <c r="G405" i="13"/>
  <c r="D404" i="13"/>
  <c r="A403" i="13"/>
  <c r="K401" i="13"/>
  <c r="H400" i="13"/>
  <c r="E399" i="13"/>
  <c r="B398" i="13"/>
  <c r="L396" i="13"/>
  <c r="I395" i="13"/>
  <c r="F394" i="13"/>
  <c r="C393" i="13"/>
  <c r="M391" i="13"/>
  <c r="J390" i="13"/>
  <c r="G389" i="13"/>
  <c r="D388" i="13"/>
  <c r="A387" i="13"/>
  <c r="J385" i="13"/>
  <c r="F384" i="13"/>
  <c r="B383" i="13"/>
  <c r="J381" i="13"/>
  <c r="F380" i="13"/>
  <c r="B379" i="13"/>
  <c r="J377" i="13"/>
  <c r="F376" i="13"/>
  <c r="B375" i="13"/>
  <c r="J373" i="13"/>
  <c r="F372" i="13"/>
  <c r="B371" i="13"/>
  <c r="J369" i="13"/>
  <c r="F368" i="13"/>
  <c r="B367" i="13"/>
  <c r="J365" i="13"/>
  <c r="F364" i="13"/>
  <c r="B363" i="13"/>
  <c r="K361" i="13"/>
  <c r="H360" i="13"/>
  <c r="E359" i="13"/>
  <c r="B358" i="13"/>
  <c r="L356" i="13"/>
  <c r="I355" i="13"/>
  <c r="F354" i="13"/>
  <c r="C353" i="13"/>
  <c r="M351" i="13"/>
  <c r="J350" i="13"/>
  <c r="G349" i="13"/>
  <c r="D348" i="13"/>
  <c r="A347" i="13"/>
  <c r="K345" i="13"/>
  <c r="H344" i="13"/>
  <c r="E343" i="13"/>
  <c r="B342" i="13"/>
  <c r="L340" i="13"/>
  <c r="I339" i="13"/>
  <c r="F338" i="13"/>
  <c r="C337" i="13"/>
  <c r="M335" i="13"/>
  <c r="J334" i="13"/>
  <c r="G333" i="13"/>
  <c r="D332" i="13"/>
  <c r="A331" i="13"/>
  <c r="K329" i="13"/>
  <c r="H328" i="13"/>
  <c r="E327" i="13"/>
  <c r="B326" i="13"/>
  <c r="L324" i="13"/>
  <c r="I323" i="13"/>
  <c r="F322" i="13"/>
  <c r="C321" i="13"/>
  <c r="M319" i="13"/>
  <c r="J318" i="13"/>
  <c r="G317" i="13"/>
  <c r="D316" i="13"/>
  <c r="A315" i="13"/>
  <c r="K313" i="13"/>
  <c r="H312" i="13"/>
  <c r="E311" i="13"/>
  <c r="B310" i="13"/>
  <c r="L308" i="13"/>
  <c r="I307" i="13"/>
  <c r="F306" i="13"/>
  <c r="C305" i="13"/>
  <c r="M303" i="13"/>
  <c r="J302" i="13"/>
  <c r="G301" i="13"/>
  <c r="D300" i="13"/>
  <c r="A299" i="13"/>
  <c r="K297" i="13"/>
  <c r="H296" i="13"/>
  <c r="E295" i="13"/>
  <c r="B294" i="13"/>
  <c r="L292" i="13"/>
  <c r="I291" i="13"/>
  <c r="F290" i="13"/>
  <c r="B289" i="13"/>
  <c r="J287" i="13"/>
  <c r="F286" i="13"/>
  <c r="B285" i="13"/>
  <c r="J283" i="13"/>
  <c r="F282" i="13"/>
  <c r="B281" i="13"/>
  <c r="J279" i="13"/>
  <c r="F278" i="13"/>
  <c r="B277" i="13"/>
  <c r="J275" i="13"/>
  <c r="F274" i="13"/>
  <c r="B273" i="13"/>
  <c r="J271" i="13"/>
  <c r="F270" i="13"/>
  <c r="B269" i="13"/>
  <c r="J267" i="13"/>
  <c r="F266" i="13"/>
  <c r="B265" i="13"/>
  <c r="J263" i="13"/>
  <c r="F262" i="13"/>
  <c r="B261" i="13"/>
  <c r="J259" i="13"/>
  <c r="F258" i="13"/>
  <c r="B257" i="13"/>
  <c r="J255" i="13"/>
  <c r="F254" i="13"/>
  <c r="B253" i="13"/>
  <c r="J251" i="13"/>
  <c r="F250" i="13"/>
  <c r="B249" i="13"/>
  <c r="J247" i="13"/>
  <c r="F246" i="13"/>
  <c r="B245" i="13"/>
  <c r="J243" i="13"/>
  <c r="F242" i="13"/>
  <c r="B241" i="13"/>
  <c r="J239" i="13"/>
  <c r="F238" i="13"/>
  <c r="B237" i="13"/>
  <c r="K235" i="13"/>
  <c r="H234" i="13"/>
  <c r="D233" i="13"/>
  <c r="M231" i="13"/>
  <c r="H230" i="13"/>
  <c r="D229" i="13"/>
  <c r="M227" i="13"/>
  <c r="J226" i="13"/>
  <c r="F225" i="13"/>
  <c r="B224" i="13"/>
  <c r="J222" i="13"/>
  <c r="F221" i="13"/>
  <c r="B220" i="13"/>
  <c r="L218" i="13"/>
  <c r="H217" i="13"/>
  <c r="D216" i="13"/>
  <c r="M214" i="13"/>
  <c r="H213" i="13"/>
  <c r="D212" i="13"/>
  <c r="A211" i="13"/>
  <c r="J209" i="13"/>
  <c r="F208" i="13"/>
  <c r="B207" i="13"/>
  <c r="J205" i="13"/>
  <c r="F204" i="13"/>
  <c r="C203" i="13"/>
  <c r="M201" i="13"/>
  <c r="H200" i="13"/>
  <c r="D199" i="13"/>
  <c r="M197" i="13"/>
  <c r="H196" i="13"/>
  <c r="E195" i="13"/>
  <c r="B194" i="13"/>
  <c r="J192" i="13"/>
  <c r="F191" i="13"/>
  <c r="B190" i="13"/>
  <c r="J188" i="13"/>
  <c r="G187" i="13"/>
  <c r="D186" i="13"/>
  <c r="M184" i="13"/>
  <c r="H183" i="13"/>
  <c r="D182" i="13"/>
  <c r="M180" i="13"/>
  <c r="I179" i="13"/>
  <c r="F178" i="13"/>
  <c r="B177" i="13"/>
  <c r="J175" i="13"/>
  <c r="F174" i="13"/>
  <c r="B173" i="13"/>
  <c r="K171" i="13"/>
  <c r="H170" i="13"/>
  <c r="D169" i="13"/>
  <c r="M167" i="13"/>
  <c r="H166" i="13"/>
  <c r="D165" i="13"/>
  <c r="M163" i="13"/>
  <c r="H162" i="13"/>
  <c r="D161" i="13"/>
  <c r="M159" i="13"/>
  <c r="H158" i="13"/>
  <c r="D157" i="13"/>
  <c r="M155" i="13"/>
  <c r="J154" i="13"/>
  <c r="F153" i="13"/>
  <c r="B152" i="13"/>
  <c r="J150" i="13"/>
  <c r="F149" i="13"/>
  <c r="B148" i="13"/>
  <c r="J146" i="13"/>
  <c r="F145" i="13"/>
  <c r="B144" i="13"/>
  <c r="J142" i="13"/>
  <c r="F141" i="13"/>
  <c r="B140" i="13"/>
  <c r="L138" i="13"/>
  <c r="H137" i="13"/>
  <c r="D136" i="13"/>
  <c r="M134" i="13"/>
  <c r="H133" i="13"/>
  <c r="D132" i="13"/>
  <c r="M130" i="13"/>
  <c r="H129" i="13"/>
  <c r="D128" i="13"/>
  <c r="M126" i="13"/>
  <c r="H125" i="13"/>
  <c r="D124" i="13"/>
  <c r="A123" i="13"/>
  <c r="J121" i="13"/>
  <c r="F120" i="13"/>
  <c r="B119" i="13"/>
  <c r="J117" i="13"/>
  <c r="F116" i="13"/>
  <c r="C115" i="13"/>
  <c r="M113" i="13"/>
  <c r="H112" i="13"/>
  <c r="D111" i="13"/>
  <c r="M109" i="13"/>
  <c r="H108" i="13"/>
  <c r="E107" i="13"/>
  <c r="B106" i="13"/>
  <c r="J104" i="13"/>
  <c r="F103" i="13"/>
  <c r="B102" i="13"/>
  <c r="J100" i="13"/>
  <c r="G99" i="13"/>
  <c r="D98" i="13"/>
  <c r="M96" i="13"/>
  <c r="H95" i="13"/>
  <c r="D94" i="13"/>
  <c r="M92" i="13"/>
  <c r="H91" i="13"/>
  <c r="D90" i="13"/>
  <c r="M88" i="13"/>
  <c r="H87" i="13"/>
  <c r="D86" i="13"/>
  <c r="M84" i="13"/>
  <c r="H83" i="13"/>
  <c r="D82" i="13"/>
  <c r="M80" i="13"/>
  <c r="H79" i="13"/>
  <c r="D78" i="13"/>
  <c r="M76" i="13"/>
  <c r="H75" i="13"/>
  <c r="D74" i="13"/>
  <c r="A73" i="13"/>
  <c r="K71" i="13"/>
  <c r="H70" i="13"/>
  <c r="E69" i="13"/>
  <c r="B68" i="13"/>
  <c r="L66" i="13"/>
  <c r="I65" i="13"/>
  <c r="F64" i="13"/>
  <c r="C63" i="13"/>
  <c r="M61" i="13"/>
  <c r="J60" i="13"/>
  <c r="G59" i="13"/>
  <c r="D58" i="13"/>
  <c r="A57" i="13"/>
  <c r="K55" i="13"/>
  <c r="A386" i="13"/>
  <c r="I384" i="13"/>
  <c r="E383" i="13"/>
  <c r="A382" i="13"/>
  <c r="I380" i="13"/>
  <c r="E379" i="13"/>
  <c r="A378" i="13"/>
  <c r="I376" i="13"/>
  <c r="E375" i="13"/>
  <c r="A374" i="13"/>
  <c r="I372" i="13"/>
  <c r="E371" i="13"/>
  <c r="A370" i="13"/>
  <c r="I368" i="13"/>
  <c r="E367" i="13"/>
  <c r="A366" i="13"/>
  <c r="I364" i="13"/>
  <c r="E363" i="13"/>
  <c r="A362" i="13"/>
  <c r="K360" i="13"/>
  <c r="H359" i="13"/>
  <c r="E358" i="13"/>
  <c r="B357" i="13"/>
  <c r="L355" i="13"/>
  <c r="I354" i="13"/>
  <c r="F353" i="13"/>
  <c r="C352" i="13"/>
  <c r="M350" i="13"/>
  <c r="J349" i="13"/>
  <c r="G348" i="13"/>
  <c r="D347" i="13"/>
  <c r="A346" i="13"/>
  <c r="K344" i="13"/>
  <c r="H343" i="13"/>
  <c r="E342" i="13"/>
  <c r="B341" i="13"/>
  <c r="L339" i="13"/>
  <c r="L575" i="13"/>
  <c r="I574" i="13"/>
  <c r="F573" i="13"/>
  <c r="C572" i="13"/>
  <c r="M570" i="13"/>
  <c r="J569" i="13"/>
  <c r="G568" i="13"/>
  <c r="D567" i="13"/>
  <c r="A566" i="13"/>
  <c r="K564" i="13"/>
  <c r="H563" i="13"/>
  <c r="E562" i="13"/>
  <c r="B561" i="13"/>
  <c r="L559" i="13"/>
  <c r="I558" i="13"/>
  <c r="F557" i="13"/>
  <c r="C556" i="13"/>
  <c r="M554" i="13"/>
  <c r="I553" i="13"/>
  <c r="E552" i="13"/>
  <c r="A551" i="13"/>
  <c r="I549" i="13"/>
  <c r="E548" i="13"/>
  <c r="A547" i="13"/>
  <c r="J545" i="13"/>
  <c r="G544" i="13"/>
  <c r="C1021" i="13"/>
  <c r="E963" i="13"/>
  <c r="B942" i="13"/>
  <c r="B922" i="13"/>
  <c r="F902" i="13"/>
  <c r="J882" i="13"/>
  <c r="J862" i="13"/>
  <c r="C843" i="13"/>
  <c r="A830" i="13"/>
  <c r="L816" i="13"/>
  <c r="J803" i="13"/>
  <c r="I790" i="13"/>
  <c r="G777" i="13"/>
  <c r="C764" i="13"/>
  <c r="G753" i="13"/>
  <c r="L742" i="13"/>
  <c r="C732" i="13"/>
  <c r="G721" i="13"/>
  <c r="L710" i="13"/>
  <c r="C700" i="13"/>
  <c r="G689" i="13"/>
  <c r="L678" i="13"/>
  <c r="I668" i="13"/>
  <c r="K658" i="13"/>
  <c r="M648" i="13"/>
  <c r="B639" i="13"/>
  <c r="D629" i="13"/>
  <c r="F619" i="13"/>
  <c r="H609" i="13"/>
  <c r="J599" i="13"/>
  <c r="H590" i="13"/>
  <c r="I585" i="13"/>
  <c r="G583" i="13"/>
  <c r="D582" i="13"/>
  <c r="A581" i="13"/>
  <c r="K579" i="13"/>
  <c r="H578" i="13"/>
  <c r="E577" i="13"/>
  <c r="B576" i="13"/>
  <c r="L574" i="13"/>
  <c r="I573" i="13"/>
  <c r="F572" i="13"/>
  <c r="C571" i="13"/>
  <c r="M569" i="13"/>
  <c r="J568" i="13"/>
  <c r="G567" i="13"/>
  <c r="D566" i="13"/>
  <c r="A565" i="13"/>
  <c r="K563" i="13"/>
  <c r="H562" i="13"/>
  <c r="E561" i="13"/>
  <c r="B560" i="13"/>
  <c r="L558" i="13"/>
  <c r="I557" i="13"/>
  <c r="F556" i="13"/>
  <c r="C555" i="13"/>
  <c r="M553" i="13"/>
  <c r="H552" i="13"/>
  <c r="D551" i="13"/>
  <c r="M549" i="13"/>
  <c r="H548" i="13"/>
  <c r="D547" i="13"/>
  <c r="M545" i="13"/>
  <c r="J544" i="13"/>
  <c r="E1011" i="13"/>
  <c r="B962" i="13"/>
  <c r="J940" i="13"/>
  <c r="L920" i="13"/>
  <c r="C901" i="13"/>
  <c r="G881" i="13"/>
  <c r="F861" i="13"/>
  <c r="E842" i="13"/>
  <c r="C829" i="13"/>
  <c r="A816" i="13"/>
  <c r="M802" i="13"/>
  <c r="K789" i="13"/>
  <c r="I776" i="13"/>
  <c r="G763" i="13"/>
  <c r="L752" i="13"/>
  <c r="C742" i="13"/>
  <c r="G731" i="13"/>
  <c r="L720" i="13"/>
  <c r="C710" i="13"/>
  <c r="G699" i="13"/>
  <c r="L688" i="13"/>
  <c r="C678" i="13"/>
  <c r="A668" i="13"/>
  <c r="C658" i="13"/>
  <c r="E648" i="13"/>
  <c r="G638" i="13"/>
  <c r="I628" i="13"/>
  <c r="K618" i="13"/>
  <c r="M608" i="13"/>
  <c r="B599" i="13"/>
  <c r="D590" i="13"/>
  <c r="E585" i="13"/>
  <c r="F583" i="13"/>
  <c r="C582" i="13"/>
  <c r="M580" i="13"/>
  <c r="J579" i="13"/>
  <c r="G578" i="13"/>
  <c r="D577" i="13"/>
  <c r="A576" i="13"/>
  <c r="K574" i="13"/>
  <c r="H573" i="13"/>
  <c r="E572" i="13"/>
  <c r="B571" i="13"/>
  <c r="L569" i="13"/>
  <c r="I568" i="13"/>
  <c r="F567" i="13"/>
  <c r="C566" i="13"/>
  <c r="M564" i="13"/>
  <c r="J563" i="13"/>
  <c r="G562" i="13"/>
  <c r="D561" i="13"/>
  <c r="A560" i="13"/>
  <c r="K558" i="13"/>
  <c r="H557" i="13"/>
  <c r="E556" i="13"/>
  <c r="B555" i="13"/>
  <c r="L553" i="13"/>
  <c r="G552" i="13"/>
  <c r="C551" i="13"/>
  <c r="L549" i="13"/>
  <c r="G548" i="13"/>
  <c r="C547" i="13"/>
  <c r="L545" i="13"/>
  <c r="I544" i="13"/>
  <c r="L1001" i="13"/>
  <c r="J960" i="13"/>
  <c r="F939" i="13"/>
  <c r="I919" i="13"/>
  <c r="M899" i="13"/>
  <c r="D880" i="13"/>
  <c r="B860" i="13"/>
  <c r="G841" i="13"/>
  <c r="E828" i="13"/>
  <c r="D815" i="13"/>
  <c r="B802" i="13"/>
  <c r="M788" i="13"/>
  <c r="L775" i="13"/>
  <c r="L762" i="13"/>
  <c r="C752" i="13"/>
  <c r="G741" i="13"/>
  <c r="L730" i="13"/>
  <c r="C720" i="13"/>
  <c r="G709" i="13"/>
  <c r="L698" i="13"/>
  <c r="C688" i="13"/>
  <c r="G677" i="13"/>
  <c r="F667" i="13"/>
  <c r="H657" i="13"/>
  <c r="J647" i="13"/>
  <c r="L637" i="13"/>
  <c r="A628" i="13"/>
  <c r="C618" i="13"/>
  <c r="E608" i="13"/>
  <c r="G598" i="13"/>
  <c r="M589" i="13"/>
  <c r="B585" i="13"/>
  <c r="E583" i="13"/>
  <c r="B582" i="13"/>
  <c r="L580" i="13"/>
  <c r="I579" i="13"/>
  <c r="F578" i="13"/>
  <c r="C577" i="13"/>
  <c r="M575" i="13"/>
  <c r="J574" i="13"/>
  <c r="G573" i="13"/>
  <c r="D572" i="13"/>
  <c r="A571" i="13"/>
  <c r="K569" i="13"/>
  <c r="H568" i="13"/>
  <c r="E567" i="13"/>
  <c r="B566" i="13"/>
  <c r="L564" i="13"/>
  <c r="I563" i="13"/>
  <c r="F562" i="13"/>
  <c r="C561" i="13"/>
  <c r="M559" i="13"/>
  <c r="J558" i="13"/>
  <c r="G557" i="13"/>
  <c r="D556" i="13"/>
  <c r="A555" i="13"/>
  <c r="J553" i="13"/>
  <c r="F552" i="13"/>
  <c r="B551" i="13"/>
  <c r="J549" i="13"/>
  <c r="F548" i="13"/>
  <c r="B547" i="13"/>
  <c r="K545" i="13"/>
  <c r="H544" i="13"/>
  <c r="D543" i="13"/>
  <c r="A542" i="13"/>
  <c r="K540" i="13"/>
  <c r="H539" i="13"/>
  <c r="E538" i="13"/>
  <c r="B537" i="13"/>
  <c r="L535" i="13"/>
  <c r="I534" i="13"/>
  <c r="F533" i="13"/>
  <c r="C532" i="13"/>
  <c r="M530" i="13"/>
  <c r="J529" i="13"/>
  <c r="G528" i="13"/>
  <c r="D527" i="13"/>
  <c r="A526" i="13"/>
  <c r="K524" i="13"/>
  <c r="H523" i="13"/>
  <c r="E522" i="13"/>
  <c r="B521" i="13"/>
  <c r="L519" i="13"/>
  <c r="I518" i="13"/>
  <c r="F517" i="13"/>
  <c r="C516" i="13"/>
  <c r="M514" i="13"/>
  <c r="J513" i="13"/>
  <c r="G512" i="13"/>
  <c r="D511" i="13"/>
  <c r="A510" i="13"/>
  <c r="K508" i="13"/>
  <c r="H507" i="13"/>
  <c r="E506" i="13"/>
  <c r="B505" i="13"/>
  <c r="L503" i="13"/>
  <c r="I502" i="13"/>
  <c r="F501" i="13"/>
  <c r="C500" i="13"/>
  <c r="M498" i="13"/>
  <c r="J497" i="13"/>
  <c r="G496" i="13"/>
  <c r="D495" i="13"/>
  <c r="A494" i="13"/>
  <c r="K492" i="13"/>
  <c r="H491" i="13"/>
  <c r="E490" i="13"/>
  <c r="B489" i="13"/>
  <c r="L487" i="13"/>
  <c r="I486" i="13"/>
  <c r="F485" i="13"/>
  <c r="C484" i="13"/>
  <c r="M482" i="13"/>
  <c r="J481" i="13"/>
  <c r="G480" i="13"/>
  <c r="D479" i="13"/>
  <c r="A478" i="13"/>
  <c r="K476" i="13"/>
  <c r="H475" i="13"/>
  <c r="E474" i="13"/>
  <c r="B473" i="13"/>
  <c r="L471" i="13"/>
  <c r="I470" i="13"/>
  <c r="F469" i="13"/>
  <c r="C468" i="13"/>
  <c r="M466" i="13"/>
  <c r="J465" i="13"/>
  <c r="G464" i="13"/>
  <c r="D463" i="13"/>
  <c r="A462" i="13"/>
  <c r="K460" i="13"/>
  <c r="H459" i="13"/>
  <c r="E458" i="13"/>
  <c r="B457" i="13"/>
  <c r="L455" i="13"/>
  <c r="I454" i="13"/>
  <c r="F453" i="13"/>
  <c r="C452" i="13"/>
  <c r="M450" i="13"/>
  <c r="J449" i="13"/>
  <c r="G448" i="13"/>
  <c r="D447" i="13"/>
  <c r="A446" i="13"/>
  <c r="K444" i="13"/>
  <c r="H443" i="13"/>
  <c r="E442" i="13"/>
  <c r="B441" i="13"/>
  <c r="L439" i="13"/>
  <c r="I438" i="13"/>
  <c r="F437" i="13"/>
  <c r="C436" i="13"/>
  <c r="M434" i="13"/>
  <c r="J433" i="13"/>
  <c r="G432" i="13"/>
  <c r="D431" i="13"/>
  <c r="A430" i="13"/>
  <c r="K428" i="13"/>
  <c r="H427" i="13"/>
  <c r="E426" i="13"/>
  <c r="B425" i="13"/>
  <c r="L423" i="13"/>
  <c r="I422" i="13"/>
  <c r="F421" i="13"/>
  <c r="C420" i="13"/>
  <c r="M418" i="13"/>
  <c r="J417" i="13"/>
  <c r="G416" i="13"/>
  <c r="D415" i="13"/>
  <c r="A414" i="13"/>
  <c r="K412" i="13"/>
  <c r="H411" i="13"/>
  <c r="E410" i="13"/>
  <c r="B409" i="13"/>
  <c r="L407" i="13"/>
  <c r="I406" i="13"/>
  <c r="F405" i="13"/>
  <c r="C404" i="13"/>
  <c r="M402" i="13"/>
  <c r="J401" i="13"/>
  <c r="G400" i="13"/>
  <c r="D399" i="13"/>
  <c r="A398" i="13"/>
  <c r="K396" i="13"/>
  <c r="H395" i="13"/>
  <c r="E394" i="13"/>
  <c r="B393" i="13"/>
  <c r="L391" i="13"/>
  <c r="I390" i="13"/>
  <c r="F389" i="13"/>
  <c r="C388" i="13"/>
  <c r="F544" i="13"/>
  <c r="C543" i="13"/>
  <c r="M541" i="13"/>
  <c r="J540" i="13"/>
  <c r="G539" i="13"/>
  <c r="D538" i="13"/>
  <c r="A537" i="13"/>
  <c r="K535" i="13"/>
  <c r="H534" i="13"/>
  <c r="E533" i="13"/>
  <c r="B532" i="13"/>
  <c r="L530" i="13"/>
  <c r="I529" i="13"/>
  <c r="F528" i="13"/>
  <c r="C527" i="13"/>
  <c r="M525" i="13"/>
  <c r="J524" i="13"/>
  <c r="G523" i="13"/>
  <c r="D522" i="13"/>
  <c r="A521" i="13"/>
  <c r="K519" i="13"/>
  <c r="H518" i="13"/>
  <c r="E517" i="13"/>
  <c r="B516" i="13"/>
  <c r="L514" i="13"/>
  <c r="I513" i="13"/>
  <c r="F512" i="13"/>
  <c r="C511" i="13"/>
  <c r="M509" i="13"/>
  <c r="J508" i="13"/>
  <c r="G507" i="13"/>
  <c r="D506" i="13"/>
  <c r="A505" i="13"/>
  <c r="K503" i="13"/>
  <c r="H502" i="13"/>
  <c r="E501" i="13"/>
  <c r="B500" i="13"/>
  <c r="L498" i="13"/>
  <c r="I497" i="13"/>
  <c r="F496" i="13"/>
  <c r="C495" i="13"/>
  <c r="M493" i="13"/>
  <c r="J492" i="13"/>
  <c r="G491" i="13"/>
  <c r="D490" i="13"/>
  <c r="A489" i="13"/>
  <c r="K487" i="13"/>
  <c r="H486" i="13"/>
  <c r="E485" i="13"/>
  <c r="B484" i="13"/>
  <c r="L482" i="13"/>
  <c r="I481" i="13"/>
  <c r="F480" i="13"/>
  <c r="C479" i="13"/>
  <c r="M477" i="13"/>
  <c r="J476" i="13"/>
  <c r="G475" i="13"/>
  <c r="D474" i="13"/>
  <c r="A473" i="13"/>
  <c r="K471" i="13"/>
  <c r="H470" i="13"/>
  <c r="E469" i="13"/>
  <c r="B468" i="13"/>
  <c r="L466" i="13"/>
  <c r="I465" i="13"/>
  <c r="F464" i="13"/>
  <c r="C463" i="13"/>
  <c r="M461" i="13"/>
  <c r="J460" i="13"/>
  <c r="G459" i="13"/>
  <c r="D458" i="13"/>
  <c r="A457" i="13"/>
  <c r="K455" i="13"/>
  <c r="H454" i="13"/>
  <c r="E453" i="13"/>
  <c r="B452" i="13"/>
  <c r="L450" i="13"/>
  <c r="I449" i="13"/>
  <c r="F448" i="13"/>
  <c r="C447" i="13"/>
  <c r="M445" i="13"/>
  <c r="J444" i="13"/>
  <c r="G443" i="13"/>
  <c r="D442" i="13"/>
  <c r="A441" i="13"/>
  <c r="K439" i="13"/>
  <c r="H438" i="13"/>
  <c r="E437" i="13"/>
  <c r="B436" i="13"/>
  <c r="L434" i="13"/>
  <c r="I433" i="13"/>
  <c r="F432" i="13"/>
  <c r="C431" i="13"/>
  <c r="M429" i="13"/>
  <c r="J428" i="13"/>
  <c r="G427" i="13"/>
  <c r="D426" i="13"/>
  <c r="A425" i="13"/>
  <c r="K423" i="13"/>
  <c r="H422" i="13"/>
  <c r="E421" i="13"/>
  <c r="B420" i="13"/>
  <c r="L418" i="13"/>
  <c r="I417" i="13"/>
  <c r="F416" i="13"/>
  <c r="C415" i="13"/>
  <c r="M413" i="13"/>
  <c r="J412" i="13"/>
  <c r="G411" i="13"/>
  <c r="D410" i="13"/>
  <c r="A409" i="13"/>
  <c r="K407" i="13"/>
  <c r="H406" i="13"/>
  <c r="E405" i="13"/>
  <c r="B404" i="13"/>
  <c r="L402" i="13"/>
  <c r="I401" i="13"/>
  <c r="F400" i="13"/>
  <c r="C399" i="13"/>
  <c r="M397" i="13"/>
  <c r="J396" i="13"/>
  <c r="G395" i="13"/>
  <c r="D394" i="13"/>
  <c r="A393" i="13"/>
  <c r="K391" i="13"/>
  <c r="H390" i="13"/>
  <c r="E389" i="13"/>
  <c r="B388" i="13"/>
  <c r="E544" i="13"/>
  <c r="B543" i="13"/>
  <c r="L541" i="13"/>
  <c r="I540" i="13"/>
  <c r="F539" i="13"/>
  <c r="C538" i="13"/>
  <c r="M536" i="13"/>
  <c r="J535" i="13"/>
  <c r="G534" i="13"/>
  <c r="D533" i="13"/>
  <c r="A532" i="13"/>
  <c r="K530" i="13"/>
  <c r="H529" i="13"/>
  <c r="E528" i="13"/>
  <c r="B527" i="13"/>
  <c r="L525" i="13"/>
  <c r="I524" i="13"/>
  <c r="F523" i="13"/>
  <c r="C522" i="13"/>
  <c r="M520" i="13"/>
  <c r="J519" i="13"/>
  <c r="G518" i="13"/>
  <c r="D517" i="13"/>
  <c r="A516" i="13"/>
  <c r="K514" i="13"/>
  <c r="H513" i="13"/>
  <c r="E512" i="13"/>
  <c r="B511" i="13"/>
  <c r="L509" i="13"/>
  <c r="I508" i="13"/>
  <c r="F507" i="13"/>
  <c r="C506" i="13"/>
  <c r="M504" i="13"/>
  <c r="J503" i="13"/>
  <c r="G502" i="13"/>
  <c r="D501" i="13"/>
  <c r="A500" i="13"/>
  <c r="K498" i="13"/>
  <c r="H497" i="13"/>
  <c r="E496" i="13"/>
  <c r="B495" i="13"/>
  <c r="L493" i="13"/>
  <c r="I492" i="13"/>
  <c r="F491" i="13"/>
  <c r="C490" i="13"/>
  <c r="M488" i="13"/>
  <c r="J487" i="13"/>
  <c r="G486" i="13"/>
  <c r="D485" i="13"/>
  <c r="A484" i="13"/>
  <c r="K482" i="13"/>
  <c r="H481" i="13"/>
  <c r="E480" i="13"/>
  <c r="B479" i="13"/>
  <c r="L477" i="13"/>
  <c r="I476" i="13"/>
  <c r="F475" i="13"/>
  <c r="C474" i="13"/>
  <c r="M472" i="13"/>
  <c r="J471" i="13"/>
  <c r="G470" i="13"/>
  <c r="D469" i="13"/>
  <c r="A468" i="13"/>
  <c r="K466" i="13"/>
  <c r="H465" i="13"/>
  <c r="E464" i="13"/>
  <c r="B463" i="13"/>
  <c r="L461" i="13"/>
  <c r="I460" i="13"/>
  <c r="F459" i="13"/>
  <c r="C458" i="13"/>
  <c r="M456" i="13"/>
  <c r="J455" i="13"/>
  <c r="G454" i="13"/>
  <c r="D453" i="13"/>
  <c r="A452" i="13"/>
  <c r="K450" i="13"/>
  <c r="H449" i="13"/>
  <c r="E448" i="13"/>
  <c r="B447" i="13"/>
  <c r="L445" i="13"/>
  <c r="I444" i="13"/>
  <c r="F443" i="13"/>
  <c r="C442" i="13"/>
  <c r="M440" i="13"/>
  <c r="J439" i="13"/>
  <c r="G438" i="13"/>
  <c r="D437" i="13"/>
  <c r="A436" i="13"/>
  <c r="K434" i="13"/>
  <c r="H433" i="13"/>
  <c r="E432" i="13"/>
  <c r="B431" i="13"/>
  <c r="L429" i="13"/>
  <c r="I428" i="13"/>
  <c r="F427" i="13"/>
  <c r="C426" i="13"/>
  <c r="M424" i="13"/>
  <c r="J423" i="13"/>
  <c r="G422" i="13"/>
  <c r="D421" i="13"/>
  <c r="A420" i="13"/>
  <c r="K418" i="13"/>
  <c r="H417" i="13"/>
  <c r="E416" i="13"/>
  <c r="B415" i="13"/>
  <c r="L413" i="13"/>
  <c r="I412" i="13"/>
  <c r="F411" i="13"/>
  <c r="C410" i="13"/>
  <c r="M408" i="13"/>
  <c r="J407" i="13"/>
  <c r="G406" i="13"/>
  <c r="D405" i="13"/>
  <c r="A404" i="13"/>
  <c r="K402" i="13"/>
  <c r="H401" i="13"/>
  <c r="E400" i="13"/>
  <c r="B399" i="13"/>
  <c r="L397" i="13"/>
  <c r="I396" i="13"/>
  <c r="F395" i="13"/>
  <c r="C394" i="13"/>
  <c r="M392" i="13"/>
  <c r="J391" i="13"/>
  <c r="G390" i="13"/>
  <c r="D389" i="13"/>
  <c r="A388" i="13"/>
  <c r="D544" i="13"/>
  <c r="A543" i="13"/>
  <c r="K541" i="13"/>
  <c r="H540" i="13"/>
  <c r="E539" i="13"/>
  <c r="B538" i="13"/>
  <c r="L536" i="13"/>
  <c r="I535" i="13"/>
  <c r="F534" i="13"/>
  <c r="C533" i="13"/>
  <c r="M531" i="13"/>
  <c r="J530" i="13"/>
  <c r="G529" i="13"/>
  <c r="D528" i="13"/>
  <c r="A527" i="13"/>
  <c r="K525" i="13"/>
  <c r="H524" i="13"/>
  <c r="E523" i="13"/>
  <c r="B522" i="13"/>
  <c r="L520" i="13"/>
  <c r="I519" i="13"/>
  <c r="F518" i="13"/>
  <c r="C517" i="13"/>
  <c r="M515" i="13"/>
  <c r="J514" i="13"/>
  <c r="G513" i="13"/>
  <c r="D512" i="13"/>
  <c r="A511" i="13"/>
  <c r="K509" i="13"/>
  <c r="H508" i="13"/>
  <c r="E507" i="13"/>
  <c r="B506" i="13"/>
  <c r="L504" i="13"/>
  <c r="I503" i="13"/>
  <c r="F502" i="13"/>
  <c r="C501" i="13"/>
  <c r="M499" i="13"/>
  <c r="J498" i="13"/>
  <c r="G497" i="13"/>
  <c r="D496" i="13"/>
  <c r="A495" i="13"/>
  <c r="K493" i="13"/>
  <c r="H492" i="13"/>
  <c r="E491" i="13"/>
  <c r="B490" i="13"/>
  <c r="L488" i="13"/>
  <c r="I487" i="13"/>
  <c r="F486" i="13"/>
  <c r="C485" i="13"/>
  <c r="M483" i="13"/>
  <c r="J482" i="13"/>
  <c r="G481" i="13"/>
  <c r="D480" i="13"/>
  <c r="A479" i="13"/>
  <c r="K477" i="13"/>
  <c r="H476" i="13"/>
  <c r="E475" i="13"/>
  <c r="B474" i="13"/>
  <c r="L472" i="13"/>
  <c r="I471" i="13"/>
  <c r="F470" i="13"/>
  <c r="C469" i="13"/>
  <c r="M467" i="13"/>
  <c r="J466" i="13"/>
  <c r="G465" i="13"/>
  <c r="D464" i="13"/>
  <c r="A463" i="13"/>
  <c r="K461" i="13"/>
  <c r="H460" i="13"/>
  <c r="E459" i="13"/>
  <c r="B458" i="13"/>
  <c r="L456" i="13"/>
  <c r="I455" i="13"/>
  <c r="F454" i="13"/>
  <c r="C453" i="13"/>
  <c r="M451" i="13"/>
  <c r="J450" i="13"/>
  <c r="G449" i="13"/>
  <c r="D448" i="13"/>
  <c r="A447" i="13"/>
  <c r="K445" i="13"/>
  <c r="H444" i="13"/>
  <c r="E443" i="13"/>
  <c r="B442" i="13"/>
  <c r="L440" i="13"/>
  <c r="I439" i="13"/>
  <c r="F438" i="13"/>
  <c r="C437" i="13"/>
  <c r="M435" i="13"/>
  <c r="J434" i="13"/>
  <c r="G433" i="13"/>
  <c r="D432" i="13"/>
  <c r="A431" i="13"/>
  <c r="K429" i="13"/>
  <c r="H428" i="13"/>
  <c r="E427" i="13"/>
  <c r="B426" i="13"/>
  <c r="L424" i="13"/>
  <c r="I423" i="13"/>
  <c r="F422" i="13"/>
  <c r="C421" i="13"/>
  <c r="M419" i="13"/>
  <c r="J418" i="13"/>
  <c r="G417" i="13"/>
  <c r="D416" i="13"/>
  <c r="A415" i="13"/>
  <c r="K413" i="13"/>
  <c r="H412" i="13"/>
  <c r="E411" i="13"/>
  <c r="B410" i="13"/>
  <c r="L408" i="13"/>
  <c r="I407" i="13"/>
  <c r="F406" i="13"/>
  <c r="C405" i="13"/>
  <c r="M403" i="13"/>
  <c r="J402" i="13"/>
  <c r="G401" i="13"/>
  <c r="D400" i="13"/>
  <c r="A399" i="13"/>
  <c r="K397" i="13"/>
  <c r="H396" i="13"/>
  <c r="E395" i="13"/>
  <c r="B394" i="13"/>
  <c r="L392" i="13"/>
  <c r="I391" i="13"/>
  <c r="F390" i="13"/>
  <c r="C389" i="13"/>
  <c r="M387" i="13"/>
  <c r="J386" i="13"/>
  <c r="F385" i="13"/>
  <c r="B384" i="13"/>
  <c r="J382" i="13"/>
  <c r="F381" i="13"/>
  <c r="B380" i="13"/>
  <c r="J378" i="13"/>
  <c r="F377" i="13"/>
  <c r="B376" i="13"/>
  <c r="J374" i="13"/>
  <c r="F373" i="13"/>
  <c r="B372" i="13"/>
  <c r="J370" i="13"/>
  <c r="F369" i="13"/>
  <c r="B368" i="13"/>
  <c r="J366" i="13"/>
  <c r="F365" i="13"/>
  <c r="B364" i="13"/>
  <c r="J362" i="13"/>
  <c r="G361" i="13"/>
  <c r="D360" i="13"/>
  <c r="A359" i="13"/>
  <c r="K357" i="13"/>
  <c r="H356" i="13"/>
  <c r="E355" i="13"/>
  <c r="B354" i="13"/>
  <c r="L352" i="13"/>
  <c r="I351" i="13"/>
  <c r="F350" i="13"/>
  <c r="C349" i="13"/>
  <c r="M347" i="13"/>
  <c r="J346" i="13"/>
  <c r="G345" i="13"/>
  <c r="D344" i="13"/>
  <c r="A343" i="13"/>
  <c r="K341" i="13"/>
  <c r="H340" i="13"/>
  <c r="E339" i="13"/>
  <c r="B338" i="13"/>
  <c r="L336" i="13"/>
  <c r="I335" i="13"/>
  <c r="F334" i="13"/>
  <c r="C333" i="13"/>
  <c r="M331" i="13"/>
  <c r="J330" i="13"/>
  <c r="G329" i="13"/>
  <c r="D328" i="13"/>
  <c r="A327" i="13"/>
  <c r="K325" i="13"/>
  <c r="H324" i="13"/>
  <c r="E323" i="13"/>
  <c r="B322" i="13"/>
  <c r="L320" i="13"/>
  <c r="I319" i="13"/>
  <c r="F318" i="13"/>
  <c r="C317" i="13"/>
  <c r="M315" i="13"/>
  <c r="J314" i="13"/>
  <c r="G313" i="13"/>
  <c r="D312" i="13"/>
  <c r="A311" i="13"/>
  <c r="K309" i="13"/>
  <c r="H308" i="13"/>
  <c r="E307" i="13"/>
  <c r="B306" i="13"/>
  <c r="L304" i="13"/>
  <c r="I303" i="13"/>
  <c r="F302" i="13"/>
  <c r="C301" i="13"/>
  <c r="M299" i="13"/>
  <c r="J298" i="13"/>
  <c r="G297" i="13"/>
  <c r="D296" i="13"/>
  <c r="A295" i="13"/>
  <c r="K293" i="13"/>
  <c r="H292" i="13"/>
  <c r="E291" i="13"/>
  <c r="B290" i="13"/>
  <c r="J288" i="13"/>
  <c r="F287" i="13"/>
  <c r="B286" i="13"/>
  <c r="J284" i="13"/>
  <c r="F283" i="13"/>
  <c r="B282" i="13"/>
  <c r="J280" i="13"/>
  <c r="F279" i="13"/>
  <c r="B278" i="13"/>
  <c r="J276" i="13"/>
  <c r="F275" i="13"/>
  <c r="B274" i="13"/>
  <c r="J272" i="13"/>
  <c r="F271" i="13"/>
  <c r="B270" i="13"/>
  <c r="J268" i="13"/>
  <c r="F267" i="13"/>
  <c r="B266" i="13"/>
  <c r="J264" i="13"/>
  <c r="F263" i="13"/>
  <c r="B262" i="13"/>
  <c r="J260" i="13"/>
  <c r="F259" i="13"/>
  <c r="B258" i="13"/>
  <c r="J256" i="13"/>
  <c r="F255" i="13"/>
  <c r="B254" i="13"/>
  <c r="J252" i="13"/>
  <c r="F251" i="13"/>
  <c r="B250" i="13"/>
  <c r="J248" i="13"/>
  <c r="F247" i="13"/>
  <c r="B246" i="13"/>
  <c r="J244" i="13"/>
  <c r="F243" i="13"/>
  <c r="B242" i="13"/>
  <c r="J240" i="13"/>
  <c r="F239" i="13"/>
  <c r="B238" i="13"/>
  <c r="J236" i="13"/>
  <c r="G235" i="13"/>
  <c r="D234" i="13"/>
  <c r="M232" i="13"/>
  <c r="H231" i="13"/>
  <c r="D230" i="13"/>
  <c r="M228" i="13"/>
  <c r="I227" i="13"/>
  <c r="F226" i="13"/>
  <c r="B225" i="13"/>
  <c r="J223" i="13"/>
  <c r="F222" i="13"/>
  <c r="B221" i="13"/>
  <c r="K219" i="13"/>
  <c r="H218" i="13"/>
  <c r="D217" i="13"/>
  <c r="M215" i="13"/>
  <c r="H214" i="13"/>
  <c r="D213" i="13"/>
  <c r="M211" i="13"/>
  <c r="J210" i="13"/>
  <c r="F209" i="13"/>
  <c r="B208" i="13"/>
  <c r="J206" i="13"/>
  <c r="F205" i="13"/>
  <c r="B204" i="13"/>
  <c r="L202" i="13"/>
  <c r="H201" i="13"/>
  <c r="D200" i="13"/>
  <c r="M198" i="13"/>
  <c r="H197" i="13"/>
  <c r="D196" i="13"/>
  <c r="A195" i="13"/>
  <c r="J193" i="13"/>
  <c r="F192" i="13"/>
  <c r="B191" i="13"/>
  <c r="J189" i="13"/>
  <c r="F188" i="13"/>
  <c r="C187" i="13"/>
  <c r="M185" i="13"/>
  <c r="H184" i="13"/>
  <c r="D183" i="13"/>
  <c r="M181" i="13"/>
  <c r="H180" i="13"/>
  <c r="E179" i="13"/>
  <c r="B178" i="13"/>
  <c r="J176" i="13"/>
  <c r="F175" i="13"/>
  <c r="B174" i="13"/>
  <c r="J172" i="13"/>
  <c r="G171" i="13"/>
  <c r="D170" i="13"/>
  <c r="M168" i="13"/>
  <c r="H167" i="13"/>
  <c r="D166" i="13"/>
  <c r="M164" i="13"/>
  <c r="H163" i="13"/>
  <c r="D162" i="13"/>
  <c r="M160" i="13"/>
  <c r="H159" i="13"/>
  <c r="D158" i="13"/>
  <c r="M156" i="13"/>
  <c r="I155" i="13"/>
  <c r="F154" i="13"/>
  <c r="B153" i="13"/>
  <c r="J151" i="13"/>
  <c r="F150" i="13"/>
  <c r="B149" i="13"/>
  <c r="J147" i="13"/>
  <c r="F146" i="13"/>
  <c r="B145" i="13"/>
  <c r="J143" i="13"/>
  <c r="F142" i="13"/>
  <c r="B141" i="13"/>
  <c r="K139" i="13"/>
  <c r="H138" i="13"/>
  <c r="D137" i="13"/>
  <c r="M135" i="13"/>
  <c r="H134" i="13"/>
  <c r="D133" i="13"/>
  <c r="M131" i="13"/>
  <c r="H130" i="13"/>
  <c r="D129" i="13"/>
  <c r="M127" i="13"/>
  <c r="H126" i="13"/>
  <c r="D125" i="13"/>
  <c r="M123" i="13"/>
  <c r="J122" i="13"/>
  <c r="F121" i="13"/>
  <c r="B120" i="13"/>
  <c r="J118" i="13"/>
  <c r="F117" i="13"/>
  <c r="B116" i="13"/>
  <c r="L114" i="13"/>
  <c r="H113" i="13"/>
  <c r="D112" i="13"/>
  <c r="M110" i="13"/>
  <c r="H109" i="13"/>
  <c r="D108" i="13"/>
  <c r="A107" i="13"/>
  <c r="J105" i="13"/>
  <c r="F104" i="13"/>
  <c r="B103" i="13"/>
  <c r="J101" i="13"/>
  <c r="F100" i="13"/>
  <c r="C99" i="13"/>
  <c r="M97" i="13"/>
  <c r="H96" i="13"/>
  <c r="D95" i="13"/>
  <c r="M93" i="13"/>
  <c r="H92" i="13"/>
  <c r="D91" i="13"/>
  <c r="M89" i="13"/>
  <c r="H88" i="13"/>
  <c r="D87" i="13"/>
  <c r="M85" i="13"/>
  <c r="H84" i="13"/>
  <c r="D83" i="13"/>
  <c r="M81" i="13"/>
  <c r="H80" i="13"/>
  <c r="D79" i="13"/>
  <c r="M77" i="13"/>
  <c r="H76" i="13"/>
  <c r="D75" i="13"/>
  <c r="M73" i="13"/>
  <c r="J72" i="13"/>
  <c r="G71" i="13"/>
  <c r="D70" i="13"/>
  <c r="A69" i="13"/>
  <c r="K67" i="13"/>
  <c r="H66" i="13"/>
  <c r="E65" i="13"/>
  <c r="B64" i="13"/>
  <c r="L62" i="13"/>
  <c r="I61" i="13"/>
  <c r="F60" i="13"/>
  <c r="C59" i="13"/>
  <c r="M57" i="13"/>
  <c r="J56" i="13"/>
  <c r="M386" i="13"/>
  <c r="I385" i="13"/>
  <c r="E384" i="13"/>
  <c r="A383" i="13"/>
  <c r="I381" i="13"/>
  <c r="E380" i="13"/>
  <c r="A379" i="13"/>
  <c r="I377" i="13"/>
  <c r="E376" i="13"/>
  <c r="A375" i="13"/>
  <c r="I373" i="13"/>
  <c r="E372" i="13"/>
  <c r="A371" i="13"/>
  <c r="I369" i="13"/>
  <c r="E368" i="13"/>
  <c r="A367" i="13"/>
  <c r="I365" i="13"/>
  <c r="E364" i="13"/>
  <c r="A363" i="13"/>
  <c r="J361" i="13"/>
  <c r="G360" i="13"/>
  <c r="D359" i="13"/>
  <c r="A358" i="13"/>
  <c r="K356" i="13"/>
  <c r="H355" i="13"/>
  <c r="E354" i="13"/>
  <c r="B353" i="13"/>
  <c r="L351" i="13"/>
  <c r="I350" i="13"/>
  <c r="F349" i="13"/>
  <c r="C348" i="13"/>
  <c r="M346" i="13"/>
  <c r="J345" i="13"/>
  <c r="G344" i="13"/>
  <c r="D343" i="13"/>
  <c r="A342" i="13"/>
  <c r="K340" i="13"/>
  <c r="H339" i="13"/>
  <c r="H575" i="13"/>
  <c r="E574" i="13"/>
  <c r="B573" i="13"/>
  <c r="L571" i="13"/>
  <c r="I570" i="13"/>
  <c r="F569" i="13"/>
  <c r="C568" i="13"/>
  <c r="M566" i="13"/>
  <c r="J565" i="13"/>
  <c r="G564" i="13"/>
  <c r="D563" i="13"/>
  <c r="A562" i="13"/>
  <c r="K560" i="13"/>
  <c r="H559" i="13"/>
  <c r="E558" i="13"/>
  <c r="B557" i="13"/>
  <c r="L555" i="13"/>
  <c r="I554" i="13"/>
  <c r="E553" i="13"/>
  <c r="A552" i="13"/>
  <c r="I550" i="13"/>
  <c r="E549" i="13"/>
  <c r="A548" i="13"/>
  <c r="I546" i="13"/>
  <c r="F545" i="13"/>
  <c r="A1145" i="13"/>
  <c r="I991" i="13"/>
  <c r="B958" i="13"/>
  <c r="L936" i="13"/>
  <c r="C917" i="13"/>
  <c r="G897" i="13"/>
  <c r="K877" i="13"/>
  <c r="F857" i="13"/>
  <c r="L839" i="13"/>
  <c r="J826" i="13"/>
  <c r="H813" i="13"/>
  <c r="G800" i="13"/>
  <c r="E787" i="13"/>
  <c r="C774" i="13"/>
  <c r="G761" i="13"/>
  <c r="L750" i="13"/>
  <c r="C740" i="13"/>
  <c r="G729" i="13"/>
  <c r="L718" i="13"/>
  <c r="C708" i="13"/>
  <c r="G697" i="13"/>
  <c r="L686" i="13"/>
  <c r="C676" i="13"/>
  <c r="C666" i="13"/>
  <c r="E656" i="13"/>
  <c r="G646" i="13"/>
  <c r="I636" i="13"/>
  <c r="K626" i="13"/>
  <c r="M616" i="13"/>
  <c r="B607" i="13"/>
  <c r="D597" i="13"/>
  <c r="E589" i="13"/>
  <c r="K584" i="13"/>
  <c r="C583" i="13"/>
  <c r="M581" i="13"/>
  <c r="J580" i="13"/>
  <c r="G579" i="13"/>
  <c r="D578" i="13"/>
  <c r="A577" i="13"/>
  <c r="K575" i="13"/>
  <c r="H574" i="13"/>
  <c r="E573" i="13"/>
  <c r="B572" i="13"/>
  <c r="L570" i="13"/>
  <c r="I569" i="13"/>
  <c r="F568" i="13"/>
  <c r="C567" i="13"/>
  <c r="M565" i="13"/>
  <c r="J564" i="13"/>
  <c r="G563" i="13"/>
  <c r="D562" i="13"/>
  <c r="A561" i="13"/>
  <c r="K559" i="13"/>
  <c r="H558" i="13"/>
  <c r="E557" i="13"/>
  <c r="B556" i="13"/>
  <c r="L554" i="13"/>
  <c r="H553" i="13"/>
  <c r="D552" i="13"/>
  <c r="M550" i="13"/>
  <c r="H549" i="13"/>
  <c r="D548" i="13"/>
  <c r="M546" i="13"/>
  <c r="I545" i="13"/>
  <c r="F1131" i="13"/>
  <c r="J986" i="13"/>
  <c r="J956" i="13"/>
  <c r="I935" i="13"/>
  <c r="M915" i="13"/>
  <c r="D896" i="13"/>
  <c r="H876" i="13"/>
  <c r="B856" i="13"/>
  <c r="A839" i="13"/>
  <c r="L825" i="13"/>
  <c r="K812" i="13"/>
  <c r="I799" i="13"/>
  <c r="G786" i="13"/>
  <c r="F773" i="13"/>
  <c r="L760" i="13"/>
  <c r="C750" i="13"/>
  <c r="G739" i="13"/>
  <c r="L728" i="13"/>
  <c r="C718" i="13"/>
  <c r="G707" i="13"/>
  <c r="L696" i="13"/>
  <c r="C686" i="13"/>
  <c r="G675" i="13"/>
  <c r="H665" i="13"/>
  <c r="J655" i="13"/>
  <c r="L645" i="13"/>
  <c r="A636" i="13"/>
  <c r="C626" i="13"/>
  <c r="E616" i="13"/>
  <c r="G606" i="13"/>
  <c r="I596" i="13"/>
  <c r="A589" i="13"/>
  <c r="J584" i="13"/>
  <c r="B583" i="13"/>
  <c r="L581" i="13"/>
  <c r="I580" i="13"/>
  <c r="F579" i="13"/>
  <c r="C578" i="13"/>
  <c r="M576" i="13"/>
  <c r="J575" i="13"/>
  <c r="G574" i="13"/>
  <c r="D573" i="13"/>
  <c r="A572" i="13"/>
  <c r="K570" i="13"/>
  <c r="H569" i="13"/>
  <c r="E568" i="13"/>
  <c r="B567" i="13"/>
  <c r="L565" i="13"/>
  <c r="I564" i="13"/>
  <c r="F563" i="13"/>
  <c r="C562" i="13"/>
  <c r="M560" i="13"/>
  <c r="J559" i="13"/>
  <c r="G558" i="13"/>
  <c r="D557" i="13"/>
  <c r="A556" i="13"/>
  <c r="K554" i="13"/>
  <c r="G553" i="13"/>
  <c r="C552" i="13"/>
  <c r="L550" i="13"/>
  <c r="G549" i="13"/>
  <c r="C548" i="13"/>
  <c r="L546" i="13"/>
  <c r="H545" i="13"/>
  <c r="J1120" i="13"/>
  <c r="B982" i="13"/>
  <c r="F955" i="13"/>
  <c r="F934" i="13"/>
  <c r="J914" i="13"/>
  <c r="A895" i="13"/>
  <c r="E875" i="13"/>
  <c r="J854" i="13"/>
  <c r="C838" i="13"/>
  <c r="B825" i="13"/>
  <c r="M811" i="13"/>
  <c r="K798" i="13"/>
  <c r="J785" i="13"/>
  <c r="H772" i="13"/>
  <c r="C760" i="13"/>
  <c r="G749" i="13"/>
  <c r="L738" i="13"/>
  <c r="C728" i="13"/>
  <c r="G717" i="13"/>
  <c r="L706" i="13"/>
  <c r="C696" i="13"/>
  <c r="G685" i="13"/>
  <c r="L674" i="13"/>
  <c r="M664" i="13"/>
  <c r="B655" i="13"/>
  <c r="D645" i="13"/>
  <c r="F635" i="13"/>
  <c r="H625" i="13"/>
  <c r="J615" i="13"/>
  <c r="L605" i="13"/>
  <c r="A596" i="13"/>
  <c r="J588" i="13"/>
  <c r="G584" i="13"/>
  <c r="A583" i="13"/>
  <c r="K581" i="13"/>
  <c r="H580" i="13"/>
  <c r="E579" i="13"/>
  <c r="B578" i="13"/>
  <c r="L576" i="13"/>
  <c r="I575" i="13"/>
  <c r="F574" i="13"/>
  <c r="C573" i="13"/>
  <c r="M571" i="13"/>
  <c r="J570" i="13"/>
  <c r="G569" i="13"/>
  <c r="D568" i="13"/>
  <c r="A567" i="13"/>
  <c r="K565" i="13"/>
  <c r="H564" i="13"/>
  <c r="E563" i="13"/>
  <c r="B562" i="13"/>
  <c r="L560" i="13"/>
  <c r="I559" i="13"/>
  <c r="F558" i="13"/>
  <c r="C557" i="13"/>
  <c r="M555" i="13"/>
  <c r="J554" i="13"/>
  <c r="F553" i="13"/>
  <c r="B552" i="13"/>
  <c r="J550" i="13"/>
  <c r="F549" i="13"/>
  <c r="B548" i="13"/>
  <c r="J546" i="13"/>
  <c r="G545" i="13"/>
  <c r="C544" i="13"/>
  <c r="M542" i="13"/>
  <c r="J541" i="13"/>
  <c r="G540" i="13"/>
  <c r="D539" i="13"/>
  <c r="A538" i="13"/>
  <c r="K536" i="13"/>
  <c r="H535" i="13"/>
  <c r="E534" i="13"/>
  <c r="B533" i="13"/>
  <c r="L531" i="13"/>
  <c r="I530" i="13"/>
  <c r="F529" i="13"/>
  <c r="C528" i="13"/>
  <c r="M526" i="13"/>
  <c r="J525" i="13"/>
  <c r="G524" i="13"/>
  <c r="D523" i="13"/>
  <c r="A522" i="13"/>
  <c r="K520" i="13"/>
  <c r="H519" i="13"/>
  <c r="E518" i="13"/>
  <c r="B517" i="13"/>
  <c r="L515" i="13"/>
  <c r="I514" i="13"/>
  <c r="F513" i="13"/>
  <c r="C512" i="13"/>
  <c r="M510" i="13"/>
  <c r="J509" i="13"/>
  <c r="G508" i="13"/>
  <c r="D507" i="13"/>
  <c r="A506" i="13"/>
  <c r="K504" i="13"/>
  <c r="H503" i="13"/>
  <c r="E502" i="13"/>
  <c r="B501" i="13"/>
  <c r="L499" i="13"/>
  <c r="I498" i="13"/>
  <c r="F497" i="13"/>
  <c r="C496" i="13"/>
  <c r="M494" i="13"/>
  <c r="J493" i="13"/>
  <c r="G492" i="13"/>
  <c r="D491" i="13"/>
  <c r="A490" i="13"/>
  <c r="K488" i="13"/>
  <c r="H487" i="13"/>
  <c r="E486" i="13"/>
  <c r="B485" i="13"/>
  <c r="L483" i="13"/>
  <c r="I482" i="13"/>
  <c r="F481" i="13"/>
  <c r="C480" i="13"/>
  <c r="M478" i="13"/>
  <c r="J477" i="13"/>
  <c r="G476" i="13"/>
  <c r="D475" i="13"/>
  <c r="A474" i="13"/>
  <c r="K472" i="13"/>
  <c r="H471" i="13"/>
  <c r="E470" i="13"/>
  <c r="B469" i="13"/>
  <c r="L467" i="13"/>
  <c r="I466" i="13"/>
  <c r="F465" i="13"/>
  <c r="C464" i="13"/>
  <c r="M462" i="13"/>
  <c r="J461" i="13"/>
  <c r="G460" i="13"/>
  <c r="D459" i="13"/>
  <c r="A458" i="13"/>
  <c r="K456" i="13"/>
  <c r="H455" i="13"/>
  <c r="E454" i="13"/>
  <c r="B453" i="13"/>
  <c r="L451" i="13"/>
  <c r="I450" i="13"/>
  <c r="F449" i="13"/>
  <c r="C448" i="13"/>
  <c r="M446" i="13"/>
  <c r="J445" i="13"/>
  <c r="G444" i="13"/>
  <c r="D443" i="13"/>
  <c r="A442" i="13"/>
  <c r="K440" i="13"/>
  <c r="H439" i="13"/>
  <c r="E438" i="13"/>
  <c r="B437" i="13"/>
  <c r="L435" i="13"/>
  <c r="I434" i="13"/>
  <c r="F433" i="13"/>
  <c r="C432" i="13"/>
  <c r="M430" i="13"/>
  <c r="J429" i="13"/>
  <c r="G428" i="13"/>
  <c r="D427" i="13"/>
  <c r="A426" i="13"/>
  <c r="K424" i="13"/>
  <c r="H423" i="13"/>
  <c r="E422" i="13"/>
  <c r="B421" i="13"/>
  <c r="L419" i="13"/>
  <c r="I418" i="13"/>
  <c r="F417" i="13"/>
  <c r="C416" i="13"/>
  <c r="M414" i="13"/>
  <c r="J413" i="13"/>
  <c r="G412" i="13"/>
  <c r="D411" i="13"/>
  <c r="A410" i="13"/>
  <c r="K408" i="13"/>
  <c r="H407" i="13"/>
  <c r="E406" i="13"/>
  <c r="B405" i="13"/>
  <c r="L403" i="13"/>
  <c r="I402" i="13"/>
  <c r="F401" i="13"/>
  <c r="C400" i="13"/>
  <c r="M398" i="13"/>
  <c r="J397" i="13"/>
  <c r="G396" i="13"/>
  <c r="D395" i="13"/>
  <c r="A394" i="13"/>
  <c r="K392" i="13"/>
  <c r="H391" i="13"/>
  <c r="E390" i="13"/>
  <c r="B389" i="13"/>
  <c r="L387" i="13"/>
  <c r="B544" i="13"/>
  <c r="L542" i="13"/>
  <c r="I541" i="13"/>
  <c r="F540" i="13"/>
  <c r="C539" i="13"/>
  <c r="M537" i="13"/>
  <c r="J536" i="13"/>
  <c r="G535" i="13"/>
  <c r="D534" i="13"/>
  <c r="A533" i="13"/>
  <c r="K531" i="13"/>
  <c r="H530" i="13"/>
  <c r="E529" i="13"/>
  <c r="B528" i="13"/>
  <c r="L526" i="13"/>
  <c r="I525" i="13"/>
  <c r="F524" i="13"/>
  <c r="C523" i="13"/>
  <c r="M521" i="13"/>
  <c r="J520" i="13"/>
  <c r="G519" i="13"/>
  <c r="D518" i="13"/>
  <c r="A517" i="13"/>
  <c r="K515" i="13"/>
  <c r="H514" i="13"/>
  <c r="E513" i="13"/>
  <c r="B512" i="13"/>
  <c r="L510" i="13"/>
  <c r="I509" i="13"/>
  <c r="F508" i="13"/>
  <c r="C507" i="13"/>
  <c r="M505" i="13"/>
  <c r="J504" i="13"/>
  <c r="G503" i="13"/>
  <c r="D502" i="13"/>
  <c r="A501" i="13"/>
  <c r="K499" i="13"/>
  <c r="H498" i="13"/>
  <c r="E497" i="13"/>
  <c r="B496" i="13"/>
  <c r="L494" i="13"/>
  <c r="I493" i="13"/>
  <c r="F492" i="13"/>
  <c r="C491" i="13"/>
  <c r="M489" i="13"/>
  <c r="J488" i="13"/>
  <c r="G487" i="13"/>
  <c r="D486" i="13"/>
  <c r="A485" i="13"/>
  <c r="K483" i="13"/>
  <c r="H482" i="13"/>
  <c r="E481" i="13"/>
  <c r="B480" i="13"/>
  <c r="L478" i="13"/>
  <c r="I477" i="13"/>
  <c r="F476" i="13"/>
  <c r="C475" i="13"/>
  <c r="M473" i="13"/>
  <c r="J472" i="13"/>
  <c r="G471" i="13"/>
  <c r="D470" i="13"/>
  <c r="A469" i="13"/>
  <c r="K467" i="13"/>
  <c r="H466" i="13"/>
  <c r="E465" i="13"/>
  <c r="B464" i="13"/>
  <c r="L462" i="13"/>
  <c r="I461" i="13"/>
  <c r="F460" i="13"/>
  <c r="C459" i="13"/>
  <c r="M457" i="13"/>
  <c r="J456" i="13"/>
  <c r="G455" i="13"/>
  <c r="D454" i="13"/>
  <c r="A453" i="13"/>
  <c r="K451" i="13"/>
  <c r="H450" i="13"/>
  <c r="E449" i="13"/>
  <c r="B448" i="13"/>
  <c r="L446" i="13"/>
  <c r="I445" i="13"/>
  <c r="F444" i="13"/>
  <c r="C443" i="13"/>
  <c r="M441" i="13"/>
  <c r="J440" i="13"/>
  <c r="G439" i="13"/>
  <c r="D438" i="13"/>
  <c r="A437" i="13"/>
  <c r="K435" i="13"/>
  <c r="H434" i="13"/>
  <c r="E433" i="13"/>
  <c r="B432" i="13"/>
  <c r="L430" i="13"/>
  <c r="I429" i="13"/>
  <c r="F428" i="13"/>
  <c r="C427" i="13"/>
  <c r="M425" i="13"/>
  <c r="J424" i="13"/>
  <c r="G423" i="13"/>
  <c r="D422" i="13"/>
  <c r="A421" i="13"/>
  <c r="K419" i="13"/>
  <c r="H418" i="13"/>
  <c r="E417" i="13"/>
  <c r="B416" i="13"/>
  <c r="L414" i="13"/>
  <c r="I413" i="13"/>
  <c r="F412" i="13"/>
  <c r="C411" i="13"/>
  <c r="M409" i="13"/>
  <c r="J408" i="13"/>
  <c r="G407" i="13"/>
  <c r="D406" i="13"/>
  <c r="A405" i="13"/>
  <c r="K403" i="13"/>
  <c r="H402" i="13"/>
  <c r="E401" i="13"/>
  <c r="B400" i="13"/>
  <c r="L398" i="13"/>
  <c r="I397" i="13"/>
  <c r="F396" i="13"/>
  <c r="C395" i="13"/>
  <c r="M393" i="13"/>
  <c r="J392" i="13"/>
  <c r="G391" i="13"/>
  <c r="D390" i="13"/>
  <c r="A389" i="13"/>
  <c r="K387" i="13"/>
  <c r="A544" i="13"/>
  <c r="K542" i="13"/>
  <c r="H541" i="13"/>
  <c r="E540" i="13"/>
  <c r="B539" i="13"/>
  <c r="L537" i="13"/>
  <c r="I536" i="13"/>
  <c r="F535" i="13"/>
  <c r="C534" i="13"/>
  <c r="M532" i="13"/>
  <c r="J531" i="13"/>
  <c r="G530" i="13"/>
  <c r="D529" i="13"/>
  <c r="A528" i="13"/>
  <c r="K526" i="13"/>
  <c r="H525" i="13"/>
  <c r="E524" i="13"/>
  <c r="B523" i="13"/>
  <c r="L521" i="13"/>
  <c r="I520" i="13"/>
  <c r="F519" i="13"/>
  <c r="C518" i="13"/>
  <c r="M516" i="13"/>
  <c r="J515" i="13"/>
  <c r="G514" i="13"/>
  <c r="D513" i="13"/>
  <c r="A512" i="13"/>
  <c r="K510" i="13"/>
  <c r="H509" i="13"/>
  <c r="E508" i="13"/>
  <c r="B507" i="13"/>
  <c r="L505" i="13"/>
  <c r="I504" i="13"/>
  <c r="F503" i="13"/>
  <c r="C502" i="13"/>
  <c r="M500" i="13"/>
  <c r="J499" i="13"/>
  <c r="G498" i="13"/>
  <c r="D497" i="13"/>
  <c r="A496" i="13"/>
  <c r="K494" i="13"/>
  <c r="H493" i="13"/>
  <c r="E492" i="13"/>
  <c r="B491" i="13"/>
  <c r="L489" i="13"/>
  <c r="I488" i="13"/>
  <c r="F487" i="13"/>
  <c r="C486" i="13"/>
  <c r="M484" i="13"/>
  <c r="J483" i="13"/>
  <c r="G482" i="13"/>
  <c r="D481" i="13"/>
  <c r="A480" i="13"/>
  <c r="K478" i="13"/>
  <c r="H477" i="13"/>
  <c r="E476" i="13"/>
  <c r="B475" i="13"/>
  <c r="L473" i="13"/>
  <c r="I472" i="13"/>
  <c r="F471" i="13"/>
  <c r="C470" i="13"/>
  <c r="M468" i="13"/>
  <c r="J467" i="13"/>
  <c r="G466" i="13"/>
  <c r="D465" i="13"/>
  <c r="A464" i="13"/>
  <c r="K462" i="13"/>
  <c r="H461" i="13"/>
  <c r="E460" i="13"/>
  <c r="B459" i="13"/>
  <c r="L457" i="13"/>
  <c r="I456" i="13"/>
  <c r="F455" i="13"/>
  <c r="C454" i="13"/>
  <c r="M452" i="13"/>
  <c r="J451" i="13"/>
  <c r="G450" i="13"/>
  <c r="D449" i="13"/>
  <c r="A448" i="13"/>
  <c r="K446" i="13"/>
  <c r="H445" i="13"/>
  <c r="E444" i="13"/>
  <c r="B443" i="13"/>
  <c r="L441" i="13"/>
  <c r="I440" i="13"/>
  <c r="F439" i="13"/>
  <c r="C438" i="13"/>
  <c r="M436" i="13"/>
  <c r="J435" i="13"/>
  <c r="G434" i="13"/>
  <c r="D433" i="13"/>
  <c r="A432" i="13"/>
  <c r="K430" i="13"/>
  <c r="H429" i="13"/>
  <c r="E428" i="13"/>
  <c r="B427" i="13"/>
  <c r="L425" i="13"/>
  <c r="I424" i="13"/>
  <c r="F423" i="13"/>
  <c r="C422" i="13"/>
  <c r="M420" i="13"/>
  <c r="J419" i="13"/>
  <c r="G418" i="13"/>
  <c r="D417" i="13"/>
  <c r="A416" i="13"/>
  <c r="K414" i="13"/>
  <c r="H413" i="13"/>
  <c r="E412" i="13"/>
  <c r="B411" i="13"/>
  <c r="L409" i="13"/>
  <c r="I408" i="13"/>
  <c r="F407" i="13"/>
  <c r="C406" i="13"/>
  <c r="M404" i="13"/>
  <c r="J403" i="13"/>
  <c r="G402" i="13"/>
  <c r="D401" i="13"/>
  <c r="A400" i="13"/>
  <c r="K398" i="13"/>
  <c r="H397" i="13"/>
  <c r="E396" i="13"/>
  <c r="B395" i="13"/>
  <c r="L393" i="13"/>
  <c r="I392" i="13"/>
  <c r="F391" i="13"/>
  <c r="C390" i="13"/>
  <c r="M388" i="13"/>
  <c r="J387" i="13"/>
  <c r="M543" i="13"/>
  <c r="J542" i="13"/>
  <c r="G541" i="13"/>
  <c r="D540" i="13"/>
  <c r="A539" i="13"/>
  <c r="K537" i="13"/>
  <c r="H536" i="13"/>
  <c r="E535" i="13"/>
  <c r="B534" i="13"/>
  <c r="L532" i="13"/>
  <c r="I531" i="13"/>
  <c r="F530" i="13"/>
  <c r="C529" i="13"/>
  <c r="M527" i="13"/>
  <c r="J526" i="13"/>
  <c r="G525" i="13"/>
  <c r="D524" i="13"/>
  <c r="A523" i="13"/>
  <c r="K521" i="13"/>
  <c r="H520" i="13"/>
  <c r="E519" i="13"/>
  <c r="B518" i="13"/>
  <c r="L516" i="13"/>
  <c r="I515" i="13"/>
  <c r="F514" i="13"/>
  <c r="C513" i="13"/>
  <c r="M511" i="13"/>
  <c r="J510" i="13"/>
  <c r="G509" i="13"/>
  <c r="D508" i="13"/>
  <c r="A507" i="13"/>
  <c r="K505" i="13"/>
  <c r="H504" i="13"/>
  <c r="E503" i="13"/>
  <c r="B502" i="13"/>
  <c r="L500" i="13"/>
  <c r="I499" i="13"/>
  <c r="F498" i="13"/>
  <c r="C497" i="13"/>
  <c r="M495" i="13"/>
  <c r="J494" i="13"/>
  <c r="G493" i="13"/>
  <c r="D492" i="13"/>
  <c r="A491" i="13"/>
  <c r="K489" i="13"/>
  <c r="H488" i="13"/>
  <c r="E487" i="13"/>
  <c r="B486" i="13"/>
  <c r="L484" i="13"/>
  <c r="I483" i="13"/>
  <c r="F482" i="13"/>
  <c r="C481" i="13"/>
  <c r="M479" i="13"/>
  <c r="J478" i="13"/>
  <c r="G477" i="13"/>
  <c r="D476" i="13"/>
  <c r="A475" i="13"/>
  <c r="K473" i="13"/>
  <c r="H472" i="13"/>
  <c r="E471" i="13"/>
  <c r="B470" i="13"/>
  <c r="L468" i="13"/>
  <c r="I467" i="13"/>
  <c r="F466" i="13"/>
  <c r="C465" i="13"/>
  <c r="M463" i="13"/>
  <c r="J462" i="13"/>
  <c r="G461" i="13"/>
  <c r="D460" i="13"/>
  <c r="A459" i="13"/>
  <c r="K457" i="13"/>
  <c r="H456" i="13"/>
  <c r="E455" i="13"/>
  <c r="B454" i="13"/>
  <c r="L452" i="13"/>
  <c r="I451" i="13"/>
  <c r="F450" i="13"/>
  <c r="C449" i="13"/>
  <c r="M447" i="13"/>
  <c r="J446" i="13"/>
  <c r="G445" i="13"/>
  <c r="D444" i="13"/>
  <c r="A443" i="13"/>
  <c r="K441" i="13"/>
  <c r="H440" i="13"/>
  <c r="E439" i="13"/>
  <c r="B438" i="13"/>
  <c r="L436" i="13"/>
  <c r="I435" i="13"/>
  <c r="F434" i="13"/>
  <c r="C433" i="13"/>
  <c r="M431" i="13"/>
  <c r="J430" i="13"/>
  <c r="G429" i="13"/>
  <c r="D428" i="13"/>
  <c r="A427" i="13"/>
  <c r="K425" i="13"/>
  <c r="H424" i="13"/>
  <c r="E423" i="13"/>
  <c r="B422" i="13"/>
  <c r="L420" i="13"/>
  <c r="I419" i="13"/>
  <c r="F418" i="13"/>
  <c r="C417" i="13"/>
  <c r="M415" i="13"/>
  <c r="J414" i="13"/>
  <c r="G413" i="13"/>
  <c r="D412" i="13"/>
  <c r="A411" i="13"/>
  <c r="K409" i="13"/>
  <c r="H408" i="13"/>
  <c r="E407" i="13"/>
  <c r="B406" i="13"/>
  <c r="L404" i="13"/>
  <c r="I403" i="13"/>
  <c r="F402" i="13"/>
  <c r="C401" i="13"/>
  <c r="M399" i="13"/>
  <c r="J398" i="13"/>
  <c r="G397" i="13"/>
  <c r="D396" i="13"/>
  <c r="A395" i="13"/>
  <c r="K393" i="13"/>
  <c r="H392" i="13"/>
  <c r="E391" i="13"/>
  <c r="B390" i="13"/>
  <c r="L388" i="13"/>
  <c r="I387" i="13"/>
  <c r="F386" i="13"/>
  <c r="B385" i="13"/>
  <c r="J383" i="13"/>
  <c r="F382" i="13"/>
  <c r="B381" i="13"/>
  <c r="J379" i="13"/>
  <c r="F378" i="13"/>
  <c r="B377" i="13"/>
  <c r="J375" i="13"/>
  <c r="F374" i="13"/>
  <c r="B373" i="13"/>
  <c r="J371" i="13"/>
  <c r="F370" i="13"/>
  <c r="B369" i="13"/>
  <c r="J367" i="13"/>
  <c r="F366" i="13"/>
  <c r="B365" i="13"/>
  <c r="J363" i="13"/>
  <c r="F362" i="13"/>
  <c r="C361" i="13"/>
  <c r="M359" i="13"/>
  <c r="J358" i="13"/>
  <c r="G357" i="13"/>
  <c r="D356" i="13"/>
  <c r="A355" i="13"/>
  <c r="K353" i="13"/>
  <c r="H352" i="13"/>
  <c r="E351" i="13"/>
  <c r="B350" i="13"/>
  <c r="L348" i="13"/>
  <c r="I347" i="13"/>
  <c r="F346" i="13"/>
  <c r="C345" i="13"/>
  <c r="M343" i="13"/>
  <c r="J342" i="13"/>
  <c r="G341" i="13"/>
  <c r="D340" i="13"/>
  <c r="A339" i="13"/>
  <c r="K337" i="13"/>
  <c r="H336" i="13"/>
  <c r="E335" i="13"/>
  <c r="B334" i="13"/>
  <c r="L332" i="13"/>
  <c r="I331" i="13"/>
  <c r="F330" i="13"/>
  <c r="C329" i="13"/>
  <c r="M327" i="13"/>
  <c r="J326" i="13"/>
  <c r="G325" i="13"/>
  <c r="D324" i="13"/>
  <c r="A323" i="13"/>
  <c r="K321" i="13"/>
  <c r="H320" i="13"/>
  <c r="E319" i="13"/>
  <c r="B318" i="13"/>
  <c r="L316" i="13"/>
  <c r="I315" i="13"/>
  <c r="F314" i="13"/>
  <c r="C313" i="13"/>
  <c r="M311" i="13"/>
  <c r="J310" i="13"/>
  <c r="G309" i="13"/>
  <c r="D308" i="13"/>
  <c r="A307" i="13"/>
  <c r="K305" i="13"/>
  <c r="H304" i="13"/>
  <c r="E303" i="13"/>
  <c r="B302" i="13"/>
  <c r="L300" i="13"/>
  <c r="I299" i="13"/>
  <c r="F298" i="13"/>
  <c r="C297" i="13"/>
  <c r="M295" i="13"/>
  <c r="J294" i="13"/>
  <c r="G293" i="13"/>
  <c r="D292" i="13"/>
  <c r="A291" i="13"/>
  <c r="J289" i="13"/>
  <c r="F288" i="13"/>
  <c r="B287" i="13"/>
  <c r="J285" i="13"/>
  <c r="F284" i="13"/>
  <c r="B283" i="13"/>
  <c r="J281" i="13"/>
  <c r="F280" i="13"/>
  <c r="B279" i="13"/>
  <c r="J277" i="13"/>
  <c r="F276" i="13"/>
  <c r="B275" i="13"/>
  <c r="J273" i="13"/>
  <c r="F272" i="13"/>
  <c r="B271" i="13"/>
  <c r="J269" i="13"/>
  <c r="F268" i="13"/>
  <c r="B267" i="13"/>
  <c r="J265" i="13"/>
  <c r="F264" i="13"/>
  <c r="B263" i="13"/>
  <c r="J261" i="13"/>
  <c r="F260" i="13"/>
  <c r="B259" i="13"/>
  <c r="J257" i="13"/>
  <c r="F256" i="13"/>
  <c r="B255" i="13"/>
  <c r="J253" i="13"/>
  <c r="F252" i="13"/>
  <c r="B251" i="13"/>
  <c r="J249" i="13"/>
  <c r="F248" i="13"/>
  <c r="B247" i="13"/>
  <c r="J245" i="13"/>
  <c r="F244" i="13"/>
  <c r="B243" i="13"/>
  <c r="J241" i="13"/>
  <c r="F240" i="13"/>
  <c r="B239" i="13"/>
  <c r="J237" i="13"/>
  <c r="F236" i="13"/>
  <c r="C235" i="13"/>
  <c r="M233" i="13"/>
  <c r="H232" i="13"/>
  <c r="D231" i="13"/>
  <c r="M229" i="13"/>
  <c r="H228" i="13"/>
  <c r="E227" i="13"/>
  <c r="B226" i="13"/>
  <c r="J224" i="13"/>
  <c r="F223" i="13"/>
  <c r="B222" i="13"/>
  <c r="J220" i="13"/>
  <c r="G219" i="13"/>
  <c r="D218" i="13"/>
  <c r="M216" i="13"/>
  <c r="H215" i="13"/>
  <c r="D214" i="13"/>
  <c r="M212" i="13"/>
  <c r="I211" i="13"/>
  <c r="F210" i="13"/>
  <c r="B209" i="13"/>
  <c r="J207" i="13"/>
  <c r="F206" i="13"/>
  <c r="B205" i="13"/>
  <c r="K203" i="13"/>
  <c r="H202" i="13"/>
  <c r="D201" i="13"/>
  <c r="M199" i="13"/>
  <c r="H198" i="13"/>
  <c r="D197" i="13"/>
  <c r="M195" i="13"/>
  <c r="J194" i="13"/>
  <c r="F193" i="13"/>
  <c r="B192" i="13"/>
  <c r="J190" i="13"/>
  <c r="F189" i="13"/>
  <c r="B188" i="13"/>
  <c r="L186" i="13"/>
  <c r="H185" i="13"/>
  <c r="D184" i="13"/>
  <c r="M182" i="13"/>
  <c r="H181" i="13"/>
  <c r="D180" i="13"/>
  <c r="A179" i="13"/>
  <c r="J177" i="13"/>
  <c r="F176" i="13"/>
  <c r="B175" i="13"/>
  <c r="J173" i="13"/>
  <c r="F172" i="13"/>
  <c r="C171" i="13"/>
  <c r="M169" i="13"/>
  <c r="H168" i="13"/>
  <c r="D167" i="13"/>
  <c r="M165" i="13"/>
  <c r="H164" i="13"/>
  <c r="D163" i="13"/>
  <c r="M161" i="13"/>
  <c r="H160" i="13"/>
  <c r="D159" i="13"/>
  <c r="M157" i="13"/>
  <c r="H156" i="13"/>
  <c r="E155" i="13"/>
  <c r="B154" i="13"/>
  <c r="J152" i="13"/>
  <c r="F151" i="13"/>
  <c r="B150" i="13"/>
  <c r="J148" i="13"/>
  <c r="F147" i="13"/>
  <c r="B146" i="13"/>
  <c r="J144" i="13"/>
  <c r="F143" i="13"/>
  <c r="B142" i="13"/>
  <c r="J140" i="13"/>
  <c r="G139" i="13"/>
  <c r="D138" i="13"/>
  <c r="M136" i="13"/>
  <c r="H135" i="13"/>
  <c r="D134" i="13"/>
  <c r="M132" i="13"/>
  <c r="H131" i="13"/>
  <c r="D130" i="13"/>
  <c r="M128" i="13"/>
  <c r="H127" i="13"/>
  <c r="D126" i="13"/>
  <c r="M124" i="13"/>
  <c r="I123" i="13"/>
  <c r="F122" i="13"/>
  <c r="B121" i="13"/>
  <c r="J119" i="13"/>
  <c r="F118" i="13"/>
  <c r="B117" i="13"/>
  <c r="K115" i="13"/>
  <c r="H114" i="13"/>
  <c r="D113" i="13"/>
  <c r="M111" i="13"/>
  <c r="H110" i="13"/>
  <c r="D109" i="13"/>
  <c r="M107" i="13"/>
  <c r="J106" i="13"/>
  <c r="F105" i="13"/>
  <c r="B104" i="13"/>
  <c r="J102" i="13"/>
  <c r="F101" i="13"/>
  <c r="B100" i="13"/>
  <c r="L98" i="13"/>
  <c r="H97" i="13"/>
  <c r="D96" i="13"/>
  <c r="M94" i="13"/>
  <c r="H93" i="13"/>
  <c r="D92" i="13"/>
  <c r="M90" i="13"/>
  <c r="H89" i="13"/>
  <c r="D88" i="13"/>
  <c r="M86" i="13"/>
  <c r="H85" i="13"/>
  <c r="D84" i="13"/>
  <c r="M82" i="13"/>
  <c r="H81" i="13"/>
  <c r="D80" i="13"/>
  <c r="M78" i="13"/>
  <c r="H77" i="13"/>
  <c r="D76" i="13"/>
  <c r="M74" i="13"/>
  <c r="I73" i="13"/>
  <c r="F72" i="13"/>
  <c r="C71" i="13"/>
  <c r="M69" i="13"/>
  <c r="J68" i="13"/>
  <c r="G67" i="13"/>
  <c r="D66" i="13"/>
  <c r="A65" i="13"/>
  <c r="K63" i="13"/>
  <c r="H62" i="13"/>
  <c r="E61" i="13"/>
  <c r="B60" i="13"/>
  <c r="L58" i="13"/>
  <c r="I57" i="13"/>
  <c r="F56" i="13"/>
  <c r="I386" i="13"/>
  <c r="E385" i="13"/>
  <c r="A384" i="13"/>
  <c r="I382" i="13"/>
  <c r="E381" i="13"/>
  <c r="A380" i="13"/>
  <c r="I378" i="13"/>
  <c r="E377" i="13"/>
  <c r="A376" i="13"/>
  <c r="I374" i="13"/>
  <c r="E373" i="13"/>
  <c r="A372" i="13"/>
  <c r="I370" i="13"/>
  <c r="E369" i="13"/>
  <c r="A368" i="13"/>
  <c r="I366" i="13"/>
  <c r="E365" i="13"/>
  <c r="A364" i="13"/>
  <c r="I362" i="13"/>
  <c r="F361" i="13"/>
  <c r="C360" i="13"/>
  <c r="M358" i="13"/>
  <c r="J357" i="13"/>
  <c r="G356" i="13"/>
  <c r="D355" i="13"/>
  <c r="A354" i="13"/>
  <c r="K352" i="13"/>
  <c r="H351" i="13"/>
  <c r="E350" i="13"/>
  <c r="B349" i="13"/>
  <c r="L347" i="13"/>
  <c r="I346" i="13"/>
  <c r="F345" i="13"/>
  <c r="C344" i="13"/>
  <c r="M342" i="13"/>
  <c r="J341" i="13"/>
  <c r="G340" i="13"/>
  <c r="D339" i="13"/>
  <c r="A338" i="13"/>
  <c r="K336" i="13"/>
  <c r="H335" i="13"/>
  <c r="E334" i="13"/>
  <c r="B333" i="13"/>
  <c r="L331" i="13"/>
  <c r="I330" i="13"/>
  <c r="F329" i="13"/>
  <c r="C328" i="13"/>
  <c r="M326" i="13"/>
  <c r="J325" i="13"/>
  <c r="G324" i="13"/>
  <c r="D323" i="13"/>
  <c r="A322" i="13"/>
  <c r="K320" i="13"/>
  <c r="H319" i="13"/>
  <c r="E318" i="13"/>
  <c r="B317" i="13"/>
  <c r="L315" i="13"/>
  <c r="I314" i="13"/>
  <c r="F313" i="13"/>
  <c r="C312" i="13"/>
  <c r="M310" i="13"/>
  <c r="J309" i="13"/>
  <c r="G308" i="13"/>
  <c r="D307" i="13"/>
  <c r="A306" i="13"/>
  <c r="K304" i="13"/>
  <c r="H303" i="13"/>
  <c r="E302" i="13"/>
  <c r="B301" i="13"/>
  <c r="L299" i="13"/>
  <c r="I298" i="13"/>
  <c r="F297" i="13"/>
  <c r="C296" i="13"/>
  <c r="M294" i="13"/>
  <c r="J293" i="13"/>
  <c r="G292" i="13"/>
  <c r="D291" i="13"/>
  <c r="A290" i="13"/>
  <c r="I288" i="13"/>
  <c r="E287" i="13"/>
  <c r="A286" i="13"/>
  <c r="I284" i="13"/>
  <c r="E283" i="13"/>
  <c r="A282" i="13"/>
  <c r="I280" i="13"/>
  <c r="E279" i="13"/>
  <c r="A278" i="13"/>
  <c r="I276" i="13"/>
  <c r="E275" i="13"/>
  <c r="A274" i="13"/>
  <c r="I272" i="13"/>
  <c r="E271" i="13"/>
  <c r="A270" i="13"/>
  <c r="I268" i="13"/>
  <c r="E267" i="13"/>
  <c r="A266" i="13"/>
  <c r="I264" i="13"/>
  <c r="E263" i="13"/>
  <c r="A262" i="13"/>
  <c r="I260" i="13"/>
  <c r="E259" i="13"/>
  <c r="A258" i="13"/>
  <c r="I256" i="13"/>
  <c r="E255" i="13"/>
  <c r="A254" i="13"/>
  <c r="I252" i="13"/>
  <c r="E251" i="13"/>
  <c r="A250" i="13"/>
  <c r="I248" i="13"/>
  <c r="E247" i="13"/>
  <c r="A246" i="13"/>
  <c r="I244" i="13"/>
  <c r="E243" i="13"/>
  <c r="A242" i="13"/>
  <c r="I240" i="13"/>
  <c r="E239" i="13"/>
  <c r="A238" i="13"/>
  <c r="I236" i="13"/>
  <c r="F235" i="13"/>
  <c r="C234" i="13"/>
  <c r="L232" i="13"/>
  <c r="G231" i="13"/>
  <c r="C230" i="13"/>
  <c r="L228" i="13"/>
  <c r="H227" i="13"/>
  <c r="E226" i="13"/>
  <c r="A225" i="13"/>
  <c r="I223" i="13"/>
  <c r="E222" i="13"/>
  <c r="A221" i="13"/>
  <c r="J219" i="13"/>
  <c r="G218" i="13"/>
  <c r="C217" i="13"/>
  <c r="L215" i="13"/>
  <c r="G214" i="13"/>
  <c r="C213" i="13"/>
  <c r="L211" i="13"/>
  <c r="I210" i="13"/>
  <c r="E209" i="13"/>
  <c r="A208" i="13"/>
  <c r="I206" i="13"/>
  <c r="E205" i="13"/>
  <c r="A204" i="13"/>
  <c r="K202" i="13"/>
  <c r="G201" i="13"/>
  <c r="C200" i="13"/>
  <c r="L198" i="13"/>
  <c r="G197" i="13"/>
  <c r="C196" i="13"/>
  <c r="M194" i="13"/>
  <c r="I193" i="13"/>
  <c r="E192" i="13"/>
  <c r="A191" i="13"/>
  <c r="I189" i="13"/>
  <c r="E188" i="13"/>
  <c r="B187" i="13"/>
  <c r="L185" i="13"/>
  <c r="G184" i="13"/>
  <c r="C183" i="13"/>
  <c r="L181" i="13"/>
  <c r="G180" i="13"/>
  <c r="D179" i="13"/>
  <c r="A178" i="13"/>
  <c r="I176" i="13"/>
  <c r="E175" i="13"/>
  <c r="A174" i="13"/>
  <c r="I172" i="13"/>
  <c r="F171" i="13"/>
  <c r="C170" i="13"/>
  <c r="L168" i="13"/>
  <c r="G167" i="13"/>
  <c r="C166" i="13"/>
  <c r="L164" i="13"/>
  <c r="G163" i="13"/>
  <c r="C162" i="13"/>
  <c r="L160" i="13"/>
  <c r="G159" i="13"/>
  <c r="C158" i="13"/>
  <c r="L156" i="13"/>
  <c r="H155" i="13"/>
  <c r="E154" i="13"/>
  <c r="A153" i="13"/>
  <c r="I151" i="13"/>
  <c r="E150" i="13"/>
  <c r="A149" i="13"/>
  <c r="I147" i="13"/>
  <c r="E146" i="13"/>
  <c r="A145" i="13"/>
  <c r="I143" i="13"/>
  <c r="E142" i="13"/>
  <c r="A141" i="13"/>
  <c r="J139" i="13"/>
  <c r="G138" i="13"/>
  <c r="C137" i="13"/>
  <c r="L135" i="13"/>
  <c r="G134" i="13"/>
  <c r="C133" i="13"/>
  <c r="L131" i="13"/>
  <c r="G130" i="13"/>
  <c r="C129" i="13"/>
  <c r="L127" i="13"/>
  <c r="G126" i="13"/>
  <c r="C125" i="13"/>
  <c r="L123" i="13"/>
  <c r="I122" i="13"/>
  <c r="E121" i="13"/>
  <c r="A120" i="13"/>
  <c r="I118" i="13"/>
  <c r="E117" i="13"/>
  <c r="A116" i="13"/>
  <c r="K114" i="13"/>
  <c r="G113" i="13"/>
  <c r="C112" i="13"/>
  <c r="L110" i="13"/>
  <c r="G109" i="13"/>
  <c r="C108" i="13"/>
  <c r="M106" i="13"/>
  <c r="I105" i="13"/>
  <c r="E104" i="13"/>
  <c r="A103" i="13"/>
  <c r="I101" i="13"/>
  <c r="E100" i="13"/>
  <c r="B99" i="13"/>
  <c r="L97" i="13"/>
  <c r="G96" i="13"/>
  <c r="C95" i="13"/>
  <c r="L93" i="13"/>
  <c r="G92" i="13"/>
  <c r="C91" i="13"/>
  <c r="L89" i="13"/>
  <c r="G88" i="13"/>
  <c r="C87" i="13"/>
  <c r="L85" i="13"/>
  <c r="G84" i="13"/>
  <c r="C83" i="13"/>
  <c r="L81" i="13"/>
  <c r="G80" i="13"/>
  <c r="C79" i="13"/>
  <c r="L77" i="13"/>
  <c r="G76" i="13"/>
  <c r="C75" i="13"/>
  <c r="L73" i="13"/>
  <c r="I72" i="13"/>
  <c r="F71" i="13"/>
  <c r="C70" i="13"/>
  <c r="M68" i="13"/>
  <c r="J67" i="13"/>
  <c r="G66" i="13"/>
  <c r="D65" i="13"/>
  <c r="A64" i="13"/>
  <c r="K62" i="13"/>
  <c r="H61" i="13"/>
  <c r="E60" i="13"/>
  <c r="B59" i="13"/>
  <c r="L57" i="13"/>
  <c r="I56" i="13"/>
  <c r="D386" i="13"/>
  <c r="M384" i="13"/>
  <c r="H383" i="13"/>
  <c r="D382" i="13"/>
  <c r="M380" i="13"/>
  <c r="H379" i="13"/>
  <c r="D378" i="13"/>
  <c r="M376" i="13"/>
  <c r="H375" i="13"/>
  <c r="D374" i="13"/>
  <c r="M372" i="13"/>
  <c r="H371" i="13"/>
  <c r="D370" i="13"/>
  <c r="M368" i="13"/>
  <c r="H367" i="13"/>
  <c r="D366" i="13"/>
  <c r="M364" i="13"/>
  <c r="H363" i="13"/>
  <c r="D362" i="13"/>
  <c r="A361" i="13"/>
  <c r="K359" i="13"/>
  <c r="H358" i="13"/>
  <c r="E357" i="13"/>
  <c r="B356" i="13"/>
  <c r="L354" i="13"/>
  <c r="I353" i="13"/>
  <c r="F352" i="13"/>
  <c r="C351" i="13"/>
  <c r="M349" i="13"/>
  <c r="J348" i="13"/>
  <c r="G347" i="13"/>
  <c r="D346" i="13"/>
  <c r="A345" i="13"/>
  <c r="K343" i="13"/>
  <c r="H342" i="13"/>
  <c r="E341" i="13"/>
  <c r="B340" i="13"/>
  <c r="L338" i="13"/>
  <c r="I337" i="13"/>
  <c r="F336" i="13"/>
  <c r="C335" i="13"/>
  <c r="M333" i="13"/>
  <c r="J332" i="13"/>
  <c r="G331" i="13"/>
  <c r="D330" i="13"/>
  <c r="A329" i="13"/>
  <c r="K327" i="13"/>
  <c r="H326" i="13"/>
  <c r="E325" i="13"/>
  <c r="B324" i="13"/>
  <c r="L322" i="13"/>
  <c r="I321" i="13"/>
  <c r="F320" i="13"/>
  <c r="C319" i="13"/>
  <c r="M317" i="13"/>
  <c r="J316" i="13"/>
  <c r="G315" i="13"/>
  <c r="D314" i="13"/>
  <c r="A313" i="13"/>
  <c r="K311" i="13"/>
  <c r="H310" i="13"/>
  <c r="E309" i="13"/>
  <c r="B308" i="13"/>
  <c r="L306" i="13"/>
  <c r="I305" i="13"/>
  <c r="F304" i="13"/>
  <c r="C303" i="13"/>
  <c r="M301" i="13"/>
  <c r="J300" i="13"/>
  <c r="G299" i="13"/>
  <c r="D298" i="13"/>
  <c r="A297" i="13"/>
  <c r="K295" i="13"/>
  <c r="H294" i="13"/>
  <c r="E293" i="13"/>
  <c r="B292" i="13"/>
  <c r="L290" i="13"/>
  <c r="H289" i="13"/>
  <c r="D288" i="13"/>
  <c r="M286" i="13"/>
  <c r="H285" i="13"/>
  <c r="D284" i="13"/>
  <c r="M282" i="13"/>
  <c r="H281" i="13"/>
  <c r="D280" i="13"/>
  <c r="M278" i="13"/>
  <c r="H277" i="13"/>
  <c r="D276" i="13"/>
  <c r="M274" i="13"/>
  <c r="H273" i="13"/>
  <c r="D272" i="13"/>
  <c r="M270" i="13"/>
  <c r="H269" i="13"/>
  <c r="D268" i="13"/>
  <c r="M266" i="13"/>
  <c r="H265" i="13"/>
  <c r="D264" i="13"/>
  <c r="M262" i="13"/>
  <c r="H261" i="13"/>
  <c r="D260" i="13"/>
  <c r="M258" i="13"/>
  <c r="H257" i="13"/>
  <c r="D256" i="13"/>
  <c r="M254" i="13"/>
  <c r="H253" i="13"/>
  <c r="D252" i="13"/>
  <c r="M250" i="13"/>
  <c r="H249" i="13"/>
  <c r="D248" i="13"/>
  <c r="M246" i="13"/>
  <c r="H245" i="13"/>
  <c r="D244" i="13"/>
  <c r="M242" i="13"/>
  <c r="H241" i="13"/>
  <c r="D240" i="13"/>
  <c r="M238" i="13"/>
  <c r="H237" i="13"/>
  <c r="D236" i="13"/>
  <c r="A235" i="13"/>
  <c r="J233" i="13"/>
  <c r="F232" i="13"/>
  <c r="B231" i="13"/>
  <c r="J229" i="13"/>
  <c r="F228" i="13"/>
  <c r="C227" i="13"/>
  <c r="M225" i="13"/>
  <c r="H224" i="13"/>
  <c r="D223" i="13"/>
  <c r="M221" i="13"/>
  <c r="H220" i="13"/>
  <c r="E219" i="13"/>
  <c r="B218" i="13"/>
  <c r="J216" i="13"/>
  <c r="F215" i="13"/>
  <c r="B214" i="13"/>
  <c r="J212" i="13"/>
  <c r="G211" i="13"/>
  <c r="D210" i="13"/>
  <c r="M208" i="13"/>
  <c r="H207" i="13"/>
  <c r="D206" i="13"/>
  <c r="M204" i="13"/>
  <c r="I203" i="13"/>
  <c r="F202" i="13"/>
  <c r="B201" i="13"/>
  <c r="J199" i="13"/>
  <c r="F198" i="13"/>
  <c r="B197" i="13"/>
  <c r="K195" i="13"/>
  <c r="H194" i="13"/>
  <c r="D193" i="13"/>
  <c r="M191" i="13"/>
  <c r="H190" i="13"/>
  <c r="D189" i="13"/>
  <c r="M187" i="13"/>
  <c r="J186" i="13"/>
  <c r="F185" i="13"/>
  <c r="B184" i="13"/>
  <c r="J182" i="13"/>
  <c r="F181" i="13"/>
  <c r="B180" i="13"/>
  <c r="L178" i="13"/>
  <c r="H177" i="13"/>
  <c r="D176" i="13"/>
  <c r="M174" i="13"/>
  <c r="H173" i="13"/>
  <c r="D172" i="13"/>
  <c r="A171" i="13"/>
  <c r="J169" i="13"/>
  <c r="F168" i="13"/>
  <c r="B167" i="13"/>
  <c r="J165" i="13"/>
  <c r="F164" i="13"/>
  <c r="B163" i="13"/>
  <c r="J161" i="13"/>
  <c r="F160" i="13"/>
  <c r="B159" i="13"/>
  <c r="J157" i="13"/>
  <c r="F156" i="13"/>
  <c r="C155" i="13"/>
  <c r="M153" i="13"/>
  <c r="H152" i="13"/>
  <c r="D151" i="13"/>
  <c r="M149" i="13"/>
  <c r="H148" i="13"/>
  <c r="D147" i="13"/>
  <c r="M145" i="13"/>
  <c r="H144" i="13"/>
  <c r="D143" i="13"/>
  <c r="M141" i="13"/>
  <c r="H140" i="13"/>
  <c r="E139" i="13"/>
  <c r="B138" i="13"/>
  <c r="J136" i="13"/>
  <c r="F135" i="13"/>
  <c r="B134" i="13"/>
  <c r="J132" i="13"/>
  <c r="F131" i="13"/>
  <c r="B130" i="13"/>
  <c r="J128" i="13"/>
  <c r="F127" i="13"/>
  <c r="B126" i="13"/>
  <c r="J124" i="13"/>
  <c r="G123" i="13"/>
  <c r="D122" i="13"/>
  <c r="M120" i="13"/>
  <c r="H119" i="13"/>
  <c r="D118" i="13"/>
  <c r="M116" i="13"/>
  <c r="I115" i="13"/>
  <c r="F114" i="13"/>
  <c r="B113" i="13"/>
  <c r="J111" i="13"/>
  <c r="F110" i="13"/>
  <c r="B109" i="13"/>
  <c r="K107" i="13"/>
  <c r="H106" i="13"/>
  <c r="D105" i="13"/>
  <c r="M103" i="13"/>
  <c r="H102" i="13"/>
  <c r="D101" i="13"/>
  <c r="M99" i="13"/>
  <c r="J98" i="13"/>
  <c r="F97" i="13"/>
  <c r="B96" i="13"/>
  <c r="J94" i="13"/>
  <c r="F93" i="13"/>
  <c r="B92" i="13"/>
  <c r="J90" i="13"/>
  <c r="F89" i="13"/>
  <c r="B88" i="13"/>
  <c r="J86" i="13"/>
  <c r="F85" i="13"/>
  <c r="B84" i="13"/>
  <c r="J82" i="13"/>
  <c r="F81" i="13"/>
  <c r="B80" i="13"/>
  <c r="J78" i="13"/>
  <c r="F77" i="13"/>
  <c r="B76" i="13"/>
  <c r="J74" i="13"/>
  <c r="G73" i="13"/>
  <c r="D72" i="13"/>
  <c r="A71" i="13"/>
  <c r="K69" i="13"/>
  <c r="H68" i="13"/>
  <c r="E67" i="13"/>
  <c r="B66" i="13"/>
  <c r="L64" i="13"/>
  <c r="I63" i="13"/>
  <c r="F62" i="13"/>
  <c r="C61" i="13"/>
  <c r="M59" i="13"/>
  <c r="J58" i="13"/>
  <c r="G57" i="13"/>
  <c r="D56" i="13"/>
  <c r="L385" i="13"/>
  <c r="G384" i="13"/>
  <c r="C383" i="13"/>
  <c r="L381" i="13"/>
  <c r="G380" i="13"/>
  <c r="C379" i="13"/>
  <c r="L377" i="13"/>
  <c r="G376" i="13"/>
  <c r="C375" i="13"/>
  <c r="L373" i="13"/>
  <c r="G372" i="13"/>
  <c r="C371" i="13"/>
  <c r="L369" i="13"/>
  <c r="G368" i="13"/>
  <c r="C367" i="13"/>
  <c r="L365" i="13"/>
  <c r="G364" i="13"/>
  <c r="C363" i="13"/>
  <c r="L361" i="13"/>
  <c r="I360" i="13"/>
  <c r="F359" i="13"/>
  <c r="C358" i="13"/>
  <c r="M356" i="13"/>
  <c r="J355" i="13"/>
  <c r="G354" i="13"/>
  <c r="D353" i="13"/>
  <c r="A352" i="13"/>
  <c r="K350" i="13"/>
  <c r="H349" i="13"/>
  <c r="E348" i="13"/>
  <c r="B347" i="13"/>
  <c r="L345" i="13"/>
  <c r="I344" i="13"/>
  <c r="F343" i="13"/>
  <c r="C342" i="13"/>
  <c r="M340" i="13"/>
  <c r="J339" i="13"/>
  <c r="G338" i="13"/>
  <c r="D337" i="13"/>
  <c r="A336" i="13"/>
  <c r="K334" i="13"/>
  <c r="H333" i="13"/>
  <c r="E332" i="13"/>
  <c r="B331" i="13"/>
  <c r="L329" i="13"/>
  <c r="I328" i="13"/>
  <c r="F327" i="13"/>
  <c r="C326" i="13"/>
  <c r="M324" i="13"/>
  <c r="J323" i="13"/>
  <c r="G322" i="13"/>
  <c r="D321" i="13"/>
  <c r="A320" i="13"/>
  <c r="K318" i="13"/>
  <c r="H317" i="13"/>
  <c r="E316" i="13"/>
  <c r="B315" i="13"/>
  <c r="L313" i="13"/>
  <c r="I312" i="13"/>
  <c r="F311" i="13"/>
  <c r="C310" i="13"/>
  <c r="M308" i="13"/>
  <c r="J307" i="13"/>
  <c r="G306" i="13"/>
  <c r="D305" i="13"/>
  <c r="A304" i="13"/>
  <c r="K302" i="13"/>
  <c r="H301" i="13"/>
  <c r="E300" i="13"/>
  <c r="B299" i="13"/>
  <c r="L297" i="13"/>
  <c r="I296" i="13"/>
  <c r="F295" i="13"/>
  <c r="C294" i="13"/>
  <c r="M292" i="13"/>
  <c r="J291" i="13"/>
  <c r="G290" i="13"/>
  <c r="C289" i="13"/>
  <c r="L287" i="13"/>
  <c r="G286" i="13"/>
  <c r="C285" i="13"/>
  <c r="L283" i="13"/>
  <c r="G282" i="13"/>
  <c r="C281" i="13"/>
  <c r="L279" i="13"/>
  <c r="G278" i="13"/>
  <c r="C277" i="13"/>
  <c r="L275" i="13"/>
  <c r="G274" i="13"/>
  <c r="C273" i="13"/>
  <c r="L271" i="13"/>
  <c r="G270" i="13"/>
  <c r="C269" i="13"/>
  <c r="L267" i="13"/>
  <c r="G266" i="13"/>
  <c r="C265" i="13"/>
  <c r="L263" i="13"/>
  <c r="G262" i="13"/>
  <c r="C261" i="13"/>
  <c r="L259" i="13"/>
  <c r="G258" i="13"/>
  <c r="C257" i="13"/>
  <c r="L255" i="13"/>
  <c r="G254" i="13"/>
  <c r="C253" i="13"/>
  <c r="L251" i="13"/>
  <c r="G250" i="13"/>
  <c r="C249" i="13"/>
  <c r="L247" i="13"/>
  <c r="G246" i="13"/>
  <c r="C245" i="13"/>
  <c r="L243" i="13"/>
  <c r="G242" i="13"/>
  <c r="C241" i="13"/>
  <c r="L239" i="13"/>
  <c r="G238" i="13"/>
  <c r="C237" i="13"/>
  <c r="L235" i="13"/>
  <c r="I234" i="13"/>
  <c r="E233" i="13"/>
  <c r="A232" i="13"/>
  <c r="I230" i="13"/>
  <c r="E229" i="13"/>
  <c r="A228" i="13"/>
  <c r="K226" i="13"/>
  <c r="G225" i="13"/>
  <c r="C224" i="13"/>
  <c r="L222" i="13"/>
  <c r="G221" i="13"/>
  <c r="C220" i="13"/>
  <c r="M218" i="13"/>
  <c r="I217" i="13"/>
  <c r="E216" i="13"/>
  <c r="A215" i="13"/>
  <c r="I213" i="13"/>
  <c r="E212" i="13"/>
  <c r="B211" i="13"/>
  <c r="L209" i="13"/>
  <c r="G208" i="13"/>
  <c r="C207" i="13"/>
  <c r="L205" i="13"/>
  <c r="G204" i="13"/>
  <c r="D203" i="13"/>
  <c r="A202" i="13"/>
  <c r="I200" i="13"/>
  <c r="E199" i="13"/>
  <c r="A198" i="13"/>
  <c r="I196" i="13"/>
  <c r="F195" i="13"/>
  <c r="C194" i="13"/>
  <c r="L192" i="13"/>
  <c r="G191" i="13"/>
  <c r="C190" i="13"/>
  <c r="L188" i="13"/>
  <c r="H187" i="13"/>
  <c r="E186" i="13"/>
  <c r="A185" i="13"/>
  <c r="I183" i="13"/>
  <c r="E182" i="13"/>
  <c r="A181" i="13"/>
  <c r="J179" i="13"/>
  <c r="G178" i="13"/>
  <c r="C177" i="13"/>
  <c r="L175" i="13"/>
  <c r="G174" i="13"/>
  <c r="C173" i="13"/>
  <c r="L171" i="13"/>
  <c r="I170" i="13"/>
  <c r="E169" i="13"/>
  <c r="A168" i="13"/>
  <c r="I166" i="13"/>
  <c r="E165" i="13"/>
  <c r="A164" i="13"/>
  <c r="I162" i="13"/>
  <c r="E161" i="13"/>
  <c r="A160" i="13"/>
  <c r="I158" i="13"/>
  <c r="E157" i="13"/>
  <c r="A156" i="13"/>
  <c r="K154" i="13"/>
  <c r="G153" i="13"/>
  <c r="C152" i="13"/>
  <c r="L150" i="13"/>
  <c r="G149" i="13"/>
  <c r="C148" i="13"/>
  <c r="L146" i="13"/>
  <c r="G145" i="13"/>
  <c r="C144" i="13"/>
  <c r="L142" i="13"/>
  <c r="G141" i="13"/>
  <c r="C140" i="13"/>
  <c r="M138" i="13"/>
  <c r="I137" i="13"/>
  <c r="E136" i="13"/>
  <c r="A135" i="13"/>
  <c r="I133" i="13"/>
  <c r="E132" i="13"/>
  <c r="A131" i="13"/>
  <c r="I129" i="13"/>
  <c r="E128" i="13"/>
  <c r="A127" i="13"/>
  <c r="I125" i="13"/>
  <c r="E124" i="13"/>
  <c r="B123" i="13"/>
  <c r="L121" i="13"/>
  <c r="G120" i="13"/>
  <c r="C119" i="13"/>
  <c r="L117" i="13"/>
  <c r="G116" i="13"/>
  <c r="D115" i="13"/>
  <c r="A114" i="13"/>
  <c r="I112" i="13"/>
  <c r="E111" i="13"/>
  <c r="A110" i="13"/>
  <c r="I108" i="13"/>
  <c r="F107" i="13"/>
  <c r="C106" i="13"/>
  <c r="L104" i="13"/>
  <c r="G103" i="13"/>
  <c r="C102" i="13"/>
  <c r="L100" i="13"/>
  <c r="H99" i="13"/>
  <c r="E98" i="13"/>
  <c r="A97" i="13"/>
  <c r="I95" i="13"/>
  <c r="E94" i="13"/>
  <c r="A93" i="13"/>
  <c r="I91" i="13"/>
  <c r="E90" i="13"/>
  <c r="A89" i="13"/>
  <c r="I87" i="13"/>
  <c r="E86" i="13"/>
  <c r="A85" i="13"/>
  <c r="I83" i="13"/>
  <c r="E82" i="13"/>
  <c r="A81" i="13"/>
  <c r="I79" i="13"/>
  <c r="E78" i="13"/>
  <c r="A77" i="13"/>
  <c r="I75" i="13"/>
  <c r="E74" i="13"/>
  <c r="B73" i="13"/>
  <c r="L71" i="13"/>
  <c r="I70" i="13"/>
  <c r="F69" i="13"/>
  <c r="C68" i="13"/>
  <c r="M66" i="13"/>
  <c r="J65" i="13"/>
  <c r="G64" i="13"/>
  <c r="D63" i="13"/>
  <c r="A62" i="13"/>
  <c r="K60" i="13"/>
  <c r="H59" i="13"/>
  <c r="E58" i="13"/>
  <c r="B57" i="13"/>
  <c r="A56" i="13"/>
  <c r="J54" i="13"/>
  <c r="G53" i="13"/>
  <c r="D52" i="13"/>
  <c r="A51" i="13"/>
  <c r="K49" i="13"/>
  <c r="H48" i="13"/>
  <c r="E47" i="13"/>
  <c r="B46" i="13"/>
  <c r="L44" i="13"/>
  <c r="I43" i="13"/>
  <c r="F42" i="13"/>
  <c r="C41" i="13"/>
  <c r="M39" i="13"/>
  <c r="J38" i="13"/>
  <c r="G37" i="13"/>
  <c r="D36" i="13"/>
  <c r="A35" i="13"/>
  <c r="K33" i="13"/>
  <c r="H32" i="13"/>
  <c r="E31" i="13"/>
  <c r="B30" i="13"/>
  <c r="L28" i="13"/>
  <c r="I27" i="13"/>
  <c r="F26" i="13"/>
  <c r="C25" i="13"/>
  <c r="M23" i="13"/>
  <c r="J22" i="13"/>
  <c r="G21" i="13"/>
  <c r="D20" i="13"/>
  <c r="A19" i="13"/>
  <c r="K17" i="13"/>
  <c r="H16" i="13"/>
  <c r="E15" i="13"/>
  <c r="B14" i="13"/>
  <c r="L12" i="13"/>
  <c r="I11" i="13"/>
  <c r="F10" i="13"/>
  <c r="C9" i="13"/>
  <c r="M7" i="13"/>
  <c r="J6" i="13"/>
  <c r="G5" i="13"/>
  <c r="D4" i="13"/>
  <c r="A3" i="13"/>
  <c r="K1" i="13"/>
  <c r="A12" i="9"/>
  <c r="A10" i="9"/>
  <c r="A8" i="9"/>
  <c r="A6" i="9"/>
  <c r="A4" i="9"/>
  <c r="A2" i="9"/>
  <c r="K1" i="9"/>
  <c r="Y60" i="7"/>
  <c r="S59" i="7"/>
  <c r="AA57" i="7"/>
  <c r="Y56" i="7"/>
  <c r="V55" i="7"/>
  <c r="AB53" i="7"/>
  <c r="Y52" i="7"/>
  <c r="S51" i="7"/>
  <c r="AD49" i="7"/>
  <c r="W48" i="7"/>
  <c r="U47" i="7"/>
  <c r="AB45" i="7"/>
  <c r="Z44" i="7"/>
  <c r="T43" i="7"/>
  <c r="AD41" i="7"/>
  <c r="W40" i="7"/>
  <c r="U39" i="7"/>
  <c r="AB37" i="7"/>
  <c r="Z36" i="7"/>
  <c r="G28" i="4"/>
  <c r="G26" i="4"/>
  <c r="G24" i="4"/>
  <c r="G22" i="4"/>
  <c r="F20" i="4"/>
  <c r="H18" i="4"/>
  <c r="E16" i="4"/>
  <c r="E14" i="4"/>
  <c r="G12" i="4"/>
  <c r="G10" i="4"/>
  <c r="G8" i="4"/>
  <c r="G6" i="4"/>
  <c r="G4" i="4"/>
  <c r="B1" i="4"/>
  <c r="M54" i="13"/>
  <c r="J53" i="13"/>
  <c r="G52" i="13"/>
  <c r="D51" i="13"/>
  <c r="A50" i="13"/>
  <c r="K48" i="13"/>
  <c r="H47" i="13"/>
  <c r="E46" i="13"/>
  <c r="B45" i="13"/>
  <c r="L43" i="13"/>
  <c r="I42" i="13"/>
  <c r="F41" i="13"/>
  <c r="C40" i="13"/>
  <c r="M38" i="13"/>
  <c r="J37" i="13"/>
  <c r="G36" i="13"/>
  <c r="D35" i="13"/>
  <c r="A34" i="13"/>
  <c r="K32" i="13"/>
  <c r="H31" i="13"/>
  <c r="E30" i="13"/>
  <c r="B29" i="13"/>
  <c r="L27" i="13"/>
  <c r="I26" i="13"/>
  <c r="F25" i="13"/>
  <c r="C24" i="13"/>
  <c r="M22" i="13"/>
  <c r="J21" i="13"/>
  <c r="G20" i="13"/>
  <c r="D19" i="13"/>
  <c r="A18" i="13"/>
  <c r="K16" i="13"/>
  <c r="H15" i="13"/>
  <c r="E14" i="13"/>
  <c r="B13" i="13"/>
  <c r="L11" i="13"/>
  <c r="I10" i="13"/>
  <c r="F9" i="13"/>
  <c r="C8" i="13"/>
  <c r="M6" i="13"/>
  <c r="J5" i="13"/>
  <c r="G4" i="13"/>
  <c r="D3" i="13"/>
  <c r="A2" i="13"/>
  <c r="H12" i="9"/>
  <c r="H10" i="9"/>
  <c r="H8" i="9"/>
  <c r="H6" i="9"/>
  <c r="H4" i="9"/>
  <c r="H2" i="9"/>
  <c r="R1" i="9"/>
  <c r="B1" i="9"/>
  <c r="AD59" i="7"/>
  <c r="X58" i="7"/>
  <c r="V57" i="7"/>
  <c r="AC55" i="7"/>
  <c r="Z54" i="7"/>
  <c r="S53" i="7"/>
  <c r="AD51" i="7"/>
  <c r="X50" i="7"/>
  <c r="U49" i="7"/>
  <c r="AB47" i="7"/>
  <c r="Z46" i="7"/>
  <c r="S45" i="7"/>
  <c r="AA43" i="7"/>
  <c r="X42" i="7"/>
  <c r="U41" i="7"/>
  <c r="AB39" i="7"/>
  <c r="Z38" i="7"/>
  <c r="S37" i="7"/>
  <c r="G29" i="4"/>
  <c r="H27" i="4"/>
  <c r="H25" i="4"/>
  <c r="H23" i="4"/>
  <c r="G21" i="4"/>
  <c r="H19" i="4"/>
  <c r="E17" i="4"/>
  <c r="F15" i="4"/>
  <c r="H13" i="4"/>
  <c r="H11" i="4"/>
  <c r="H9" i="4"/>
  <c r="H7" i="4"/>
  <c r="H5" i="4"/>
  <c r="H2" i="4"/>
  <c r="L55" i="13"/>
  <c r="H54" i="13"/>
  <c r="E53" i="13"/>
  <c r="B52" i="13"/>
  <c r="L50" i="13"/>
  <c r="I49" i="13"/>
  <c r="F48" i="13"/>
  <c r="C47" i="13"/>
  <c r="M45" i="13"/>
  <c r="J44" i="13"/>
  <c r="G43" i="13"/>
  <c r="D42" i="13"/>
  <c r="A41" i="13"/>
  <c r="K39" i="13"/>
  <c r="H38" i="13"/>
  <c r="E37" i="13"/>
  <c r="B36" i="13"/>
  <c r="L34" i="13"/>
  <c r="I33" i="13"/>
  <c r="F32" i="13"/>
  <c r="C31" i="13"/>
  <c r="M29" i="13"/>
  <c r="J28" i="13"/>
  <c r="G27" i="13"/>
  <c r="D26" i="13"/>
  <c r="A25" i="13"/>
  <c r="K23" i="13"/>
  <c r="H22" i="13"/>
  <c r="E21" i="13"/>
  <c r="B20" i="13"/>
  <c r="L18" i="13"/>
  <c r="I17" i="13"/>
  <c r="F16" i="13"/>
  <c r="C15" i="13"/>
  <c r="M13" i="13"/>
  <c r="J12" i="13"/>
  <c r="G11" i="13"/>
  <c r="D10" i="13"/>
  <c r="A9" i="13"/>
  <c r="K7" i="13"/>
  <c r="H6" i="13"/>
  <c r="E5" i="13"/>
  <c r="B4" i="13"/>
  <c r="L2" i="13"/>
  <c r="I1" i="13"/>
  <c r="C12" i="9"/>
  <c r="C10" i="9"/>
  <c r="C8" i="9"/>
  <c r="C6" i="9"/>
  <c r="C4" i="9"/>
  <c r="C2" i="9"/>
  <c r="M1" i="9"/>
  <c r="AA60" i="7"/>
  <c r="Y59" i="7"/>
  <c r="S58" i="7"/>
  <c r="AA56" i="7"/>
  <c r="X55" i="7"/>
  <c r="U54" i="7"/>
  <c r="AA52" i="7"/>
  <c r="Y51" i="7"/>
  <c r="S50" i="7"/>
  <c r="AC48" i="7"/>
  <c r="W47" i="7"/>
  <c r="U46" i="7"/>
  <c r="AB44" i="7"/>
  <c r="Z43" i="7"/>
  <c r="S42" i="7"/>
  <c r="AC40" i="7"/>
  <c r="W39" i="7"/>
  <c r="U38" i="7"/>
  <c r="AB36" i="7"/>
  <c r="B29" i="4"/>
  <c r="C27" i="4"/>
  <c r="C25" i="4"/>
  <c r="C23" i="4"/>
  <c r="H20" i="4"/>
  <c r="F18" i="4"/>
  <c r="G16" i="4"/>
  <c r="G14" i="4"/>
  <c r="E12" i="4"/>
  <c r="E10" i="4"/>
  <c r="E8" i="4"/>
  <c r="E6" i="4"/>
  <c r="B4" i="4"/>
  <c r="H1" i="4"/>
  <c r="B55" i="13"/>
  <c r="L53" i="13"/>
  <c r="I52" i="13"/>
  <c r="F51" i="13"/>
  <c r="C50" i="13"/>
  <c r="M48" i="13"/>
  <c r="J47" i="13"/>
  <c r="G46" i="13"/>
  <c r="D45" i="13"/>
  <c r="A44" i="13"/>
  <c r="K42" i="13"/>
  <c r="H41" i="13"/>
  <c r="E40" i="13"/>
  <c r="B39" i="13"/>
  <c r="L37" i="13"/>
  <c r="I36" i="13"/>
  <c r="F35" i="13"/>
  <c r="C34" i="13"/>
  <c r="M32" i="13"/>
  <c r="J31" i="13"/>
  <c r="G30" i="13"/>
  <c r="D29" i="13"/>
  <c r="A28" i="13"/>
  <c r="K26" i="13"/>
  <c r="H25" i="13"/>
  <c r="E24" i="13"/>
  <c r="B23" i="13"/>
  <c r="L21" i="13"/>
  <c r="I20" i="13"/>
  <c r="F19" i="13"/>
  <c r="C18" i="13"/>
  <c r="M16" i="13"/>
  <c r="J15" i="13"/>
  <c r="G14" i="13"/>
  <c r="D13" i="13"/>
  <c r="A12" i="13"/>
  <c r="K10" i="13"/>
  <c r="M338" i="13"/>
  <c r="J337" i="13"/>
  <c r="G336" i="13"/>
  <c r="D335" i="13"/>
  <c r="A334" i="13"/>
  <c r="K332" i="13"/>
  <c r="H331" i="13"/>
  <c r="E330" i="13"/>
  <c r="B329" i="13"/>
  <c r="L327" i="13"/>
  <c r="I326" i="13"/>
  <c r="F325" i="13"/>
  <c r="C324" i="13"/>
  <c r="M322" i="13"/>
  <c r="J321" i="13"/>
  <c r="G320" i="13"/>
  <c r="D319" i="13"/>
  <c r="A318" i="13"/>
  <c r="K316" i="13"/>
  <c r="H315" i="13"/>
  <c r="E314" i="13"/>
  <c r="B313" i="13"/>
  <c r="L311" i="13"/>
  <c r="I310" i="13"/>
  <c r="F309" i="13"/>
  <c r="C308" i="13"/>
  <c r="M306" i="13"/>
  <c r="J305" i="13"/>
  <c r="G304" i="13"/>
  <c r="D303" i="13"/>
  <c r="A302" i="13"/>
  <c r="K300" i="13"/>
  <c r="H299" i="13"/>
  <c r="E298" i="13"/>
  <c r="B297" i="13"/>
  <c r="L295" i="13"/>
  <c r="I294" i="13"/>
  <c r="F293" i="13"/>
  <c r="C292" i="13"/>
  <c r="M290" i="13"/>
  <c r="I289" i="13"/>
  <c r="E288" i="13"/>
  <c r="A287" i="13"/>
  <c r="I285" i="13"/>
  <c r="E284" i="13"/>
  <c r="A283" i="13"/>
  <c r="I281" i="13"/>
  <c r="E280" i="13"/>
  <c r="A279" i="13"/>
  <c r="I277" i="13"/>
  <c r="E276" i="13"/>
  <c r="A275" i="13"/>
  <c r="I273" i="13"/>
  <c r="E272" i="13"/>
  <c r="A271" i="13"/>
  <c r="I269" i="13"/>
  <c r="E268" i="13"/>
  <c r="A267" i="13"/>
  <c r="I265" i="13"/>
  <c r="E264" i="13"/>
  <c r="A263" i="13"/>
  <c r="I261" i="13"/>
  <c r="E260" i="13"/>
  <c r="A259" i="13"/>
  <c r="I257" i="13"/>
  <c r="E256" i="13"/>
  <c r="A255" i="13"/>
  <c r="I253" i="13"/>
  <c r="E252" i="13"/>
  <c r="A251" i="13"/>
  <c r="I249" i="13"/>
  <c r="E248" i="13"/>
  <c r="A247" i="13"/>
  <c r="I245" i="13"/>
  <c r="E244" i="13"/>
  <c r="A243" i="13"/>
  <c r="I241" i="13"/>
  <c r="E240" i="13"/>
  <c r="A239" i="13"/>
  <c r="I237" i="13"/>
  <c r="E236" i="13"/>
  <c r="B235" i="13"/>
  <c r="L233" i="13"/>
  <c r="G232" i="13"/>
  <c r="C231" i="13"/>
  <c r="L229" i="13"/>
  <c r="G228" i="13"/>
  <c r="D227" i="13"/>
  <c r="A226" i="13"/>
  <c r="I224" i="13"/>
  <c r="E223" i="13"/>
  <c r="A222" i="13"/>
  <c r="I220" i="13"/>
  <c r="F219" i="13"/>
  <c r="C218" i="13"/>
  <c r="L216" i="13"/>
  <c r="G215" i="13"/>
  <c r="C214" i="13"/>
  <c r="L212" i="13"/>
  <c r="H211" i="13"/>
  <c r="E210" i="13"/>
  <c r="A209" i="13"/>
  <c r="I207" i="13"/>
  <c r="E206" i="13"/>
  <c r="A205" i="13"/>
  <c r="J203" i="13"/>
  <c r="G202" i="13"/>
  <c r="C201" i="13"/>
  <c r="L199" i="13"/>
  <c r="G198" i="13"/>
  <c r="C197" i="13"/>
  <c r="L195" i="13"/>
  <c r="I194" i="13"/>
  <c r="E193" i="13"/>
  <c r="A192" i="13"/>
  <c r="I190" i="13"/>
  <c r="E189" i="13"/>
  <c r="A188" i="13"/>
  <c r="K186" i="13"/>
  <c r="G185" i="13"/>
  <c r="C184" i="13"/>
  <c r="L182" i="13"/>
  <c r="G181" i="13"/>
  <c r="C180" i="13"/>
  <c r="M178" i="13"/>
  <c r="I177" i="13"/>
  <c r="E176" i="13"/>
  <c r="A175" i="13"/>
  <c r="I173" i="13"/>
  <c r="E172" i="13"/>
  <c r="B171" i="13"/>
  <c r="L169" i="13"/>
  <c r="G168" i="13"/>
  <c r="C167" i="13"/>
  <c r="L165" i="13"/>
  <c r="G164" i="13"/>
  <c r="C163" i="13"/>
  <c r="L161" i="13"/>
  <c r="G160" i="13"/>
  <c r="C159" i="13"/>
  <c r="L157" i="13"/>
  <c r="G156" i="13"/>
  <c r="D155" i="13"/>
  <c r="A154" i="13"/>
  <c r="I152" i="13"/>
  <c r="E151" i="13"/>
  <c r="A150" i="13"/>
  <c r="I148" i="13"/>
  <c r="E147" i="13"/>
  <c r="A146" i="13"/>
  <c r="I144" i="13"/>
  <c r="E143" i="13"/>
  <c r="A142" i="13"/>
  <c r="I140" i="13"/>
  <c r="F139" i="13"/>
  <c r="C138" i="13"/>
  <c r="L136" i="13"/>
  <c r="G135" i="13"/>
  <c r="C134" i="13"/>
  <c r="L132" i="13"/>
  <c r="G131" i="13"/>
  <c r="C130" i="13"/>
  <c r="L128" i="13"/>
  <c r="G127" i="13"/>
  <c r="C126" i="13"/>
  <c r="L124" i="13"/>
  <c r="H123" i="13"/>
  <c r="E122" i="13"/>
  <c r="A121" i="13"/>
  <c r="I119" i="13"/>
  <c r="E118" i="13"/>
  <c r="A117" i="13"/>
  <c r="J115" i="13"/>
  <c r="G114" i="13"/>
  <c r="C113" i="13"/>
  <c r="L111" i="13"/>
  <c r="G110" i="13"/>
  <c r="C109" i="13"/>
  <c r="L107" i="13"/>
  <c r="I106" i="13"/>
  <c r="E105" i="13"/>
  <c r="A104" i="13"/>
  <c r="I102" i="13"/>
  <c r="E101" i="13"/>
  <c r="A100" i="13"/>
  <c r="K98" i="13"/>
  <c r="G97" i="13"/>
  <c r="C96" i="13"/>
  <c r="L94" i="13"/>
  <c r="G93" i="13"/>
  <c r="C92" i="13"/>
  <c r="L90" i="13"/>
  <c r="G89" i="13"/>
  <c r="C88" i="13"/>
  <c r="L86" i="13"/>
  <c r="G85" i="13"/>
  <c r="C84" i="13"/>
  <c r="L82" i="13"/>
  <c r="G81" i="13"/>
  <c r="C80" i="13"/>
  <c r="L78" i="13"/>
  <c r="G77" i="13"/>
  <c r="C76" i="13"/>
  <c r="L74" i="13"/>
  <c r="H73" i="13"/>
  <c r="E72" i="13"/>
  <c r="B71" i="13"/>
  <c r="L69" i="13"/>
  <c r="I68" i="13"/>
  <c r="F67" i="13"/>
  <c r="C66" i="13"/>
  <c r="M64" i="13"/>
  <c r="J63" i="13"/>
  <c r="G62" i="13"/>
  <c r="D61" i="13"/>
  <c r="A60" i="13"/>
  <c r="K58" i="13"/>
  <c r="H57" i="13"/>
  <c r="E56" i="13"/>
  <c r="M385" i="13"/>
  <c r="H384" i="13"/>
  <c r="D383" i="13"/>
  <c r="M381" i="13"/>
  <c r="H380" i="13"/>
  <c r="D379" i="13"/>
  <c r="M377" i="13"/>
  <c r="H376" i="13"/>
  <c r="D375" i="13"/>
  <c r="M373" i="13"/>
  <c r="H372" i="13"/>
  <c r="D371" i="13"/>
  <c r="M369" i="13"/>
  <c r="H368" i="13"/>
  <c r="D367" i="13"/>
  <c r="M365" i="13"/>
  <c r="H364" i="13"/>
  <c r="D363" i="13"/>
  <c r="M361" i="13"/>
  <c r="J360" i="13"/>
  <c r="G359" i="13"/>
  <c r="D358" i="13"/>
  <c r="A357" i="13"/>
  <c r="K355" i="13"/>
  <c r="H354" i="13"/>
  <c r="E353" i="13"/>
  <c r="B352" i="13"/>
  <c r="L350" i="13"/>
  <c r="I349" i="13"/>
  <c r="F348" i="13"/>
  <c r="C347" i="13"/>
  <c r="M345" i="13"/>
  <c r="J344" i="13"/>
  <c r="G343" i="13"/>
  <c r="D342" i="13"/>
  <c r="A341" i="13"/>
  <c r="K339" i="13"/>
  <c r="H338" i="13"/>
  <c r="E337" i="13"/>
  <c r="B336" i="13"/>
  <c r="L334" i="13"/>
  <c r="I333" i="13"/>
  <c r="F332" i="13"/>
  <c r="C331" i="13"/>
  <c r="M329" i="13"/>
  <c r="J328" i="13"/>
  <c r="G327" i="13"/>
  <c r="D326" i="13"/>
  <c r="A325" i="13"/>
  <c r="K323" i="13"/>
  <c r="H322" i="13"/>
  <c r="E321" i="13"/>
  <c r="B320" i="13"/>
  <c r="L318" i="13"/>
  <c r="I317" i="13"/>
  <c r="F316" i="13"/>
  <c r="C315" i="13"/>
  <c r="M313" i="13"/>
  <c r="J312" i="13"/>
  <c r="G311" i="13"/>
  <c r="D310" i="13"/>
  <c r="A309" i="13"/>
  <c r="K307" i="13"/>
  <c r="H306" i="13"/>
  <c r="E305" i="13"/>
  <c r="B304" i="13"/>
  <c r="L302" i="13"/>
  <c r="I301" i="13"/>
  <c r="F300" i="13"/>
  <c r="C299" i="13"/>
  <c r="M297" i="13"/>
  <c r="J296" i="13"/>
  <c r="G295" i="13"/>
  <c r="D294" i="13"/>
  <c r="A293" i="13"/>
  <c r="K291" i="13"/>
  <c r="H290" i="13"/>
  <c r="D289" i="13"/>
  <c r="M287" i="13"/>
  <c r="H286" i="13"/>
  <c r="D285" i="13"/>
  <c r="M283" i="13"/>
  <c r="H282" i="13"/>
  <c r="D281" i="13"/>
  <c r="M279" i="13"/>
  <c r="H278" i="13"/>
  <c r="D277" i="13"/>
  <c r="M275" i="13"/>
  <c r="H274" i="13"/>
  <c r="D273" i="13"/>
  <c r="M271" i="13"/>
  <c r="H270" i="13"/>
  <c r="D269" i="13"/>
  <c r="M267" i="13"/>
  <c r="H266" i="13"/>
  <c r="D265" i="13"/>
  <c r="M263" i="13"/>
  <c r="H262" i="13"/>
  <c r="D261" i="13"/>
  <c r="M259" i="13"/>
  <c r="H258" i="13"/>
  <c r="D257" i="13"/>
  <c r="M255" i="13"/>
  <c r="H254" i="13"/>
  <c r="D253" i="13"/>
  <c r="M251" i="13"/>
  <c r="H250" i="13"/>
  <c r="D249" i="13"/>
  <c r="M247" i="13"/>
  <c r="H246" i="13"/>
  <c r="D245" i="13"/>
  <c r="M243" i="13"/>
  <c r="H242" i="13"/>
  <c r="D241" i="13"/>
  <c r="M239" i="13"/>
  <c r="H238" i="13"/>
  <c r="D237" i="13"/>
  <c r="M235" i="13"/>
  <c r="J234" i="13"/>
  <c r="F233" i="13"/>
  <c r="B232" i="13"/>
  <c r="J230" i="13"/>
  <c r="F229" i="13"/>
  <c r="B228" i="13"/>
  <c r="L226" i="13"/>
  <c r="H225" i="13"/>
  <c r="D224" i="13"/>
  <c r="M222" i="13"/>
  <c r="H221" i="13"/>
  <c r="D220" i="13"/>
  <c r="A219" i="13"/>
  <c r="J217" i="13"/>
  <c r="F216" i="13"/>
  <c r="B215" i="13"/>
  <c r="J213" i="13"/>
  <c r="F212" i="13"/>
  <c r="C211" i="13"/>
  <c r="M209" i="13"/>
  <c r="H208" i="13"/>
  <c r="D207" i="13"/>
  <c r="M205" i="13"/>
  <c r="H204" i="13"/>
  <c r="E203" i="13"/>
  <c r="B202" i="13"/>
  <c r="J200" i="13"/>
  <c r="F199" i="13"/>
  <c r="B198" i="13"/>
  <c r="J196" i="13"/>
  <c r="G195" i="13"/>
  <c r="D194" i="13"/>
  <c r="M192" i="13"/>
  <c r="H191" i="13"/>
  <c r="D190" i="13"/>
  <c r="M188" i="13"/>
  <c r="I187" i="13"/>
  <c r="F186" i="13"/>
  <c r="B185" i="13"/>
  <c r="J183" i="13"/>
  <c r="F182" i="13"/>
  <c r="B181" i="13"/>
  <c r="K179" i="13"/>
  <c r="H178" i="13"/>
  <c r="D177" i="13"/>
  <c r="M175" i="13"/>
  <c r="H174" i="13"/>
  <c r="D173" i="13"/>
  <c r="M171" i="13"/>
  <c r="J170" i="13"/>
  <c r="F169" i="13"/>
  <c r="B168" i="13"/>
  <c r="J166" i="13"/>
  <c r="F165" i="13"/>
  <c r="B164" i="13"/>
  <c r="J162" i="13"/>
  <c r="F161" i="13"/>
  <c r="B160" i="13"/>
  <c r="J158" i="13"/>
  <c r="F157" i="13"/>
  <c r="B156" i="13"/>
  <c r="L154" i="13"/>
  <c r="H153" i="13"/>
  <c r="D152" i="13"/>
  <c r="M150" i="13"/>
  <c r="H149" i="13"/>
  <c r="D148" i="13"/>
  <c r="M146" i="13"/>
  <c r="H145" i="13"/>
  <c r="D144" i="13"/>
  <c r="M142" i="13"/>
  <c r="H141" i="13"/>
  <c r="D140" i="13"/>
  <c r="A139" i="13"/>
  <c r="J137" i="13"/>
  <c r="F136" i="13"/>
  <c r="B135" i="13"/>
  <c r="J133" i="13"/>
  <c r="F132" i="13"/>
  <c r="B131" i="13"/>
  <c r="J129" i="13"/>
  <c r="F128" i="13"/>
  <c r="B127" i="13"/>
  <c r="J125" i="13"/>
  <c r="F124" i="13"/>
  <c r="C123" i="13"/>
  <c r="M121" i="13"/>
  <c r="H120" i="13"/>
  <c r="D119" i="13"/>
  <c r="M117" i="13"/>
  <c r="H116" i="13"/>
  <c r="E115" i="13"/>
  <c r="B114" i="13"/>
  <c r="J112" i="13"/>
  <c r="F111" i="13"/>
  <c r="B110" i="13"/>
  <c r="J108" i="13"/>
  <c r="G107" i="13"/>
  <c r="D106" i="13"/>
  <c r="M104" i="13"/>
  <c r="H103" i="13"/>
  <c r="D102" i="13"/>
  <c r="M100" i="13"/>
  <c r="I99" i="13"/>
  <c r="F98" i="13"/>
  <c r="B97" i="13"/>
  <c r="J95" i="13"/>
  <c r="F94" i="13"/>
  <c r="B93" i="13"/>
  <c r="J91" i="13"/>
  <c r="F90" i="13"/>
  <c r="B89" i="13"/>
  <c r="J87" i="13"/>
  <c r="F86" i="13"/>
  <c r="B85" i="13"/>
  <c r="J83" i="13"/>
  <c r="F82" i="13"/>
  <c r="B81" i="13"/>
  <c r="J79" i="13"/>
  <c r="F78" i="13"/>
  <c r="B77" i="13"/>
  <c r="J75" i="13"/>
  <c r="F74" i="13"/>
  <c r="C73" i="13"/>
  <c r="M71" i="13"/>
  <c r="J70" i="13"/>
  <c r="G69" i="13"/>
  <c r="D68" i="13"/>
  <c r="A67" i="13"/>
  <c r="K65" i="13"/>
  <c r="H64" i="13"/>
  <c r="E63" i="13"/>
  <c r="B62" i="13"/>
  <c r="L60" i="13"/>
  <c r="I59" i="13"/>
  <c r="F58" i="13"/>
  <c r="C57" i="13"/>
  <c r="K386" i="13"/>
  <c r="G385" i="13"/>
  <c r="C384" i="13"/>
  <c r="L382" i="13"/>
  <c r="G381" i="13"/>
  <c r="C380" i="13"/>
  <c r="L378" i="13"/>
  <c r="G377" i="13"/>
  <c r="C376" i="13"/>
  <c r="L374" i="13"/>
  <c r="G373" i="13"/>
  <c r="C372" i="13"/>
  <c r="L370" i="13"/>
  <c r="G369" i="13"/>
  <c r="C368" i="13"/>
  <c r="L366" i="13"/>
  <c r="G365" i="13"/>
  <c r="C364" i="13"/>
  <c r="L362" i="13"/>
  <c r="H361" i="13"/>
  <c r="E360" i="13"/>
  <c r="B359" i="13"/>
  <c r="L357" i="13"/>
  <c r="I356" i="13"/>
  <c r="F355" i="13"/>
  <c r="C354" i="13"/>
  <c r="M352" i="13"/>
  <c r="J351" i="13"/>
  <c r="G350" i="13"/>
  <c r="D349" i="13"/>
  <c r="A348" i="13"/>
  <c r="K346" i="13"/>
  <c r="H345" i="13"/>
  <c r="E344" i="13"/>
  <c r="B343" i="13"/>
  <c r="L341" i="13"/>
  <c r="I340" i="13"/>
  <c r="F339" i="13"/>
  <c r="C338" i="13"/>
  <c r="M336" i="13"/>
  <c r="J335" i="13"/>
  <c r="G334" i="13"/>
  <c r="D333" i="13"/>
  <c r="A332" i="13"/>
  <c r="K330" i="13"/>
  <c r="H329" i="13"/>
  <c r="E328" i="13"/>
  <c r="B327" i="13"/>
  <c r="L325" i="13"/>
  <c r="I324" i="13"/>
  <c r="F323" i="13"/>
  <c r="C322" i="13"/>
  <c r="M320" i="13"/>
  <c r="J319" i="13"/>
  <c r="G318" i="13"/>
  <c r="D317" i="13"/>
  <c r="A316" i="13"/>
  <c r="K314" i="13"/>
  <c r="H313" i="13"/>
  <c r="E312" i="13"/>
  <c r="B311" i="13"/>
  <c r="L309" i="13"/>
  <c r="I308" i="13"/>
  <c r="F307" i="13"/>
  <c r="C306" i="13"/>
  <c r="M304" i="13"/>
  <c r="J303" i="13"/>
  <c r="G302" i="13"/>
  <c r="D301" i="13"/>
  <c r="A300" i="13"/>
  <c r="K298" i="13"/>
  <c r="H297" i="13"/>
  <c r="E296" i="13"/>
  <c r="B295" i="13"/>
  <c r="L293" i="13"/>
  <c r="I292" i="13"/>
  <c r="F291" i="13"/>
  <c r="C290" i="13"/>
  <c r="L288" i="13"/>
  <c r="G287" i="13"/>
  <c r="C286" i="13"/>
  <c r="L284" i="13"/>
  <c r="G283" i="13"/>
  <c r="C282" i="13"/>
  <c r="L280" i="13"/>
  <c r="G279" i="13"/>
  <c r="C278" i="13"/>
  <c r="L276" i="13"/>
  <c r="G275" i="13"/>
  <c r="C274" i="13"/>
  <c r="L272" i="13"/>
  <c r="G271" i="13"/>
  <c r="C270" i="13"/>
  <c r="L268" i="13"/>
  <c r="G267" i="13"/>
  <c r="C266" i="13"/>
  <c r="L264" i="13"/>
  <c r="G263" i="13"/>
  <c r="C262" i="13"/>
  <c r="L260" i="13"/>
  <c r="G259" i="13"/>
  <c r="C258" i="13"/>
  <c r="L256" i="13"/>
  <c r="G255" i="13"/>
  <c r="C254" i="13"/>
  <c r="L252" i="13"/>
  <c r="G251" i="13"/>
  <c r="C250" i="13"/>
  <c r="L248" i="13"/>
  <c r="G247" i="13"/>
  <c r="C246" i="13"/>
  <c r="L244" i="13"/>
  <c r="G243" i="13"/>
  <c r="C242" i="13"/>
  <c r="L240" i="13"/>
  <c r="G239" i="13"/>
  <c r="C238" i="13"/>
  <c r="L236" i="13"/>
  <c r="H235" i="13"/>
  <c r="E234" i="13"/>
  <c r="A233" i="13"/>
  <c r="I231" i="13"/>
  <c r="E230" i="13"/>
  <c r="A229" i="13"/>
  <c r="J227" i="13"/>
  <c r="G226" i="13"/>
  <c r="C225" i="13"/>
  <c r="L223" i="13"/>
  <c r="G222" i="13"/>
  <c r="C221" i="13"/>
  <c r="L219" i="13"/>
  <c r="I218" i="13"/>
  <c r="E217" i="13"/>
  <c r="A216" i="13"/>
  <c r="I214" i="13"/>
  <c r="E213" i="13"/>
  <c r="A212" i="13"/>
  <c r="K210" i="13"/>
  <c r="G209" i="13"/>
  <c r="C208" i="13"/>
  <c r="L206" i="13"/>
  <c r="G205" i="13"/>
  <c r="C204" i="13"/>
  <c r="M202" i="13"/>
  <c r="I201" i="13"/>
  <c r="E200" i="13"/>
  <c r="A199" i="13"/>
  <c r="I197" i="13"/>
  <c r="E196" i="13"/>
  <c r="B195" i="13"/>
  <c r="L193" i="13"/>
  <c r="G192" i="13"/>
  <c r="C191" i="13"/>
  <c r="L189" i="13"/>
  <c r="G188" i="13"/>
  <c r="D187" i="13"/>
  <c r="A186" i="13"/>
  <c r="I184" i="13"/>
  <c r="E183" i="13"/>
  <c r="A182" i="13"/>
  <c r="I180" i="13"/>
  <c r="F179" i="13"/>
  <c r="C178" i="13"/>
  <c r="L176" i="13"/>
  <c r="G175" i="13"/>
  <c r="C174" i="13"/>
  <c r="L172" i="13"/>
  <c r="H171" i="13"/>
  <c r="E170" i="13"/>
  <c r="A169" i="13"/>
  <c r="I167" i="13"/>
  <c r="E166" i="13"/>
  <c r="A165" i="13"/>
  <c r="I163" i="13"/>
  <c r="E162" i="13"/>
  <c r="A161" i="13"/>
  <c r="I159" i="13"/>
  <c r="E158" i="13"/>
  <c r="A157" i="13"/>
  <c r="J155" i="13"/>
  <c r="G154" i="13"/>
  <c r="C153" i="13"/>
  <c r="L151" i="13"/>
  <c r="G150" i="13"/>
  <c r="C149" i="13"/>
  <c r="L147" i="13"/>
  <c r="G146" i="13"/>
  <c r="C145" i="13"/>
  <c r="L143" i="13"/>
  <c r="G142" i="13"/>
  <c r="C141" i="13"/>
  <c r="L139" i="13"/>
  <c r="I138" i="13"/>
  <c r="E137" i="13"/>
  <c r="A136" i="13"/>
  <c r="I134" i="13"/>
  <c r="E133" i="13"/>
  <c r="A132" i="13"/>
  <c r="I130" i="13"/>
  <c r="E129" i="13"/>
  <c r="A128" i="13"/>
  <c r="I126" i="13"/>
  <c r="E125" i="13"/>
  <c r="A124" i="13"/>
  <c r="K122" i="13"/>
  <c r="G121" i="13"/>
  <c r="C120" i="13"/>
  <c r="L118" i="13"/>
  <c r="G117" i="13"/>
  <c r="C116" i="13"/>
  <c r="M114" i="13"/>
  <c r="I113" i="13"/>
  <c r="E112" i="13"/>
  <c r="A111" i="13"/>
  <c r="I109" i="13"/>
  <c r="E108" i="13"/>
  <c r="B107" i="13"/>
  <c r="L105" i="13"/>
  <c r="G104" i="13"/>
  <c r="C103" i="13"/>
  <c r="L101" i="13"/>
  <c r="G100" i="13"/>
  <c r="D99" i="13"/>
  <c r="A98" i="13"/>
  <c r="I96" i="13"/>
  <c r="E95" i="13"/>
  <c r="A94" i="13"/>
  <c r="I92" i="13"/>
  <c r="E91" i="13"/>
  <c r="A90" i="13"/>
  <c r="I88" i="13"/>
  <c r="E87" i="13"/>
  <c r="A86" i="13"/>
  <c r="I84" i="13"/>
  <c r="E83" i="13"/>
  <c r="A82" i="13"/>
  <c r="I80" i="13"/>
  <c r="E79" i="13"/>
  <c r="A78" i="13"/>
  <c r="I76" i="13"/>
  <c r="E75" i="13"/>
  <c r="A74" i="13"/>
  <c r="K72" i="13"/>
  <c r="H71" i="13"/>
  <c r="E70" i="13"/>
  <c r="B69" i="13"/>
  <c r="L67" i="13"/>
  <c r="I66" i="13"/>
  <c r="F65" i="13"/>
  <c r="C64" i="13"/>
  <c r="M62" i="13"/>
  <c r="J61" i="13"/>
  <c r="G60" i="13"/>
  <c r="D59" i="13"/>
  <c r="A58" i="13"/>
  <c r="K56" i="13"/>
  <c r="I55" i="13"/>
  <c r="F54" i="13"/>
  <c r="C53" i="13"/>
  <c r="M51" i="13"/>
  <c r="J50" i="13"/>
  <c r="G49" i="13"/>
  <c r="D48" i="13"/>
  <c r="A47" i="13"/>
  <c r="K45" i="13"/>
  <c r="H44" i="13"/>
  <c r="E43" i="13"/>
  <c r="B42" i="13"/>
  <c r="L40" i="13"/>
  <c r="I39" i="13"/>
  <c r="F38" i="13"/>
  <c r="C37" i="13"/>
  <c r="M35" i="13"/>
  <c r="J34" i="13"/>
  <c r="G33" i="13"/>
  <c r="D32" i="13"/>
  <c r="A31" i="13"/>
  <c r="K29" i="13"/>
  <c r="H28" i="13"/>
  <c r="E27" i="13"/>
  <c r="B26" i="13"/>
  <c r="L24" i="13"/>
  <c r="I23" i="13"/>
  <c r="F22" i="13"/>
  <c r="C21" i="13"/>
  <c r="M19" i="13"/>
  <c r="J18" i="13"/>
  <c r="G17" i="13"/>
  <c r="D16" i="13"/>
  <c r="A15" i="13"/>
  <c r="K13" i="13"/>
  <c r="H12" i="13"/>
  <c r="E11" i="13"/>
  <c r="B10" i="13"/>
  <c r="L8" i="13"/>
  <c r="I7" i="13"/>
  <c r="F6" i="13"/>
  <c r="C5" i="13"/>
  <c r="M3" i="13"/>
  <c r="J2" i="13"/>
  <c r="G1" i="13"/>
  <c r="E11" i="9"/>
  <c r="E9" i="9"/>
  <c r="E7" i="9"/>
  <c r="E5" i="9"/>
  <c r="E3" i="9"/>
  <c r="W1" i="9"/>
  <c r="G1" i="9"/>
  <c r="U60" i="7"/>
  <c r="AC58" i="7"/>
  <c r="W57" i="7"/>
  <c r="U56" i="7"/>
  <c r="AA54" i="7"/>
  <c r="X53" i="7"/>
  <c r="U52" i="7"/>
  <c r="AC50" i="7"/>
  <c r="Z49" i="7"/>
  <c r="S48" i="7"/>
  <c r="AA46" i="7"/>
  <c r="X45" i="7"/>
  <c r="V44" i="7"/>
  <c r="AC42" i="7"/>
  <c r="Z41" i="7"/>
  <c r="S40" i="7"/>
  <c r="AA38" i="7"/>
  <c r="X37" i="7"/>
  <c r="V36" i="7"/>
  <c r="C28" i="4"/>
  <c r="C26" i="4"/>
  <c r="C24" i="4"/>
  <c r="B22" i="4"/>
  <c r="B20" i="4"/>
  <c r="D18" i="4"/>
  <c r="A16" i="4"/>
  <c r="A14" i="4"/>
  <c r="C12" i="4"/>
  <c r="C10" i="4"/>
  <c r="C8" i="4"/>
  <c r="C6" i="4"/>
  <c r="C3" i="4"/>
  <c r="M55" i="13"/>
  <c r="I54" i="13"/>
  <c r="F53" i="13"/>
  <c r="C52" i="13"/>
  <c r="M50" i="13"/>
  <c r="J49" i="13"/>
  <c r="G48" i="13"/>
  <c r="D47" i="13"/>
  <c r="A46" i="13"/>
  <c r="K44" i="13"/>
  <c r="H43" i="13"/>
  <c r="E42" i="13"/>
  <c r="B41" i="13"/>
  <c r="L39" i="13"/>
  <c r="I38" i="13"/>
  <c r="F37" i="13"/>
  <c r="C36" i="13"/>
  <c r="M34" i="13"/>
  <c r="J33" i="13"/>
  <c r="G32" i="13"/>
  <c r="D31" i="13"/>
  <c r="A30" i="13"/>
  <c r="K28" i="13"/>
  <c r="H27" i="13"/>
  <c r="E26" i="13"/>
  <c r="B25" i="13"/>
  <c r="L23" i="13"/>
  <c r="I22" i="13"/>
  <c r="F21" i="13"/>
  <c r="C20" i="13"/>
  <c r="M18" i="13"/>
  <c r="J17" i="13"/>
  <c r="G16" i="13"/>
  <c r="D15" i="13"/>
  <c r="A14" i="13"/>
  <c r="K12" i="13"/>
  <c r="H11" i="13"/>
  <c r="E10" i="13"/>
  <c r="B9" i="13"/>
  <c r="L7" i="13"/>
  <c r="I6" i="13"/>
  <c r="F5" i="13"/>
  <c r="C4" i="13"/>
  <c r="M2" i="13"/>
  <c r="J1" i="13"/>
  <c r="D12" i="9"/>
  <c r="D10" i="9"/>
  <c r="D8" i="9"/>
  <c r="D6" i="9"/>
  <c r="D4" i="9"/>
  <c r="D2" i="9"/>
  <c r="N1" i="9"/>
  <c r="AB60" i="7"/>
  <c r="Z59" i="7"/>
  <c r="T58" i="7"/>
  <c r="AB56" i="7"/>
  <c r="Y55" i="7"/>
  <c r="V54" i="7"/>
  <c r="AB52" i="7"/>
  <c r="Z51" i="7"/>
  <c r="T50" i="7"/>
  <c r="AD48" i="7"/>
  <c r="X47" i="7"/>
  <c r="V46" i="7"/>
  <c r="AC44" i="7"/>
  <c r="W43" i="7"/>
  <c r="T42" i="7"/>
  <c r="AD40" i="7"/>
  <c r="X39" i="7"/>
  <c r="V38" i="7"/>
  <c r="AC36" i="7"/>
  <c r="C29" i="4"/>
  <c r="D27" i="4"/>
  <c r="D25" i="4"/>
  <c r="D23" i="4"/>
  <c r="C21" i="4"/>
  <c r="D19" i="4"/>
  <c r="A17" i="4"/>
  <c r="B15" i="4"/>
  <c r="D13" i="4"/>
  <c r="D11" i="4"/>
  <c r="D9" i="4"/>
  <c r="D7" i="4"/>
  <c r="D5" i="4"/>
  <c r="A2" i="4"/>
  <c r="G55" i="13"/>
  <c r="D54" i="13"/>
  <c r="A53" i="13"/>
  <c r="K51" i="13"/>
  <c r="H50" i="13"/>
  <c r="E49" i="13"/>
  <c r="B48" i="13"/>
  <c r="L46" i="13"/>
  <c r="I45" i="13"/>
  <c r="F44" i="13"/>
  <c r="C43" i="13"/>
  <c r="M41" i="13"/>
  <c r="J40" i="13"/>
  <c r="G39" i="13"/>
  <c r="D38" i="13"/>
  <c r="A37" i="13"/>
  <c r="K35" i="13"/>
  <c r="H34" i="13"/>
  <c r="E33" i="13"/>
  <c r="B32" i="13"/>
  <c r="L30" i="13"/>
  <c r="I29" i="13"/>
  <c r="F28" i="13"/>
  <c r="C27" i="13"/>
  <c r="M25" i="13"/>
  <c r="J24" i="13"/>
  <c r="G23" i="13"/>
  <c r="D22" i="13"/>
  <c r="A21" i="13"/>
  <c r="K19" i="13"/>
  <c r="H18" i="13"/>
  <c r="E17" i="13"/>
  <c r="B16" i="13"/>
  <c r="L14" i="13"/>
  <c r="I13" i="13"/>
  <c r="F12" i="13"/>
  <c r="C11" i="13"/>
  <c r="M9" i="13"/>
  <c r="J8" i="13"/>
  <c r="G7" i="13"/>
  <c r="D6" i="13"/>
  <c r="A5" i="13"/>
  <c r="K3" i="13"/>
  <c r="H2" i="13"/>
  <c r="E1" i="13"/>
  <c r="G11" i="9"/>
  <c r="G9" i="9"/>
  <c r="G7" i="9"/>
  <c r="G5" i="9"/>
  <c r="G3" i="9"/>
  <c r="Y1" i="9"/>
  <c r="I1" i="9"/>
  <c r="W60" i="7"/>
  <c r="U59" i="7"/>
  <c r="AC57" i="7"/>
  <c r="W56" i="7"/>
  <c r="T55" i="7"/>
  <c r="AD53" i="7"/>
  <c r="W52" i="7"/>
  <c r="U51" i="7"/>
  <c r="AB49" i="7"/>
  <c r="Y48" i="7"/>
  <c r="S47" i="7"/>
  <c r="AD45" i="7"/>
  <c r="X44" i="7"/>
  <c r="V43" i="7"/>
  <c r="AB41" i="7"/>
  <c r="Y40" i="7"/>
  <c r="S39" i="7"/>
  <c r="AD37" i="7"/>
  <c r="X36" i="7"/>
  <c r="E28" i="4"/>
  <c r="E26" i="4"/>
  <c r="E24" i="4"/>
  <c r="E22" i="4"/>
  <c r="D20" i="4"/>
  <c r="B18" i="4"/>
  <c r="C16" i="4"/>
  <c r="C14" i="4"/>
  <c r="A12" i="4"/>
  <c r="A10" i="4"/>
  <c r="A8" i="4"/>
  <c r="A6" i="4"/>
  <c r="H3" i="4"/>
  <c r="D1" i="4"/>
  <c r="K54" i="13"/>
  <c r="H53" i="13"/>
  <c r="E52" i="13"/>
  <c r="B51" i="13"/>
  <c r="L49" i="13"/>
  <c r="I48" i="13"/>
  <c r="F47" i="13"/>
  <c r="C46" i="13"/>
  <c r="M44" i="13"/>
  <c r="J43" i="13"/>
  <c r="G42" i="13"/>
  <c r="D41" i="13"/>
  <c r="A40" i="13"/>
  <c r="K38" i="13"/>
  <c r="H37" i="13"/>
  <c r="E36" i="13"/>
  <c r="B35" i="13"/>
  <c r="L33" i="13"/>
  <c r="I32" i="13"/>
  <c r="F31" i="13"/>
  <c r="C30" i="13"/>
  <c r="M28" i="13"/>
  <c r="J27" i="13"/>
  <c r="G26" i="13"/>
  <c r="D25" i="13"/>
  <c r="A24" i="13"/>
  <c r="K22" i="13"/>
  <c r="H21" i="13"/>
  <c r="E20" i="13"/>
  <c r="B19" i="13"/>
  <c r="L17" i="13"/>
  <c r="I16" i="13"/>
  <c r="F15" i="13"/>
  <c r="I338" i="13"/>
  <c r="F337" i="13"/>
  <c r="C336" i="13"/>
  <c r="M334" i="13"/>
  <c r="J333" i="13"/>
  <c r="G332" i="13"/>
  <c r="D331" i="13"/>
  <c r="A330" i="13"/>
  <c r="K328" i="13"/>
  <c r="H327" i="13"/>
  <c r="E326" i="13"/>
  <c r="B325" i="13"/>
  <c r="L323" i="13"/>
  <c r="I322" i="13"/>
  <c r="F321" i="13"/>
  <c r="C320" i="13"/>
  <c r="M318" i="13"/>
  <c r="J317" i="13"/>
  <c r="G316" i="13"/>
  <c r="D315" i="13"/>
  <c r="A314" i="13"/>
  <c r="K312" i="13"/>
  <c r="H311" i="13"/>
  <c r="E310" i="13"/>
  <c r="B309" i="13"/>
  <c r="L307" i="13"/>
  <c r="I306" i="13"/>
  <c r="F305" i="13"/>
  <c r="C304" i="13"/>
  <c r="M302" i="13"/>
  <c r="J301" i="13"/>
  <c r="G300" i="13"/>
  <c r="D299" i="13"/>
  <c r="A298" i="13"/>
  <c r="K296" i="13"/>
  <c r="H295" i="13"/>
  <c r="E294" i="13"/>
  <c r="B293" i="13"/>
  <c r="L291" i="13"/>
  <c r="I290" i="13"/>
  <c r="E289" i="13"/>
  <c r="A288" i="13"/>
  <c r="I286" i="13"/>
  <c r="E285" i="13"/>
  <c r="A284" i="13"/>
  <c r="I282" i="13"/>
  <c r="E281" i="13"/>
  <c r="A280" i="13"/>
  <c r="I278" i="13"/>
  <c r="E277" i="13"/>
  <c r="A276" i="13"/>
  <c r="I274" i="13"/>
  <c r="E273" i="13"/>
  <c r="A272" i="13"/>
  <c r="I270" i="13"/>
  <c r="E269" i="13"/>
  <c r="A268" i="13"/>
  <c r="I266" i="13"/>
  <c r="E265" i="13"/>
  <c r="A264" i="13"/>
  <c r="I262" i="13"/>
  <c r="E261" i="13"/>
  <c r="A260" i="13"/>
  <c r="I258" i="13"/>
  <c r="E257" i="13"/>
  <c r="A256" i="13"/>
  <c r="I254" i="13"/>
  <c r="E253" i="13"/>
  <c r="A252" i="13"/>
  <c r="I250" i="13"/>
  <c r="E249" i="13"/>
  <c r="A248" i="13"/>
  <c r="I246" i="13"/>
  <c r="E245" i="13"/>
  <c r="A244" i="13"/>
  <c r="I242" i="13"/>
  <c r="E241" i="13"/>
  <c r="A240" i="13"/>
  <c r="I238" i="13"/>
  <c r="E237" i="13"/>
  <c r="A236" i="13"/>
  <c r="K234" i="13"/>
  <c r="G233" i="13"/>
  <c r="C232" i="13"/>
  <c r="L230" i="13"/>
  <c r="G229" i="13"/>
  <c r="C228" i="13"/>
  <c r="M226" i="13"/>
  <c r="I225" i="13"/>
  <c r="E224" i="13"/>
  <c r="A223" i="13"/>
  <c r="I221" i="13"/>
  <c r="E220" i="13"/>
  <c r="B219" i="13"/>
  <c r="L217" i="13"/>
  <c r="G216" i="13"/>
  <c r="C215" i="13"/>
  <c r="L213" i="13"/>
  <c r="G212" i="13"/>
  <c r="D211" i="13"/>
  <c r="A210" i="13"/>
  <c r="I208" i="13"/>
  <c r="E207" i="13"/>
  <c r="A206" i="13"/>
  <c r="I204" i="13"/>
  <c r="F203" i="13"/>
  <c r="C202" i="13"/>
  <c r="L200" i="13"/>
  <c r="G199" i="13"/>
  <c r="C198" i="13"/>
  <c r="L196" i="13"/>
  <c r="H195" i="13"/>
  <c r="E194" i="13"/>
  <c r="A193" i="13"/>
  <c r="I191" i="13"/>
  <c r="E190" i="13"/>
  <c r="A189" i="13"/>
  <c r="J187" i="13"/>
  <c r="G186" i="13"/>
  <c r="C185" i="13"/>
  <c r="L183" i="13"/>
  <c r="G182" i="13"/>
  <c r="C181" i="13"/>
  <c r="L179" i="13"/>
  <c r="I178" i="13"/>
  <c r="E177" i="13"/>
  <c r="A176" i="13"/>
  <c r="I174" i="13"/>
  <c r="E173" i="13"/>
  <c r="A172" i="13"/>
  <c r="K170" i="13"/>
  <c r="G169" i="13"/>
  <c r="C168" i="13"/>
  <c r="L166" i="13"/>
  <c r="G165" i="13"/>
  <c r="C164" i="13"/>
  <c r="L162" i="13"/>
  <c r="G161" i="13"/>
  <c r="C160" i="13"/>
  <c r="L158" i="13"/>
  <c r="G157" i="13"/>
  <c r="C156" i="13"/>
  <c r="M154" i="13"/>
  <c r="I153" i="13"/>
  <c r="E152" i="13"/>
  <c r="A151" i="13"/>
  <c r="I149" i="13"/>
  <c r="E148" i="13"/>
  <c r="A147" i="13"/>
  <c r="I145" i="13"/>
  <c r="E144" i="13"/>
  <c r="A143" i="13"/>
  <c r="I141" i="13"/>
  <c r="E140" i="13"/>
  <c r="B139" i="13"/>
  <c r="L137" i="13"/>
  <c r="G136" i="13"/>
  <c r="C135" i="13"/>
  <c r="L133" i="13"/>
  <c r="G132" i="13"/>
  <c r="C131" i="13"/>
  <c r="L129" i="13"/>
  <c r="G128" i="13"/>
  <c r="C127" i="13"/>
  <c r="L125" i="13"/>
  <c r="G124" i="13"/>
  <c r="D123" i="13"/>
  <c r="A122" i="13"/>
  <c r="I120" i="13"/>
  <c r="E119" i="13"/>
  <c r="A118" i="13"/>
  <c r="I116" i="13"/>
  <c r="F115" i="13"/>
  <c r="C114" i="13"/>
  <c r="L112" i="13"/>
  <c r="G111" i="13"/>
  <c r="C110" i="13"/>
  <c r="L108" i="13"/>
  <c r="H107" i="13"/>
  <c r="E106" i="13"/>
  <c r="A105" i="13"/>
  <c r="I103" i="13"/>
  <c r="E102" i="13"/>
  <c r="A101" i="13"/>
  <c r="J99" i="13"/>
  <c r="G98" i="13"/>
  <c r="C97" i="13"/>
  <c r="L95" i="13"/>
  <c r="G94" i="13"/>
  <c r="C93" i="13"/>
  <c r="L91" i="13"/>
  <c r="G90" i="13"/>
  <c r="C89" i="13"/>
  <c r="L87" i="13"/>
  <c r="G86" i="13"/>
  <c r="C85" i="13"/>
  <c r="L83" i="13"/>
  <c r="G82" i="13"/>
  <c r="C81" i="13"/>
  <c r="L79" i="13"/>
  <c r="G78" i="13"/>
  <c r="C77" i="13"/>
  <c r="L75" i="13"/>
  <c r="G74" i="13"/>
  <c r="D73" i="13"/>
  <c r="A72" i="13"/>
  <c r="K70" i="13"/>
  <c r="H69" i="13"/>
  <c r="E68" i="13"/>
  <c r="B67" i="13"/>
  <c r="L65" i="13"/>
  <c r="I64" i="13"/>
  <c r="F63" i="13"/>
  <c r="C62" i="13"/>
  <c r="M60" i="13"/>
  <c r="J59" i="13"/>
  <c r="G58" i="13"/>
  <c r="D57" i="13"/>
  <c r="L386" i="13"/>
  <c r="H385" i="13"/>
  <c r="D384" i="13"/>
  <c r="M382" i="13"/>
  <c r="H381" i="13"/>
  <c r="D380" i="13"/>
  <c r="M378" i="13"/>
  <c r="H377" i="13"/>
  <c r="D376" i="13"/>
  <c r="M374" i="13"/>
  <c r="H373" i="13"/>
  <c r="D372" i="13"/>
  <c r="M370" i="13"/>
  <c r="H369" i="13"/>
  <c r="D368" i="13"/>
  <c r="M366" i="13"/>
  <c r="H365" i="13"/>
  <c r="D364" i="13"/>
  <c r="M362" i="13"/>
  <c r="I361" i="13"/>
  <c r="F360" i="13"/>
  <c r="C359" i="13"/>
  <c r="M357" i="13"/>
  <c r="J356" i="13"/>
  <c r="G355" i="13"/>
  <c r="D354" i="13"/>
  <c r="A353" i="13"/>
  <c r="K351" i="13"/>
  <c r="H350" i="13"/>
  <c r="E349" i="13"/>
  <c r="B348" i="13"/>
  <c r="L346" i="13"/>
  <c r="I345" i="13"/>
  <c r="F344" i="13"/>
  <c r="C343" i="13"/>
  <c r="M341" i="13"/>
  <c r="J340" i="13"/>
  <c r="G339" i="13"/>
  <c r="D338" i="13"/>
  <c r="A337" i="13"/>
  <c r="K335" i="13"/>
  <c r="H334" i="13"/>
  <c r="E333" i="13"/>
  <c r="B332" i="13"/>
  <c r="L330" i="13"/>
  <c r="I329" i="13"/>
  <c r="F328" i="13"/>
  <c r="C327" i="13"/>
  <c r="M325" i="13"/>
  <c r="J324" i="13"/>
  <c r="G323" i="13"/>
  <c r="D322" i="13"/>
  <c r="A321" i="13"/>
  <c r="K319" i="13"/>
  <c r="H318" i="13"/>
  <c r="E317" i="13"/>
  <c r="B316" i="13"/>
  <c r="L314" i="13"/>
  <c r="I313" i="13"/>
  <c r="F312" i="13"/>
  <c r="C311" i="13"/>
  <c r="M309" i="13"/>
  <c r="J308" i="13"/>
  <c r="G307" i="13"/>
  <c r="D306" i="13"/>
  <c r="A305" i="13"/>
  <c r="K303" i="13"/>
  <c r="H302" i="13"/>
  <c r="E301" i="13"/>
  <c r="B300" i="13"/>
  <c r="L298" i="13"/>
  <c r="I297" i="13"/>
  <c r="F296" i="13"/>
  <c r="C295" i="13"/>
  <c r="M293" i="13"/>
  <c r="J292" i="13"/>
  <c r="G291" i="13"/>
  <c r="D290" i="13"/>
  <c r="M288" i="13"/>
  <c r="H287" i="13"/>
  <c r="D286" i="13"/>
  <c r="M284" i="13"/>
  <c r="H283" i="13"/>
  <c r="D282" i="13"/>
  <c r="M280" i="13"/>
  <c r="H279" i="13"/>
  <c r="D278" i="13"/>
  <c r="M276" i="13"/>
  <c r="H275" i="13"/>
  <c r="D274" i="13"/>
  <c r="M272" i="13"/>
  <c r="H271" i="13"/>
  <c r="D270" i="13"/>
  <c r="M268" i="13"/>
  <c r="H267" i="13"/>
  <c r="D266" i="13"/>
  <c r="M264" i="13"/>
  <c r="H263" i="13"/>
  <c r="D262" i="13"/>
  <c r="M260" i="13"/>
  <c r="H259" i="13"/>
  <c r="D258" i="13"/>
  <c r="M256" i="13"/>
  <c r="H255" i="13"/>
  <c r="D254" i="13"/>
  <c r="M252" i="13"/>
  <c r="H251" i="13"/>
  <c r="D250" i="13"/>
  <c r="M248" i="13"/>
  <c r="H247" i="13"/>
  <c r="D246" i="13"/>
  <c r="M244" i="13"/>
  <c r="H243" i="13"/>
  <c r="D242" i="13"/>
  <c r="M240" i="13"/>
  <c r="H239" i="13"/>
  <c r="D238" i="13"/>
  <c r="M236" i="13"/>
  <c r="I235" i="13"/>
  <c r="F234" i="13"/>
  <c r="B233" i="13"/>
  <c r="J231" i="13"/>
  <c r="F230" i="13"/>
  <c r="B229" i="13"/>
  <c r="K227" i="13"/>
  <c r="H226" i="13"/>
  <c r="D225" i="13"/>
  <c r="M223" i="13"/>
  <c r="H222" i="13"/>
  <c r="D221" i="13"/>
  <c r="M219" i="13"/>
  <c r="J218" i="13"/>
  <c r="F217" i="13"/>
  <c r="B216" i="13"/>
  <c r="J214" i="13"/>
  <c r="F213" i="13"/>
  <c r="B212" i="13"/>
  <c r="L210" i="13"/>
  <c r="H209" i="13"/>
  <c r="D208" i="13"/>
  <c r="M206" i="13"/>
  <c r="H205" i="13"/>
  <c r="D204" i="13"/>
  <c r="A203" i="13"/>
  <c r="J201" i="13"/>
  <c r="F200" i="13"/>
  <c r="B199" i="13"/>
  <c r="J197" i="13"/>
  <c r="F196" i="13"/>
  <c r="C195" i="13"/>
  <c r="M193" i="13"/>
  <c r="H192" i="13"/>
  <c r="D191" i="13"/>
  <c r="M189" i="13"/>
  <c r="H188" i="13"/>
  <c r="E187" i="13"/>
  <c r="B186" i="13"/>
  <c r="J184" i="13"/>
  <c r="F183" i="13"/>
  <c r="B182" i="13"/>
  <c r="J180" i="13"/>
  <c r="G179" i="13"/>
  <c r="D178" i="13"/>
  <c r="M176" i="13"/>
  <c r="H175" i="13"/>
  <c r="D174" i="13"/>
  <c r="M172" i="13"/>
  <c r="I171" i="13"/>
  <c r="F170" i="13"/>
  <c r="B169" i="13"/>
  <c r="J167" i="13"/>
  <c r="F166" i="13"/>
  <c r="B165" i="13"/>
  <c r="J163" i="13"/>
  <c r="F162" i="13"/>
  <c r="B161" i="13"/>
  <c r="J159" i="13"/>
  <c r="F158" i="13"/>
  <c r="B157" i="13"/>
  <c r="K155" i="13"/>
  <c r="H154" i="13"/>
  <c r="D153" i="13"/>
  <c r="M151" i="13"/>
  <c r="H150" i="13"/>
  <c r="D149" i="13"/>
  <c r="M147" i="13"/>
  <c r="H146" i="13"/>
  <c r="D145" i="13"/>
  <c r="M143" i="13"/>
  <c r="H142" i="13"/>
  <c r="D141" i="13"/>
  <c r="M139" i="13"/>
  <c r="J138" i="13"/>
  <c r="F137" i="13"/>
  <c r="B136" i="13"/>
  <c r="J134" i="13"/>
  <c r="F133" i="13"/>
  <c r="B132" i="13"/>
  <c r="J130" i="13"/>
  <c r="F129" i="13"/>
  <c r="B128" i="13"/>
  <c r="J126" i="13"/>
  <c r="F125" i="13"/>
  <c r="B124" i="13"/>
  <c r="L122" i="13"/>
  <c r="H121" i="13"/>
  <c r="D120" i="13"/>
  <c r="M118" i="13"/>
  <c r="H117" i="13"/>
  <c r="D116" i="13"/>
  <c r="A115" i="13"/>
  <c r="J113" i="13"/>
  <c r="F112" i="13"/>
  <c r="B111" i="13"/>
  <c r="J109" i="13"/>
  <c r="F108" i="13"/>
  <c r="C107" i="13"/>
  <c r="M105" i="13"/>
  <c r="H104" i="13"/>
  <c r="D103" i="13"/>
  <c r="M101" i="13"/>
  <c r="H100" i="13"/>
  <c r="E99" i="13"/>
  <c r="B98" i="13"/>
  <c r="J96" i="13"/>
  <c r="F95" i="13"/>
  <c r="B94" i="13"/>
  <c r="J92" i="13"/>
  <c r="F91" i="13"/>
  <c r="B90" i="13"/>
  <c r="J88" i="13"/>
  <c r="F87" i="13"/>
  <c r="B86" i="13"/>
  <c r="J84" i="13"/>
  <c r="F83" i="13"/>
  <c r="B82" i="13"/>
  <c r="J80" i="13"/>
  <c r="F79" i="13"/>
  <c r="B78" i="13"/>
  <c r="J76" i="13"/>
  <c r="F75" i="13"/>
  <c r="B74" i="13"/>
  <c r="L72" i="13"/>
  <c r="I71" i="13"/>
  <c r="F70" i="13"/>
  <c r="C69" i="13"/>
  <c r="M67" i="13"/>
  <c r="J66" i="13"/>
  <c r="G65" i="13"/>
  <c r="D64" i="13"/>
  <c r="A63" i="13"/>
  <c r="K61" i="13"/>
  <c r="H60" i="13"/>
  <c r="E59" i="13"/>
  <c r="B58" i="13"/>
  <c r="L56" i="13"/>
  <c r="G386" i="13"/>
  <c r="C385" i="13"/>
  <c r="L383" i="13"/>
  <c r="G382" i="13"/>
  <c r="C381" i="13"/>
  <c r="L379" i="13"/>
  <c r="G378" i="13"/>
  <c r="C377" i="13"/>
  <c r="L375" i="13"/>
  <c r="G374" i="13"/>
  <c r="C373" i="13"/>
  <c r="L371" i="13"/>
  <c r="G370" i="13"/>
  <c r="C369" i="13"/>
  <c r="L367" i="13"/>
  <c r="G366" i="13"/>
  <c r="C365" i="13"/>
  <c r="L363" i="13"/>
  <c r="G362" i="13"/>
  <c r="D361" i="13"/>
  <c r="A360" i="13"/>
  <c r="K358" i="13"/>
  <c r="H357" i="13"/>
  <c r="E356" i="13"/>
  <c r="B355" i="13"/>
  <c r="L353" i="13"/>
  <c r="I352" i="13"/>
  <c r="F351" i="13"/>
  <c r="C350" i="13"/>
  <c r="M348" i="13"/>
  <c r="J347" i="13"/>
  <c r="G346" i="13"/>
  <c r="D345" i="13"/>
  <c r="A344" i="13"/>
  <c r="K342" i="13"/>
  <c r="H341" i="13"/>
  <c r="E340" i="13"/>
  <c r="B339" i="13"/>
  <c r="L337" i="13"/>
  <c r="I336" i="13"/>
  <c r="F335" i="13"/>
  <c r="C334" i="13"/>
  <c r="M332" i="13"/>
  <c r="J331" i="13"/>
  <c r="G330" i="13"/>
  <c r="D329" i="13"/>
  <c r="A328" i="13"/>
  <c r="K326" i="13"/>
  <c r="H325" i="13"/>
  <c r="E324" i="13"/>
  <c r="B323" i="13"/>
  <c r="L321" i="13"/>
  <c r="I320" i="13"/>
  <c r="F319" i="13"/>
  <c r="C318" i="13"/>
  <c r="M316" i="13"/>
  <c r="J315" i="13"/>
  <c r="G314" i="13"/>
  <c r="D313" i="13"/>
  <c r="A312" i="13"/>
  <c r="K310" i="13"/>
  <c r="H309" i="13"/>
  <c r="E308" i="13"/>
  <c r="B307" i="13"/>
  <c r="L305" i="13"/>
  <c r="I304" i="13"/>
  <c r="F303" i="13"/>
  <c r="C302" i="13"/>
  <c r="M300" i="13"/>
  <c r="J299" i="13"/>
  <c r="G298" i="13"/>
  <c r="D297" i="13"/>
  <c r="A296" i="13"/>
  <c r="K294" i="13"/>
  <c r="H293" i="13"/>
  <c r="E292" i="13"/>
  <c r="B291" i="13"/>
  <c r="L289" i="13"/>
  <c r="G288" i="13"/>
  <c r="C287" i="13"/>
  <c r="L285" i="13"/>
  <c r="G284" i="13"/>
  <c r="C283" i="13"/>
  <c r="L281" i="13"/>
  <c r="G280" i="13"/>
  <c r="C279" i="13"/>
  <c r="L277" i="13"/>
  <c r="G276" i="13"/>
  <c r="C275" i="13"/>
  <c r="L273" i="13"/>
  <c r="G272" i="13"/>
  <c r="C271" i="13"/>
  <c r="L269" i="13"/>
  <c r="G268" i="13"/>
  <c r="C267" i="13"/>
  <c r="L265" i="13"/>
  <c r="G264" i="13"/>
  <c r="C263" i="13"/>
  <c r="L261" i="13"/>
  <c r="G260" i="13"/>
  <c r="C259" i="13"/>
  <c r="L257" i="13"/>
  <c r="G256" i="13"/>
  <c r="C255" i="13"/>
  <c r="L253" i="13"/>
  <c r="G252" i="13"/>
  <c r="C251" i="13"/>
  <c r="L249" i="13"/>
  <c r="G248" i="13"/>
  <c r="C247" i="13"/>
  <c r="L245" i="13"/>
  <c r="G244" i="13"/>
  <c r="C243" i="13"/>
  <c r="L241" i="13"/>
  <c r="G240" i="13"/>
  <c r="C239" i="13"/>
  <c r="L237" i="13"/>
  <c r="G236" i="13"/>
  <c r="D235" i="13"/>
  <c r="A234" i="13"/>
  <c r="I232" i="13"/>
  <c r="E231" i="13"/>
  <c r="A230" i="13"/>
  <c r="I228" i="13"/>
  <c r="F227" i="13"/>
  <c r="C226" i="13"/>
  <c r="L224" i="13"/>
  <c r="G223" i="13"/>
  <c r="C222" i="13"/>
  <c r="L220" i="13"/>
  <c r="H219" i="13"/>
  <c r="E218" i="13"/>
  <c r="A217" i="13"/>
  <c r="I215" i="13"/>
  <c r="E214" i="13"/>
  <c r="A213" i="13"/>
  <c r="J211" i="13"/>
  <c r="G210" i="13"/>
  <c r="C209" i="13"/>
  <c r="L207" i="13"/>
  <c r="G206" i="13"/>
  <c r="C205" i="13"/>
  <c r="L203" i="13"/>
  <c r="I202" i="13"/>
  <c r="E201" i="13"/>
  <c r="A200" i="13"/>
  <c r="I198" i="13"/>
  <c r="E197" i="13"/>
  <c r="A196" i="13"/>
  <c r="K194" i="13"/>
  <c r="G193" i="13"/>
  <c r="C192" i="13"/>
  <c r="L190" i="13"/>
  <c r="G189" i="13"/>
  <c r="C188" i="13"/>
  <c r="M186" i="13"/>
  <c r="I185" i="13"/>
  <c r="E184" i="13"/>
  <c r="A183" i="13"/>
  <c r="I181" i="13"/>
  <c r="E180" i="13"/>
  <c r="B179" i="13"/>
  <c r="L177" i="13"/>
  <c r="G176" i="13"/>
  <c r="C175" i="13"/>
  <c r="L173" i="13"/>
  <c r="G172" i="13"/>
  <c r="D171" i="13"/>
  <c r="A170" i="13"/>
  <c r="I168" i="13"/>
  <c r="E167" i="13"/>
  <c r="A166" i="13"/>
  <c r="I164" i="13"/>
  <c r="E163" i="13"/>
  <c r="A162" i="13"/>
  <c r="I160" i="13"/>
  <c r="E159" i="13"/>
  <c r="A158" i="13"/>
  <c r="I156" i="13"/>
  <c r="F155" i="13"/>
  <c r="C154" i="13"/>
  <c r="L152" i="13"/>
  <c r="G151" i="13"/>
  <c r="C150" i="13"/>
  <c r="L148" i="13"/>
  <c r="G147" i="13"/>
  <c r="C146" i="13"/>
  <c r="L144" i="13"/>
  <c r="G143" i="13"/>
  <c r="C142" i="13"/>
  <c r="L140" i="13"/>
  <c r="H139" i="13"/>
  <c r="E138" i="13"/>
  <c r="A137" i="13"/>
  <c r="I135" i="13"/>
  <c r="E134" i="13"/>
  <c r="A133" i="13"/>
  <c r="I131" i="13"/>
  <c r="E130" i="13"/>
  <c r="A129" i="13"/>
  <c r="I127" i="13"/>
  <c r="E126" i="13"/>
  <c r="A125" i="13"/>
  <c r="J123" i="13"/>
  <c r="G122" i="13"/>
  <c r="C121" i="13"/>
  <c r="L119" i="13"/>
  <c r="G118" i="13"/>
  <c r="C117" i="13"/>
  <c r="L115" i="13"/>
  <c r="I114" i="13"/>
  <c r="E113" i="13"/>
  <c r="A112" i="13"/>
  <c r="I110" i="13"/>
  <c r="E109" i="13"/>
  <c r="A108" i="13"/>
  <c r="K106" i="13"/>
  <c r="G105" i="13"/>
  <c r="C104" i="13"/>
  <c r="L102" i="13"/>
  <c r="G101" i="13"/>
  <c r="C100" i="13"/>
  <c r="M98" i="13"/>
  <c r="I97" i="13"/>
  <c r="E96" i="13"/>
  <c r="A95" i="13"/>
  <c r="I93" i="13"/>
  <c r="E92" i="13"/>
  <c r="A91" i="13"/>
  <c r="I89" i="13"/>
  <c r="E88" i="13"/>
  <c r="A87" i="13"/>
  <c r="I85" i="13"/>
  <c r="E84" i="13"/>
  <c r="A83" i="13"/>
  <c r="I81" i="13"/>
  <c r="E80" i="13"/>
  <c r="A79" i="13"/>
  <c r="I77" i="13"/>
  <c r="E76" i="13"/>
  <c r="A75" i="13"/>
  <c r="J73" i="13"/>
  <c r="G72" i="13"/>
  <c r="D71" i="13"/>
  <c r="A70" i="13"/>
  <c r="K68" i="13"/>
  <c r="H67" i="13"/>
  <c r="E66" i="13"/>
  <c r="B65" i="13"/>
  <c r="L63" i="13"/>
  <c r="I62" i="13"/>
  <c r="F61" i="13"/>
  <c r="C60" i="13"/>
  <c r="M58" i="13"/>
  <c r="J57" i="13"/>
  <c r="G56" i="13"/>
  <c r="E55" i="13"/>
  <c r="B54" i="13"/>
  <c r="L52" i="13"/>
  <c r="I51" i="13"/>
  <c r="F50" i="13"/>
  <c r="C49" i="13"/>
  <c r="M47" i="13"/>
  <c r="J46" i="13"/>
  <c r="G45" i="13"/>
  <c r="D44" i="13"/>
  <c r="A43" i="13"/>
  <c r="K41" i="13"/>
  <c r="H40" i="13"/>
  <c r="E39" i="13"/>
  <c r="B38" i="13"/>
  <c r="L36" i="13"/>
  <c r="I35" i="13"/>
  <c r="F34" i="13"/>
  <c r="C33" i="13"/>
  <c r="M31" i="13"/>
  <c r="J30" i="13"/>
  <c r="G29" i="13"/>
  <c r="D28" i="13"/>
  <c r="A27" i="13"/>
  <c r="K25" i="13"/>
  <c r="H24" i="13"/>
  <c r="E23" i="13"/>
  <c r="B22" i="13"/>
  <c r="L20" i="13"/>
  <c r="I19" i="13"/>
  <c r="F18" i="13"/>
  <c r="C17" i="13"/>
  <c r="M15" i="13"/>
  <c r="J14" i="13"/>
  <c r="G13" i="13"/>
  <c r="D12" i="13"/>
  <c r="A11" i="13"/>
  <c r="K9" i="13"/>
  <c r="H8" i="13"/>
  <c r="E7" i="13"/>
  <c r="B6" i="13"/>
  <c r="L4" i="13"/>
  <c r="I3" i="13"/>
  <c r="F2" i="13"/>
  <c r="C1" i="13"/>
  <c r="A11" i="9"/>
  <c r="A9" i="9"/>
  <c r="A7" i="9"/>
  <c r="A5" i="9"/>
  <c r="A3" i="9"/>
  <c r="S1" i="9"/>
  <c r="C1" i="9"/>
  <c r="AA59" i="7"/>
  <c r="Y58" i="7"/>
  <c r="S57" i="7"/>
  <c r="AD55" i="7"/>
  <c r="W54" i="7"/>
  <c r="T53" i="7"/>
  <c r="AA51" i="7"/>
  <c r="Y50" i="7"/>
  <c r="V49" i="7"/>
  <c r="AC47" i="7"/>
  <c r="W46" i="7"/>
  <c r="T45" i="7"/>
  <c r="AB43" i="7"/>
  <c r="Y42" i="7"/>
  <c r="V41" i="7"/>
  <c r="AC39" i="7"/>
  <c r="W38" i="7"/>
  <c r="T37" i="7"/>
  <c r="H29" i="4"/>
  <c r="E27" i="4"/>
  <c r="E25" i="4"/>
  <c r="E23" i="4"/>
  <c r="H21" i="4"/>
  <c r="E19" i="4"/>
  <c r="F17" i="4"/>
  <c r="G15" i="4"/>
  <c r="E13" i="4"/>
  <c r="E11" i="4"/>
  <c r="E9" i="4"/>
  <c r="E7" i="4"/>
  <c r="E5" i="4"/>
  <c r="B2" i="4"/>
  <c r="H55" i="13"/>
  <c r="E54" i="13"/>
  <c r="B53" i="13"/>
  <c r="L51" i="13"/>
  <c r="I50" i="13"/>
  <c r="F49" i="13"/>
  <c r="C48" i="13"/>
  <c r="M46" i="13"/>
  <c r="J45" i="13"/>
  <c r="G44" i="13"/>
  <c r="D43" i="13"/>
  <c r="A42" i="13"/>
  <c r="K40" i="13"/>
  <c r="H39" i="13"/>
  <c r="E38" i="13"/>
  <c r="B37" i="13"/>
  <c r="L35" i="13"/>
  <c r="I34" i="13"/>
  <c r="F33" i="13"/>
  <c r="C32" i="13"/>
  <c r="M30" i="13"/>
  <c r="J29" i="13"/>
  <c r="G28" i="13"/>
  <c r="D27" i="13"/>
  <c r="A26" i="13"/>
  <c r="K24" i="13"/>
  <c r="H23" i="13"/>
  <c r="E22" i="13"/>
  <c r="B21" i="13"/>
  <c r="L19" i="13"/>
  <c r="I18" i="13"/>
  <c r="F17" i="13"/>
  <c r="C16" i="13"/>
  <c r="M14" i="13"/>
  <c r="J13" i="13"/>
  <c r="G12" i="13"/>
  <c r="D11" i="13"/>
  <c r="A10" i="13"/>
  <c r="K8" i="13"/>
  <c r="H7" i="13"/>
  <c r="E6" i="13"/>
  <c r="B5" i="13"/>
  <c r="L3" i="13"/>
  <c r="I2" i="13"/>
  <c r="F1" i="13"/>
  <c r="H11" i="9"/>
  <c r="H9" i="9"/>
  <c r="H7" i="9"/>
  <c r="H5" i="9"/>
  <c r="H3" i="9"/>
  <c r="Z1" i="9"/>
  <c r="J1" i="9"/>
  <c r="X60" i="7"/>
  <c r="V59" i="7"/>
  <c r="AD57" i="7"/>
  <c r="X56" i="7"/>
  <c r="U55" i="7"/>
  <c r="AA53" i="7"/>
  <c r="X52" i="7"/>
  <c r="V51" i="7"/>
  <c r="AC49" i="7"/>
  <c r="Z48" i="7"/>
  <c r="T47" i="7"/>
  <c r="AA45" i="7"/>
  <c r="Y44" i="7"/>
  <c r="S43" i="7"/>
  <c r="AC41" i="7"/>
  <c r="Z40" i="7"/>
  <c r="T39" i="7"/>
  <c r="AA37" i="7"/>
  <c r="Y36" i="7"/>
  <c r="F28" i="4"/>
  <c r="F26" i="4"/>
  <c r="F24" i="4"/>
  <c r="F22" i="4"/>
  <c r="E20" i="4"/>
  <c r="G18" i="4"/>
  <c r="H16" i="4"/>
  <c r="H14" i="4"/>
  <c r="F12" i="4"/>
  <c r="F10" i="4"/>
  <c r="F8" i="4"/>
  <c r="F6" i="4"/>
  <c r="C4" i="4"/>
  <c r="E1" i="4"/>
  <c r="C55" i="13"/>
  <c r="M53" i="13"/>
  <c r="J52" i="13"/>
  <c r="G51" i="13"/>
  <c r="D50" i="13"/>
  <c r="A49" i="13"/>
  <c r="K47" i="13"/>
  <c r="H46" i="13"/>
  <c r="E45" i="13"/>
  <c r="B44" i="13"/>
  <c r="L42" i="13"/>
  <c r="I41" i="13"/>
  <c r="F40" i="13"/>
  <c r="C39" i="13"/>
  <c r="M37" i="13"/>
  <c r="J36" i="13"/>
  <c r="G35" i="13"/>
  <c r="D34" i="13"/>
  <c r="A33" i="13"/>
  <c r="K31" i="13"/>
  <c r="H30" i="13"/>
  <c r="E29" i="13"/>
  <c r="B28" i="13"/>
  <c r="L26" i="13"/>
  <c r="I25" i="13"/>
  <c r="F24" i="13"/>
  <c r="C23" i="13"/>
  <c r="M21" i="13"/>
  <c r="J20" i="13"/>
  <c r="G19" i="13"/>
  <c r="D18" i="13"/>
  <c r="A17" i="13"/>
  <c r="K15" i="13"/>
  <c r="H14" i="13"/>
  <c r="E13" i="13"/>
  <c r="B12" i="13"/>
  <c r="L10" i="13"/>
  <c r="I9" i="13"/>
  <c r="F8" i="13"/>
  <c r="C7" i="13"/>
  <c r="M5" i="13"/>
  <c r="J4" i="13"/>
  <c r="G3" i="13"/>
  <c r="D2" i="13"/>
  <c r="A1" i="13"/>
  <c r="C11" i="9"/>
  <c r="C9" i="9"/>
  <c r="C7" i="9"/>
  <c r="C5" i="9"/>
  <c r="C3" i="9"/>
  <c r="U1" i="9"/>
  <c r="E1" i="9"/>
  <c r="S60" i="7"/>
  <c r="AA58" i="7"/>
  <c r="Y57" i="7"/>
  <c r="S56" i="7"/>
  <c r="AC54" i="7"/>
  <c r="Z53" i="7"/>
  <c r="S52" i="7"/>
  <c r="AA50" i="7"/>
  <c r="X49" i="7"/>
  <c r="U48" i="7"/>
  <c r="AC46" i="7"/>
  <c r="Z45" i="7"/>
  <c r="T44" i="7"/>
  <c r="AA42" i="7"/>
  <c r="X41" i="7"/>
  <c r="U40" i="7"/>
  <c r="AC38" i="7"/>
  <c r="Z37" i="7"/>
  <c r="T36" i="7"/>
  <c r="A28" i="4"/>
  <c r="A26" i="4"/>
  <c r="A24" i="4"/>
  <c r="F21" i="4"/>
  <c r="G19" i="4"/>
  <c r="H17" i="4"/>
  <c r="E15" i="4"/>
  <c r="G13" i="4"/>
  <c r="G11" i="4"/>
  <c r="G9" i="4"/>
  <c r="G7" i="4"/>
  <c r="G5" i="4"/>
  <c r="A3" i="4"/>
  <c r="J55" i="13"/>
  <c r="G54" i="13"/>
  <c r="D53" i="13"/>
  <c r="A52" i="13"/>
  <c r="K50" i="13"/>
  <c r="H49" i="13"/>
  <c r="E48" i="13"/>
  <c r="B47" i="13"/>
  <c r="L45" i="13"/>
  <c r="I44" i="13"/>
  <c r="F43" i="13"/>
  <c r="C42" i="13"/>
  <c r="M40" i="13"/>
  <c r="J39" i="13"/>
  <c r="G38" i="13"/>
  <c r="D37" i="13"/>
  <c r="A36" i="13"/>
  <c r="K34" i="13"/>
  <c r="H33" i="13"/>
  <c r="E32" i="13"/>
  <c r="B31" i="13"/>
  <c r="L29" i="13"/>
  <c r="I28" i="13"/>
  <c r="F27" i="13"/>
  <c r="C26" i="13"/>
  <c r="M24" i="13"/>
  <c r="J23" i="13"/>
  <c r="G22" i="13"/>
  <c r="D21" i="13"/>
  <c r="A20" i="13"/>
  <c r="K18" i="13"/>
  <c r="H17" i="13"/>
  <c r="E16" i="13"/>
  <c r="B15" i="13"/>
  <c r="L13" i="13"/>
  <c r="I12" i="13"/>
  <c r="F11" i="13"/>
  <c r="C10" i="13"/>
  <c r="M8" i="13"/>
  <c r="J7" i="13"/>
  <c r="E338" i="13"/>
  <c r="B337" i="13"/>
  <c r="L335" i="13"/>
  <c r="I334" i="13"/>
  <c r="F333" i="13"/>
  <c r="C332" i="13"/>
  <c r="M330" i="13"/>
  <c r="J329" i="13"/>
  <c r="G328" i="13"/>
  <c r="D327" i="13"/>
  <c r="A326" i="13"/>
  <c r="K324" i="13"/>
  <c r="H323" i="13"/>
  <c r="E322" i="13"/>
  <c r="B321" i="13"/>
  <c r="L319" i="13"/>
  <c r="I318" i="13"/>
  <c r="F317" i="13"/>
  <c r="C316" i="13"/>
  <c r="M314" i="13"/>
  <c r="J313" i="13"/>
  <c r="G312" i="13"/>
  <c r="D311" i="13"/>
  <c r="A310" i="13"/>
  <c r="K308" i="13"/>
  <c r="H307" i="13"/>
  <c r="E306" i="13"/>
  <c r="B305" i="13"/>
  <c r="L303" i="13"/>
  <c r="I302" i="13"/>
  <c r="F301" i="13"/>
  <c r="C300" i="13"/>
  <c r="M298" i="13"/>
  <c r="J297" i="13"/>
  <c r="G296" i="13"/>
  <c r="D295" i="13"/>
  <c r="A294" i="13"/>
  <c r="K292" i="13"/>
  <c r="H291" i="13"/>
  <c r="E290" i="13"/>
  <c r="A289" i="13"/>
  <c r="I287" i="13"/>
  <c r="E286" i="13"/>
  <c r="A285" i="13"/>
  <c r="I283" i="13"/>
  <c r="E282" i="13"/>
  <c r="A281" i="13"/>
  <c r="I279" i="13"/>
  <c r="E278" i="13"/>
  <c r="A277" i="13"/>
  <c r="I275" i="13"/>
  <c r="E274" i="13"/>
  <c r="A273" i="13"/>
  <c r="I271" i="13"/>
  <c r="E270" i="13"/>
  <c r="A269" i="13"/>
  <c r="I267" i="13"/>
  <c r="E266" i="13"/>
  <c r="A265" i="13"/>
  <c r="I263" i="13"/>
  <c r="E262" i="13"/>
  <c r="A261" i="13"/>
  <c r="I259" i="13"/>
  <c r="E258" i="13"/>
  <c r="A257" i="13"/>
  <c r="I255" i="13"/>
  <c r="E254" i="13"/>
  <c r="A253" i="13"/>
  <c r="I251" i="13"/>
  <c r="E250" i="13"/>
  <c r="A249" i="13"/>
  <c r="I247" i="13"/>
  <c r="E246" i="13"/>
  <c r="A245" i="13"/>
  <c r="I243" i="13"/>
  <c r="E242" i="13"/>
  <c r="A241" i="13"/>
  <c r="I239" i="13"/>
  <c r="E238" i="13"/>
  <c r="A237" i="13"/>
  <c r="J235" i="13"/>
  <c r="G234" i="13"/>
  <c r="C233" i="13"/>
  <c r="L231" i="13"/>
  <c r="G230" i="13"/>
  <c r="C229" i="13"/>
  <c r="L227" i="13"/>
  <c r="I226" i="13"/>
  <c r="E225" i="13"/>
  <c r="A224" i="13"/>
  <c r="I222" i="13"/>
  <c r="E221" i="13"/>
  <c r="A220" i="13"/>
  <c r="K218" i="13"/>
  <c r="G217" i="13"/>
  <c r="C216" i="13"/>
  <c r="L214" i="13"/>
  <c r="G213" i="13"/>
  <c r="C212" i="13"/>
  <c r="M210" i="13"/>
  <c r="I209" i="13"/>
  <c r="E208" i="13"/>
  <c r="A207" i="13"/>
  <c r="I205" i="13"/>
  <c r="E204" i="13"/>
  <c r="B203" i="13"/>
  <c r="L201" i="13"/>
  <c r="G200" i="13"/>
  <c r="C199" i="13"/>
  <c r="L197" i="13"/>
  <c r="G196" i="13"/>
  <c r="D195" i="13"/>
  <c r="A194" i="13"/>
  <c r="I192" i="13"/>
  <c r="E191" i="13"/>
  <c r="A190" i="13"/>
  <c r="I188" i="13"/>
  <c r="F187" i="13"/>
  <c r="C186" i="13"/>
  <c r="L184" i="13"/>
  <c r="G183" i="13"/>
  <c r="C182" i="13"/>
  <c r="L180" i="13"/>
  <c r="H179" i="13"/>
  <c r="E178" i="13"/>
  <c r="A177" i="13"/>
  <c r="I175" i="13"/>
  <c r="E174" i="13"/>
  <c r="A173" i="13"/>
  <c r="J171" i="13"/>
  <c r="G170" i="13"/>
  <c r="C169" i="13"/>
  <c r="L167" i="13"/>
  <c r="G166" i="13"/>
  <c r="C165" i="13"/>
  <c r="L163" i="13"/>
  <c r="G162" i="13"/>
  <c r="C161" i="13"/>
  <c r="L159" i="13"/>
  <c r="G158" i="13"/>
  <c r="C157" i="13"/>
  <c r="L155" i="13"/>
  <c r="I154" i="13"/>
  <c r="E153" i="13"/>
  <c r="A152" i="13"/>
  <c r="I150" i="13"/>
  <c r="E149" i="13"/>
  <c r="A148" i="13"/>
  <c r="I146" i="13"/>
  <c r="E145" i="13"/>
  <c r="A144" i="13"/>
  <c r="I142" i="13"/>
  <c r="E141" i="13"/>
  <c r="A140" i="13"/>
  <c r="K138" i="13"/>
  <c r="G137" i="13"/>
  <c r="C136" i="13"/>
  <c r="L134" i="13"/>
  <c r="G133" i="13"/>
  <c r="C132" i="13"/>
  <c r="L130" i="13"/>
  <c r="G129" i="13"/>
  <c r="C128" i="13"/>
  <c r="L126" i="13"/>
  <c r="G125" i="13"/>
  <c r="C124" i="13"/>
  <c r="M122" i="13"/>
  <c r="I121" i="13"/>
  <c r="E120" i="13"/>
  <c r="A119" i="13"/>
  <c r="I117" i="13"/>
  <c r="E116" i="13"/>
  <c r="B115" i="13"/>
  <c r="L113" i="13"/>
  <c r="G112" i="13"/>
  <c r="C111" i="13"/>
  <c r="L109" i="13"/>
  <c r="G108" i="13"/>
  <c r="D107" i="13"/>
  <c r="A106" i="13"/>
  <c r="I104" i="13"/>
  <c r="E103" i="13"/>
  <c r="A102" i="13"/>
  <c r="I100" i="13"/>
  <c r="F99" i="13"/>
  <c r="C98" i="13"/>
  <c r="L96" i="13"/>
  <c r="G95" i="13"/>
  <c r="C94" i="13"/>
  <c r="L92" i="13"/>
  <c r="G91" i="13"/>
  <c r="C90" i="13"/>
  <c r="L88" i="13"/>
  <c r="G87" i="13"/>
  <c r="C86" i="13"/>
  <c r="L84" i="13"/>
  <c r="G83" i="13"/>
  <c r="C82" i="13"/>
  <c r="L80" i="13"/>
  <c r="G79" i="13"/>
  <c r="C78" i="13"/>
  <c r="L76" i="13"/>
  <c r="G75" i="13"/>
  <c r="C74" i="13"/>
  <c r="M72" i="13"/>
  <c r="J71" i="13"/>
  <c r="G70" i="13"/>
  <c r="D69" i="13"/>
  <c r="A68" i="13"/>
  <c r="K66" i="13"/>
  <c r="H65" i="13"/>
  <c r="E64" i="13"/>
  <c r="B63" i="13"/>
  <c r="L61" i="13"/>
  <c r="I60" i="13"/>
  <c r="F59" i="13"/>
  <c r="C58" i="13"/>
  <c r="M56" i="13"/>
  <c r="H386" i="13"/>
  <c r="D385" i="13"/>
  <c r="M383" i="13"/>
  <c r="H382" i="13"/>
  <c r="D381" i="13"/>
  <c r="M379" i="13"/>
  <c r="H378" i="13"/>
  <c r="D377" i="13"/>
  <c r="M375" i="13"/>
  <c r="H374" i="13"/>
  <c r="D373" i="13"/>
  <c r="M371" i="13"/>
  <c r="H370" i="13"/>
  <c r="D369" i="13"/>
  <c r="M367" i="13"/>
  <c r="H366" i="13"/>
  <c r="D365" i="13"/>
  <c r="M363" i="13"/>
  <c r="H362" i="13"/>
  <c r="E361" i="13"/>
  <c r="B360" i="13"/>
  <c r="L358" i="13"/>
  <c r="I357" i="13"/>
  <c r="F356" i="13"/>
  <c r="C355" i="13"/>
  <c r="M353" i="13"/>
  <c r="J352" i="13"/>
  <c r="G351" i="13"/>
  <c r="D350" i="13"/>
  <c r="A349" i="13"/>
  <c r="K347" i="13"/>
  <c r="H346" i="13"/>
  <c r="E345" i="13"/>
  <c r="B344" i="13"/>
  <c r="L342" i="13"/>
  <c r="I341" i="13"/>
  <c r="F340" i="13"/>
  <c r="C339" i="13"/>
  <c r="M337" i="13"/>
  <c r="J336" i="13"/>
  <c r="G335" i="13"/>
  <c r="D334" i="13"/>
  <c r="A333" i="13"/>
  <c r="K331" i="13"/>
  <c r="H330" i="13"/>
  <c r="E329" i="13"/>
  <c r="B328" i="13"/>
  <c r="L326" i="13"/>
  <c r="I325" i="13"/>
  <c r="F324" i="13"/>
  <c r="C323" i="13"/>
  <c r="M321" i="13"/>
  <c r="J320" i="13"/>
  <c r="G319" i="13"/>
  <c r="D318" i="13"/>
  <c r="A317" i="13"/>
  <c r="K315" i="13"/>
  <c r="H314" i="13"/>
  <c r="E313" i="13"/>
  <c r="B312" i="13"/>
  <c r="L310" i="13"/>
  <c r="I309" i="13"/>
  <c r="F308" i="13"/>
  <c r="C307" i="13"/>
  <c r="M305" i="13"/>
  <c r="J304" i="13"/>
  <c r="G303" i="13"/>
  <c r="D302" i="13"/>
  <c r="A301" i="13"/>
  <c r="K299" i="13"/>
  <c r="H298" i="13"/>
  <c r="E297" i="13"/>
  <c r="B296" i="13"/>
  <c r="L294" i="13"/>
  <c r="I293" i="13"/>
  <c r="F292" i="13"/>
  <c r="C291" i="13"/>
  <c r="M289" i="13"/>
  <c r="H288" i="13"/>
  <c r="D287" i="13"/>
  <c r="M285" i="13"/>
  <c r="H284" i="13"/>
  <c r="D283" i="13"/>
  <c r="M281" i="13"/>
  <c r="H280" i="13"/>
  <c r="D279" i="13"/>
  <c r="M277" i="13"/>
  <c r="H276" i="13"/>
  <c r="D275" i="13"/>
  <c r="M273" i="13"/>
  <c r="H272" i="13"/>
  <c r="D271" i="13"/>
  <c r="M269" i="13"/>
  <c r="H268" i="13"/>
  <c r="D267" i="13"/>
  <c r="M265" i="13"/>
  <c r="H264" i="13"/>
  <c r="D263" i="13"/>
  <c r="M261" i="13"/>
  <c r="H260" i="13"/>
  <c r="D259" i="13"/>
  <c r="M257" i="13"/>
  <c r="H256" i="13"/>
  <c r="D255" i="13"/>
  <c r="M253" i="13"/>
  <c r="H252" i="13"/>
  <c r="D251" i="13"/>
  <c r="M249" i="13"/>
  <c r="H248" i="13"/>
  <c r="D247" i="13"/>
  <c r="M245" i="13"/>
  <c r="H244" i="13"/>
  <c r="D243" i="13"/>
  <c r="M241" i="13"/>
  <c r="H240" i="13"/>
  <c r="D239" i="13"/>
  <c r="M237" i="13"/>
  <c r="H236" i="13"/>
  <c r="E235" i="13"/>
  <c r="B234" i="13"/>
  <c r="J232" i="13"/>
  <c r="F231" i="13"/>
  <c r="B230" i="13"/>
  <c r="J228" i="13"/>
  <c r="G227" i="13"/>
  <c r="D226" i="13"/>
  <c r="M224" i="13"/>
  <c r="H223" i="13"/>
  <c r="D222" i="13"/>
  <c r="M220" i="13"/>
  <c r="I219" i="13"/>
  <c r="F218" i="13"/>
  <c r="B217" i="13"/>
  <c r="J215" i="13"/>
  <c r="F214" i="13"/>
  <c r="B213" i="13"/>
  <c r="K211" i="13"/>
  <c r="H210" i="13"/>
  <c r="D209" i="13"/>
  <c r="M207" i="13"/>
  <c r="H206" i="13"/>
  <c r="D205" i="13"/>
  <c r="M203" i="13"/>
  <c r="J202" i="13"/>
  <c r="F201" i="13"/>
  <c r="B200" i="13"/>
  <c r="J198" i="13"/>
  <c r="F197" i="13"/>
  <c r="B196" i="13"/>
  <c r="L194" i="13"/>
  <c r="H193" i="13"/>
  <c r="D192" i="13"/>
  <c r="M190" i="13"/>
  <c r="H189" i="13"/>
  <c r="D188" i="13"/>
  <c r="A187" i="13"/>
  <c r="J185" i="13"/>
  <c r="F184" i="13"/>
  <c r="B183" i="13"/>
  <c r="J181" i="13"/>
  <c r="F180" i="13"/>
  <c r="C179" i="13"/>
  <c r="M177" i="13"/>
  <c r="H176" i="13"/>
  <c r="D175" i="13"/>
  <c r="M173" i="13"/>
  <c r="H172" i="13"/>
  <c r="E171" i="13"/>
  <c r="B170" i="13"/>
  <c r="J168" i="13"/>
  <c r="F167" i="13"/>
  <c r="B166" i="13"/>
  <c r="J164" i="13"/>
  <c r="F163" i="13"/>
  <c r="B162" i="13"/>
  <c r="J160" i="13"/>
  <c r="F159" i="13"/>
  <c r="B158" i="13"/>
  <c r="J156" i="13"/>
  <c r="G155" i="13"/>
  <c r="D154" i="13"/>
  <c r="M152" i="13"/>
  <c r="H151" i="13"/>
  <c r="D150" i="13"/>
  <c r="M148" i="13"/>
  <c r="H147" i="13"/>
  <c r="D146" i="13"/>
  <c r="M144" i="13"/>
  <c r="H143" i="13"/>
  <c r="D142" i="13"/>
  <c r="M140" i="13"/>
  <c r="I139" i="13"/>
  <c r="F138" i="13"/>
  <c r="B137" i="13"/>
  <c r="J135" i="13"/>
  <c r="F134" i="13"/>
  <c r="B133" i="13"/>
  <c r="J131" i="13"/>
  <c r="F130" i="13"/>
  <c r="B129" i="13"/>
  <c r="J127" i="13"/>
  <c r="F126" i="13"/>
  <c r="B125" i="13"/>
  <c r="K123" i="13"/>
  <c r="H122" i="13"/>
  <c r="D121" i="13"/>
  <c r="M119" i="13"/>
  <c r="H118" i="13"/>
  <c r="D117" i="13"/>
  <c r="M115" i="13"/>
  <c r="J114" i="13"/>
  <c r="F113" i="13"/>
  <c r="B112" i="13"/>
  <c r="J110" i="13"/>
  <c r="F109" i="13"/>
  <c r="B108" i="13"/>
  <c r="L106" i="13"/>
  <c r="H105" i="13"/>
  <c r="D104" i="13"/>
  <c r="M102" i="13"/>
  <c r="H101" i="13"/>
  <c r="D100" i="13"/>
  <c r="A99" i="13"/>
  <c r="J97" i="13"/>
  <c r="F96" i="13"/>
  <c r="B95" i="13"/>
  <c r="J93" i="13"/>
  <c r="F92" i="13"/>
  <c r="B91" i="13"/>
  <c r="J89" i="13"/>
  <c r="F88" i="13"/>
  <c r="B87" i="13"/>
  <c r="J85" i="13"/>
  <c r="F84" i="13"/>
  <c r="B83" i="13"/>
  <c r="J81" i="13"/>
  <c r="F80" i="13"/>
  <c r="B79" i="13"/>
  <c r="J77" i="13"/>
  <c r="F76" i="13"/>
  <c r="B75" i="13"/>
  <c r="K73" i="13"/>
  <c r="H72" i="13"/>
  <c r="E71" i="13"/>
  <c r="B70" i="13"/>
  <c r="L68" i="13"/>
  <c r="I67" i="13"/>
  <c r="F66" i="13"/>
  <c r="C65" i="13"/>
  <c r="M63" i="13"/>
  <c r="J62" i="13"/>
  <c r="G61" i="13"/>
  <c r="D60" i="13"/>
  <c r="A59" i="13"/>
  <c r="K57" i="13"/>
  <c r="H56" i="13"/>
  <c r="C386" i="13"/>
  <c r="L384" i="13"/>
  <c r="G383" i="13"/>
  <c r="C382" i="13"/>
  <c r="L380" i="13"/>
  <c r="G379" i="13"/>
  <c r="C378" i="13"/>
  <c r="L376" i="13"/>
  <c r="G375" i="13"/>
  <c r="C374" i="13"/>
  <c r="L372" i="13"/>
  <c r="G371" i="13"/>
  <c r="C370" i="13"/>
  <c r="L368" i="13"/>
  <c r="G367" i="13"/>
  <c r="C366" i="13"/>
  <c r="L364" i="13"/>
  <c r="G363" i="13"/>
  <c r="C362" i="13"/>
  <c r="M360" i="13"/>
  <c r="J359" i="13"/>
  <c r="G358" i="13"/>
  <c r="D357" i="13"/>
  <c r="A356" i="13"/>
  <c r="K354" i="13"/>
  <c r="H353" i="13"/>
  <c r="E352" i="13"/>
  <c r="B351" i="13"/>
  <c r="L349" i="13"/>
  <c r="I348" i="13"/>
  <c r="F347" i="13"/>
  <c r="C346" i="13"/>
  <c r="M344" i="13"/>
  <c r="J343" i="13"/>
  <c r="G342" i="13"/>
  <c r="D341" i="13"/>
  <c r="A340" i="13"/>
  <c r="K338" i="13"/>
  <c r="H337" i="13"/>
  <c r="E336" i="13"/>
  <c r="B335" i="13"/>
  <c r="L333" i="13"/>
  <c r="I332" i="13"/>
  <c r="F331" i="13"/>
  <c r="C330" i="13"/>
  <c r="M328" i="13"/>
  <c r="J327" i="13"/>
  <c r="G326" i="13"/>
  <c r="D325" i="13"/>
  <c r="A324" i="13"/>
  <c r="K322" i="13"/>
  <c r="H321" i="13"/>
  <c r="E320" i="13"/>
  <c r="B319" i="13"/>
  <c r="L317" i="13"/>
  <c r="I316" i="13"/>
  <c r="F315" i="13"/>
  <c r="C314" i="13"/>
  <c r="M312" i="13"/>
  <c r="J311" i="13"/>
  <c r="G310" i="13"/>
  <c r="D309" i="13"/>
  <c r="A308" i="13"/>
  <c r="K306" i="13"/>
  <c r="H305" i="13"/>
  <c r="E304" i="13"/>
  <c r="B303" i="13"/>
  <c r="L301" i="13"/>
  <c r="I300" i="13"/>
  <c r="F299" i="13"/>
  <c r="C298" i="13"/>
  <c r="M296" i="13"/>
  <c r="J295" i="13"/>
  <c r="G294" i="13"/>
  <c r="D293" i="13"/>
  <c r="A292" i="13"/>
  <c r="K290" i="13"/>
  <c r="G289" i="13"/>
  <c r="C288" i="13"/>
  <c r="L286" i="13"/>
  <c r="G285" i="13"/>
  <c r="C284" i="13"/>
  <c r="L282" i="13"/>
  <c r="G281" i="13"/>
  <c r="C280" i="13"/>
  <c r="L278" i="13"/>
  <c r="G277" i="13"/>
  <c r="C276" i="13"/>
  <c r="L274" i="13"/>
  <c r="G273" i="13"/>
  <c r="C272" i="13"/>
  <c r="L270" i="13"/>
  <c r="G269" i="13"/>
  <c r="C268" i="13"/>
  <c r="L266" i="13"/>
  <c r="G265" i="13"/>
  <c r="C264" i="13"/>
  <c r="L262" i="13"/>
  <c r="G261" i="13"/>
  <c r="C260" i="13"/>
  <c r="L258" i="13"/>
  <c r="G257" i="13"/>
  <c r="C256" i="13"/>
  <c r="L254" i="13"/>
  <c r="G253" i="13"/>
  <c r="C252" i="13"/>
  <c r="L250" i="13"/>
  <c r="G249" i="13"/>
  <c r="C248" i="13"/>
  <c r="L246" i="13"/>
  <c r="G245" i="13"/>
  <c r="C244" i="13"/>
  <c r="L242" i="13"/>
  <c r="G241" i="13"/>
  <c r="C240" i="13"/>
  <c r="L238" i="13"/>
  <c r="G237" i="13"/>
  <c r="C236" i="13"/>
  <c r="M234" i="13"/>
  <c r="I233" i="13"/>
  <c r="E232" i="13"/>
  <c r="A231" i="13"/>
  <c r="I229" i="13"/>
  <c r="E228" i="13"/>
  <c r="B227" i="13"/>
  <c r="L225" i="13"/>
  <c r="G224" i="13"/>
  <c r="C223" i="13"/>
  <c r="L221" i="13"/>
  <c r="G220" i="13"/>
  <c r="D219" i="13"/>
  <c r="A218" i="13"/>
  <c r="I216" i="13"/>
  <c r="E215" i="13"/>
  <c r="A214" i="13"/>
  <c r="I212" i="13"/>
  <c r="F211" i="13"/>
  <c r="C210" i="13"/>
  <c r="L208" i="13"/>
  <c r="G207" i="13"/>
  <c r="C206" i="13"/>
  <c r="L204" i="13"/>
  <c r="H203" i="13"/>
  <c r="E202" i="13"/>
  <c r="A201" i="13"/>
  <c r="I199" i="13"/>
  <c r="E198" i="13"/>
  <c r="A197" i="13"/>
  <c r="J195" i="13"/>
  <c r="G194" i="13"/>
  <c r="C193" i="13"/>
  <c r="L191" i="13"/>
  <c r="G190" i="13"/>
  <c r="C189" i="13"/>
  <c r="L187" i="13"/>
  <c r="I186" i="13"/>
  <c r="E185" i="13"/>
  <c r="A184" i="13"/>
  <c r="I182" i="13"/>
  <c r="E181" i="13"/>
  <c r="A180" i="13"/>
  <c r="K178" i="13"/>
  <c r="G177" i="13"/>
  <c r="C176" i="13"/>
  <c r="L174" i="13"/>
  <c r="G173" i="13"/>
  <c r="C172" i="13"/>
  <c r="M170" i="13"/>
  <c r="I169" i="13"/>
  <c r="E168" i="13"/>
  <c r="A167" i="13"/>
  <c r="I165" i="13"/>
  <c r="E164" i="13"/>
  <c r="A163" i="13"/>
  <c r="I161" i="13"/>
  <c r="E160" i="13"/>
  <c r="A159" i="13"/>
  <c r="I157" i="13"/>
  <c r="E156" i="13"/>
  <c r="B155" i="13"/>
  <c r="L153" i="13"/>
  <c r="G152" i="13"/>
  <c r="C151" i="13"/>
  <c r="L149" i="13"/>
  <c r="G148" i="13"/>
  <c r="C147" i="13"/>
  <c r="L145" i="13"/>
  <c r="G144" i="13"/>
  <c r="C143" i="13"/>
  <c r="L141" i="13"/>
  <c r="G140" i="13"/>
  <c r="D139" i="13"/>
  <c r="A138" i="13"/>
  <c r="I136" i="13"/>
  <c r="E135" i="13"/>
  <c r="A134" i="13"/>
  <c r="I132" i="13"/>
  <c r="E131" i="13"/>
  <c r="A130" i="13"/>
  <c r="I128" i="13"/>
  <c r="E127" i="13"/>
  <c r="A126" i="13"/>
  <c r="I124" i="13"/>
  <c r="F123" i="13"/>
  <c r="C122" i="13"/>
  <c r="L120" i="13"/>
  <c r="G119" i="13"/>
  <c r="C118" i="13"/>
  <c r="L116" i="13"/>
  <c r="H115" i="13"/>
  <c r="E114" i="13"/>
  <c r="A113" i="13"/>
  <c r="I111" i="13"/>
  <c r="E110" i="13"/>
  <c r="A109" i="13"/>
  <c r="J107" i="13"/>
  <c r="G106" i="13"/>
  <c r="C105" i="13"/>
  <c r="L103" i="13"/>
  <c r="G102" i="13"/>
  <c r="C101" i="13"/>
  <c r="L99" i="13"/>
  <c r="I98" i="13"/>
  <c r="E97" i="13"/>
  <c r="A96" i="13"/>
  <c r="I94" i="13"/>
  <c r="E93" i="13"/>
  <c r="A92" i="13"/>
  <c r="I90" i="13"/>
  <c r="E89" i="13"/>
  <c r="A88" i="13"/>
  <c r="I86" i="13"/>
  <c r="E85" i="13"/>
  <c r="A84" i="13"/>
  <c r="I82" i="13"/>
  <c r="E81" i="13"/>
  <c r="A80" i="13"/>
  <c r="I78" i="13"/>
  <c r="E77" i="13"/>
  <c r="A76" i="13"/>
  <c r="I74" i="13"/>
  <c r="F73" i="13"/>
  <c r="C72" i="13"/>
  <c r="M70" i="13"/>
  <c r="J69" i="13"/>
  <c r="G68" i="13"/>
  <c r="D67" i="13"/>
  <c r="A66" i="13"/>
  <c r="K64" i="13"/>
  <c r="H63" i="13"/>
  <c r="E62" i="13"/>
  <c r="B61" i="13"/>
  <c r="L59" i="13"/>
  <c r="I58" i="13"/>
  <c r="F57" i="13"/>
  <c r="C56" i="13"/>
  <c r="A55" i="13"/>
  <c r="K53" i="13"/>
  <c r="H52" i="13"/>
  <c r="E51" i="13"/>
  <c r="B50" i="13"/>
  <c r="L48" i="13"/>
  <c r="I47" i="13"/>
  <c r="F46" i="13"/>
  <c r="C45" i="13"/>
  <c r="M43" i="13"/>
  <c r="J42" i="13"/>
  <c r="G41" i="13"/>
  <c r="D40" i="13"/>
  <c r="A39" i="13"/>
  <c r="K37" i="13"/>
  <c r="H36" i="13"/>
  <c r="E35" i="13"/>
  <c r="B34" i="13"/>
  <c r="L32" i="13"/>
  <c r="I31" i="13"/>
  <c r="F30" i="13"/>
  <c r="C29" i="13"/>
  <c r="M27" i="13"/>
  <c r="J26" i="13"/>
  <c r="G25" i="13"/>
  <c r="D24" i="13"/>
  <c r="A23" i="13"/>
  <c r="K21" i="13"/>
  <c r="H20" i="13"/>
  <c r="E19" i="13"/>
  <c r="B18" i="13"/>
  <c r="L16" i="13"/>
  <c r="I15" i="13"/>
  <c r="F14" i="13"/>
  <c r="C13" i="13"/>
  <c r="M11" i="13"/>
  <c r="J10" i="13"/>
  <c r="G9" i="13"/>
  <c r="D8" i="13"/>
  <c r="A7" i="13"/>
  <c r="K5" i="13"/>
  <c r="H4" i="13"/>
  <c r="E3" i="13"/>
  <c r="B2" i="13"/>
  <c r="E12" i="9"/>
  <c r="E10" i="9"/>
  <c r="E8" i="9"/>
  <c r="E6" i="9"/>
  <c r="E4" i="9"/>
  <c r="E2" i="9"/>
  <c r="O1" i="9"/>
  <c r="AC60" i="7"/>
  <c r="W59" i="7"/>
  <c r="U58" i="7"/>
  <c r="AC56" i="7"/>
  <c r="Z55" i="7"/>
  <c r="S54" i="7"/>
  <c r="AC52" i="7"/>
  <c r="W51" i="7"/>
  <c r="U50" i="7"/>
  <c r="AA48" i="7"/>
  <c r="Y47" i="7"/>
  <c r="S46" i="7"/>
  <c r="AD44" i="7"/>
  <c r="X43" i="7"/>
  <c r="U42" i="7"/>
  <c r="AA40" i="7"/>
  <c r="Y39" i="7"/>
  <c r="S38" i="7"/>
  <c r="AD36" i="7"/>
  <c r="D29" i="4"/>
  <c r="A27" i="4"/>
  <c r="A25" i="4"/>
  <c r="A23" i="4"/>
  <c r="D21" i="4"/>
  <c r="A19" i="4"/>
  <c r="B17" i="4"/>
  <c r="C15" i="4"/>
  <c r="A13" i="4"/>
  <c r="A11" i="4"/>
  <c r="A9" i="4"/>
  <c r="A7" i="4"/>
  <c r="A5" i="4"/>
  <c r="F1" i="4"/>
  <c r="D55" i="13"/>
  <c r="A54" i="13"/>
  <c r="K52" i="13"/>
  <c r="H51" i="13"/>
  <c r="E50" i="13"/>
  <c r="B49" i="13"/>
  <c r="L47" i="13"/>
  <c r="I46" i="13"/>
  <c r="F45" i="13"/>
  <c r="C44" i="13"/>
  <c r="M42" i="13"/>
  <c r="J41" i="13"/>
  <c r="G40" i="13"/>
  <c r="D39" i="13"/>
  <c r="A38" i="13"/>
  <c r="K36" i="13"/>
  <c r="H35" i="13"/>
  <c r="E34" i="13"/>
  <c r="B33" i="13"/>
  <c r="L31" i="13"/>
  <c r="I30" i="13"/>
  <c r="F29" i="13"/>
  <c r="C28" i="13"/>
  <c r="M26" i="13"/>
  <c r="J25" i="13"/>
  <c r="G24" i="13"/>
  <c r="D23" i="13"/>
  <c r="A22" i="13"/>
  <c r="K20" i="13"/>
  <c r="H19" i="13"/>
  <c r="E18" i="13"/>
  <c r="B17" i="13"/>
  <c r="L15" i="13"/>
  <c r="I14" i="13"/>
  <c r="F13" i="13"/>
  <c r="C12" i="13"/>
  <c r="M10" i="13"/>
  <c r="J9" i="13"/>
  <c r="G8" i="13"/>
  <c r="D7" i="13"/>
  <c r="A6" i="13"/>
  <c r="K4" i="13"/>
  <c r="H3" i="13"/>
  <c r="E2" i="13"/>
  <c r="B1" i="13"/>
  <c r="D11" i="9"/>
  <c r="D9" i="9"/>
  <c r="D7" i="9"/>
  <c r="D5" i="9"/>
  <c r="D3" i="9"/>
  <c r="V1" i="9"/>
  <c r="F1" i="9"/>
  <c r="T60" i="7"/>
  <c r="AB58" i="7"/>
  <c r="Z57" i="7"/>
  <c r="T56" i="7"/>
  <c r="AD54" i="7"/>
  <c r="W53" i="7"/>
  <c r="T52" i="7"/>
  <c r="AB50" i="7"/>
  <c r="Y49" i="7"/>
  <c r="V48" i="7"/>
  <c r="AD46" i="7"/>
  <c r="W45" i="7"/>
  <c r="U44" i="7"/>
  <c r="AB42" i="7"/>
  <c r="Y41" i="7"/>
  <c r="V40" i="7"/>
  <c r="AD38" i="7"/>
  <c r="W37" i="7"/>
  <c r="U36" i="7"/>
  <c r="B28" i="4"/>
  <c r="B26" i="4"/>
  <c r="B24" i="4"/>
  <c r="A22" i="4"/>
  <c r="A20" i="4"/>
  <c r="C18" i="4"/>
  <c r="D16" i="4"/>
  <c r="D14" i="4"/>
  <c r="B12" i="4"/>
  <c r="B10" i="4"/>
  <c r="B8" i="4"/>
  <c r="B6" i="4"/>
  <c r="B3" i="4"/>
  <c r="A1" i="4"/>
  <c r="L54" i="13"/>
  <c r="I53" i="13"/>
  <c r="F52" i="13"/>
  <c r="C51" i="13"/>
  <c r="M49" i="13"/>
  <c r="J48" i="13"/>
  <c r="G47" i="13"/>
  <c r="D46" i="13"/>
  <c r="A45" i="13"/>
  <c r="K43" i="13"/>
  <c r="H42" i="13"/>
  <c r="E41" i="13"/>
  <c r="B40" i="13"/>
  <c r="L38" i="13"/>
  <c r="I37" i="13"/>
  <c r="F36" i="13"/>
  <c r="C35" i="13"/>
  <c r="M33" i="13"/>
  <c r="J32" i="13"/>
  <c r="G31" i="13"/>
  <c r="D30" i="13"/>
  <c r="A29" i="13"/>
  <c r="K27" i="13"/>
  <c r="H26" i="13"/>
  <c r="E25" i="13"/>
  <c r="B24" i="13"/>
  <c r="L22" i="13"/>
  <c r="I21" i="13"/>
  <c r="F20" i="13"/>
  <c r="C19" i="13"/>
  <c r="M17" i="13"/>
  <c r="J16" i="13"/>
  <c r="G15" i="13"/>
  <c r="D14" i="13"/>
  <c r="A13" i="13"/>
  <c r="K11" i="13"/>
  <c r="H10" i="13"/>
  <c r="E9" i="13"/>
  <c r="B8" i="13"/>
  <c r="L6" i="13"/>
  <c r="I5" i="13"/>
  <c r="F4" i="13"/>
  <c r="C3" i="13"/>
  <c r="M1" i="13"/>
  <c r="G12" i="9"/>
  <c r="G10" i="9"/>
  <c r="G8" i="9"/>
  <c r="G6" i="9"/>
  <c r="G4" i="9"/>
  <c r="G2" i="9"/>
  <c r="Q1" i="9"/>
  <c r="A1" i="9"/>
  <c r="AC59" i="7"/>
  <c r="W58" i="7"/>
  <c r="U57" i="7"/>
  <c r="AB55" i="7"/>
  <c r="Y54" i="7"/>
  <c r="V53" i="7"/>
  <c r="AC51" i="7"/>
  <c r="W50" i="7"/>
  <c r="T49" i="7"/>
  <c r="AA47" i="7"/>
  <c r="Y46" i="7"/>
  <c r="V45" i="7"/>
  <c r="AD43" i="7"/>
  <c r="W42" i="7"/>
  <c r="T41" i="7"/>
  <c r="AA39" i="7"/>
  <c r="Y38" i="7"/>
  <c r="V37" i="7"/>
  <c r="F29" i="4"/>
  <c r="G27" i="4"/>
  <c r="G25" i="4"/>
  <c r="G23" i="4"/>
  <c r="B21" i="4"/>
  <c r="C19" i="4"/>
  <c r="D17" i="4"/>
  <c r="A15" i="4"/>
  <c r="C13" i="4"/>
  <c r="C11" i="4"/>
  <c r="C9" i="4"/>
  <c r="C7" i="4"/>
  <c r="C5" i="4"/>
  <c r="G2" i="4"/>
  <c r="F55" i="13"/>
  <c r="C54" i="13"/>
  <c r="M52" i="13"/>
  <c r="J51" i="13"/>
  <c r="G50" i="13"/>
  <c r="D49" i="13"/>
  <c r="A48" i="13"/>
  <c r="K46" i="13"/>
  <c r="H45" i="13"/>
  <c r="E44" i="13"/>
  <c r="B43" i="13"/>
  <c r="L41" i="13"/>
  <c r="I40" i="13"/>
  <c r="F39" i="13"/>
  <c r="C38" i="13"/>
  <c r="M36" i="13"/>
  <c r="J35" i="13"/>
  <c r="G34" i="13"/>
  <c r="D33" i="13"/>
  <c r="A32" i="13"/>
  <c r="K30" i="13"/>
  <c r="H29" i="13"/>
  <c r="E28" i="13"/>
  <c r="B27" i="13"/>
  <c r="L25" i="13"/>
  <c r="I24" i="13"/>
  <c r="F23" i="13"/>
  <c r="C22" i="13"/>
  <c r="M20" i="13"/>
  <c r="J19" i="13"/>
  <c r="G18" i="13"/>
  <c r="D17" i="13"/>
  <c r="A16" i="13"/>
  <c r="K14" i="13"/>
  <c r="H13" i="13"/>
  <c r="E12" i="13"/>
  <c r="B11" i="13"/>
  <c r="L9" i="13"/>
  <c r="I8" i="13"/>
  <c r="F7" i="13"/>
  <c r="C14" i="13"/>
  <c r="H9" i="13"/>
  <c r="B7" i="13"/>
  <c r="L5" i="13"/>
  <c r="I4" i="13"/>
  <c r="F3" i="13"/>
  <c r="C2" i="13"/>
  <c r="F12" i="9"/>
  <c r="F10" i="9"/>
  <c r="F8" i="9"/>
  <c r="F6" i="9"/>
  <c r="F4" i="9"/>
  <c r="F2" i="9"/>
  <c r="P1" i="9"/>
  <c r="AD60" i="7"/>
  <c r="X59" i="7"/>
  <c r="V58" i="7"/>
  <c r="AD56" i="7"/>
  <c r="W55" i="7"/>
  <c r="T54" i="7"/>
  <c r="AD52" i="7"/>
  <c r="X51" i="7"/>
  <c r="V50" i="7"/>
  <c r="AB48" i="7"/>
  <c r="Z47" i="7"/>
  <c r="T46" i="7"/>
  <c r="AA44" i="7"/>
  <c r="Y43" i="7"/>
  <c r="V42" i="7"/>
  <c r="AB40" i="7"/>
  <c r="Z39" i="7"/>
  <c r="T38" i="7"/>
  <c r="AA36" i="7"/>
  <c r="A29" i="4"/>
  <c r="B27" i="4"/>
  <c r="B25" i="4"/>
  <c r="B23" i="4"/>
  <c r="A21" i="4"/>
  <c r="B19" i="4"/>
  <c r="C17" i="4"/>
  <c r="D15" i="4"/>
  <c r="B13" i="4"/>
  <c r="B11" i="4"/>
  <c r="B9" i="4"/>
  <c r="B7" i="4"/>
  <c r="B5" i="4"/>
  <c r="C2" i="4"/>
  <c r="G1" i="4"/>
  <c r="G3" i="4"/>
  <c r="M12" i="13"/>
  <c r="D9" i="13"/>
  <c r="K6" i="13"/>
  <c r="H5" i="13"/>
  <c r="E4" i="13"/>
  <c r="B3" i="13"/>
  <c r="L1" i="13"/>
  <c r="B12" i="9"/>
  <c r="B10" i="9"/>
  <c r="B8" i="9"/>
  <c r="B6" i="9"/>
  <c r="B4" i="9"/>
  <c r="B2" i="9"/>
  <c r="L1" i="9"/>
  <c r="Z60" i="7"/>
  <c r="T59" i="7"/>
  <c r="AB57" i="7"/>
  <c r="Z56" i="7"/>
  <c r="S55" i="7"/>
  <c r="AC53" i="7"/>
  <c r="Z52" i="7"/>
  <c r="T51" i="7"/>
  <c r="AA49" i="7"/>
  <c r="X48" i="7"/>
  <c r="V47" i="7"/>
  <c r="AC45" i="7"/>
  <c r="W44" i="7"/>
  <c r="U43" i="7"/>
  <c r="AA41" i="7"/>
  <c r="X40" i="7"/>
  <c r="V39" i="7"/>
  <c r="AC37" i="7"/>
  <c r="W36" i="7"/>
  <c r="H28" i="4"/>
  <c r="H26" i="4"/>
  <c r="H24" i="4"/>
  <c r="H22" i="4"/>
  <c r="G20" i="4"/>
  <c r="E18" i="4"/>
  <c r="F16" i="4"/>
  <c r="F14" i="4"/>
  <c r="H12" i="4"/>
  <c r="H10" i="4"/>
  <c r="H8" i="4"/>
  <c r="H6" i="4"/>
  <c r="H4" i="4"/>
  <c r="C1" i="4"/>
  <c r="J11" i="13"/>
  <c r="E8" i="13"/>
  <c r="G6" i="13"/>
  <c r="D5" i="13"/>
  <c r="A4" i="13"/>
  <c r="K2" i="13"/>
  <c r="H1" i="13"/>
  <c r="F11" i="9"/>
  <c r="F9" i="9"/>
  <c r="F7" i="9"/>
  <c r="F5" i="9"/>
  <c r="F3" i="9"/>
  <c r="X1" i="9"/>
  <c r="H1" i="9"/>
  <c r="V60" i="7"/>
  <c r="AD58" i="7"/>
  <c r="X57" i="7"/>
  <c r="V56" i="7"/>
  <c r="AB54" i="7"/>
  <c r="Y53" i="7"/>
  <c r="V52" i="7"/>
  <c r="AD50" i="7"/>
  <c r="W49" i="7"/>
  <c r="T48" i="7"/>
  <c r="AB46" i="7"/>
  <c r="Y45" i="7"/>
  <c r="S44" i="7"/>
  <c r="AD42" i="7"/>
  <c r="W41" i="7"/>
  <c r="T40" i="7"/>
  <c r="AB38" i="7"/>
  <c r="Y37" i="7"/>
  <c r="S36" i="7"/>
  <c r="D28" i="4"/>
  <c r="D26" i="4"/>
  <c r="D24" i="4"/>
  <c r="C22" i="4"/>
  <c r="C20" i="4"/>
  <c r="A18" i="4"/>
  <c r="B16" i="4"/>
  <c r="B14" i="4"/>
  <c r="D12" i="4"/>
  <c r="D10" i="4"/>
  <c r="D8" i="4"/>
  <c r="D6" i="4"/>
  <c r="A4" i="4"/>
  <c r="G10" i="13"/>
  <c r="A8" i="13"/>
  <c r="C6" i="13"/>
  <c r="M4" i="13"/>
  <c r="J3" i="13"/>
  <c r="G2" i="13"/>
  <c r="D1" i="13"/>
  <c r="B11" i="9"/>
  <c r="B9" i="9"/>
  <c r="B7" i="9"/>
  <c r="B5" i="9"/>
  <c r="B3" i="9"/>
  <c r="T1" i="9"/>
  <c r="D1" i="9"/>
  <c r="AB59" i="7"/>
  <c r="Z58" i="7"/>
  <c r="T57" i="7"/>
  <c r="AA55" i="7"/>
  <c r="X54" i="7"/>
  <c r="U53" i="7"/>
  <c r="AB51" i="7"/>
  <c r="Z50" i="7"/>
  <c r="S49" i="7"/>
  <c r="AD47" i="7"/>
  <c r="X46" i="7"/>
  <c r="U45" i="7"/>
  <c r="AC43" i="7"/>
  <c r="Z42" i="7"/>
  <c r="S41" i="7"/>
  <c r="AD39" i="7"/>
  <c r="X38" i="7"/>
  <c r="U37" i="7"/>
  <c r="E29" i="4"/>
  <c r="F27" i="4"/>
  <c r="F25" i="4"/>
  <c r="F23" i="4"/>
  <c r="E21" i="4"/>
  <c r="F19" i="4"/>
  <c r="G17" i="4"/>
  <c r="H15" i="4"/>
  <c r="F13" i="4"/>
  <c r="F11" i="4"/>
  <c r="F9" i="4"/>
  <c r="F7" i="4"/>
  <c r="F5" i="4"/>
  <c r="AE41" i="7" l="1"/>
  <c r="AE49" i="7"/>
  <c r="I6" i="4"/>
  <c r="J6" i="4" s="1"/>
  <c r="I8" i="4"/>
  <c r="J8" i="4" s="1"/>
  <c r="I10" i="4"/>
  <c r="J10" i="4" s="1"/>
  <c r="I12" i="4"/>
  <c r="J12" i="4" s="1"/>
  <c r="I24" i="4"/>
  <c r="J24" i="4" s="1"/>
  <c r="I26" i="4"/>
  <c r="J26" i="4" s="1"/>
  <c r="I28" i="4"/>
  <c r="AE36" i="7"/>
  <c r="AF36" i="7" s="1"/>
  <c r="AE44" i="7"/>
  <c r="AF44" i="7" s="1"/>
  <c r="J4" i="4"/>
  <c r="AE55" i="7"/>
  <c r="I15" i="4"/>
  <c r="J15" i="4" s="1"/>
  <c r="I17" i="4"/>
  <c r="J17" i="4" s="1"/>
  <c r="I14" i="4"/>
  <c r="J14" i="4" s="1"/>
  <c r="I16" i="4"/>
  <c r="I21" i="4"/>
  <c r="J21" i="4" s="1"/>
  <c r="I29" i="4"/>
  <c r="J29" i="4" s="1"/>
  <c r="AE38" i="7"/>
  <c r="AF38" i="7" s="1"/>
  <c r="AE46" i="7"/>
  <c r="AF46" i="7" s="1"/>
  <c r="AE54" i="7"/>
  <c r="AE52" i="7"/>
  <c r="AE56" i="7"/>
  <c r="AF56" i="7" s="1"/>
  <c r="AE60" i="7"/>
  <c r="AF60" i="7" s="1"/>
  <c r="AE43" i="7"/>
  <c r="AF43" i="7" s="1"/>
  <c r="AE57" i="7"/>
  <c r="AF57" i="7" s="1"/>
  <c r="J3" i="4"/>
  <c r="I20" i="4"/>
  <c r="J20" i="4" s="1"/>
  <c r="I22" i="4"/>
  <c r="J22" i="4" s="1"/>
  <c r="AE39" i="7"/>
  <c r="AF39" i="7" s="1"/>
  <c r="AE47" i="7"/>
  <c r="AF47" i="7" s="1"/>
  <c r="I5" i="4"/>
  <c r="J5" i="4" s="1"/>
  <c r="I7" i="4"/>
  <c r="J7" i="4" s="1"/>
  <c r="I9" i="4"/>
  <c r="J9" i="4" s="1"/>
  <c r="I11" i="4"/>
  <c r="J11" i="4" s="1"/>
  <c r="I13" i="4"/>
  <c r="I19" i="4"/>
  <c r="I23" i="4"/>
  <c r="J23" i="4" s="1"/>
  <c r="I25" i="4"/>
  <c r="J25" i="4" s="1"/>
  <c r="I27" i="4"/>
  <c r="J27" i="4" s="1"/>
  <c r="I18" i="4"/>
  <c r="AE40" i="7"/>
  <c r="AE48" i="7"/>
  <c r="AE42" i="7"/>
  <c r="AE50" i="7"/>
  <c r="AF50" i="7" s="1"/>
  <c r="AE58" i="7"/>
  <c r="AF58" i="7" s="1"/>
  <c r="J2" i="4"/>
  <c r="AE37" i="7"/>
  <c r="AE45" i="7"/>
  <c r="AE53" i="7"/>
  <c r="AE51" i="7"/>
  <c r="AF51" i="7" s="1"/>
  <c r="AE59" i="7"/>
  <c r="AF59" i="7" s="1"/>
  <c r="L13" i="4" l="1"/>
  <c r="K13" i="4"/>
  <c r="J13" i="4"/>
  <c r="L16" i="4"/>
  <c r="K16" i="4"/>
  <c r="K28" i="4"/>
  <c r="L28" i="4"/>
  <c r="L18" i="4"/>
  <c r="K18" i="4"/>
  <c r="K19" i="4"/>
  <c r="L19" i="4"/>
</calcChain>
</file>

<file path=xl/sharedStrings.xml><?xml version="1.0" encoding="utf-8"?>
<sst xmlns="http://schemas.openxmlformats.org/spreadsheetml/2006/main" count="2190" uniqueCount="410">
  <si>
    <t>Formato de Matriz de Indicadores de Resultados</t>
  </si>
  <si>
    <t>Ejercicio Fiscal 2023</t>
  </si>
  <si>
    <t>Programas Presupuestarios</t>
  </si>
  <si>
    <t>MUNICIPIO</t>
  </si>
  <si>
    <t>GUADALAJARA</t>
  </si>
  <si>
    <t>DENOMINACIÓN DEL PROGRAMA</t>
  </si>
  <si>
    <t>1. Inclusión, Discapacidad, Adultos Mayores y Grupos Vulnerables</t>
  </si>
  <si>
    <t></t>
  </si>
  <si>
    <t>CATEGORÍA PROGRAMÁTICA</t>
  </si>
  <si>
    <t>E. Prestación de Servicios Públicos.</t>
  </si>
  <si>
    <t>UNIDAD RESPONSABLE/OPD</t>
  </si>
  <si>
    <t xml:space="preserve">Jefatura de Gabinete </t>
  </si>
  <si>
    <t xml:space="preserve">OPD  de la Administración Pública Municipal denominado Sistema DIF Guadalajara 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</si>
  <si>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</si>
  <si>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</si>
  <si>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</si>
  <si>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</si>
  <si>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</si>
  <si>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</si>
  <si>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</si>
  <si>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</si>
  <si>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</si>
  <si>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</si>
  <si>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</si>
  <si>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</si>
  <si>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</si>
  <si>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Eje de Desarrollo Social</t>
  </si>
  <si>
    <t>ALINEACIÓN CON OBJETIVOS DE RESULTADO DEL PED</t>
  </si>
  <si>
    <t>2.4 Grupos prioritarios</t>
  </si>
  <si>
    <t>PLAN MUNICIPAL DE DESARROLLO</t>
  </si>
  <si>
    <t>ALINEACIÓN CON LOS EJES DEL PMDyG</t>
  </si>
  <si>
    <t>Guadalajara Próspera e Incluyente</t>
  </si>
  <si>
    <t>ALINEACIÓN CON OBJETIVOS DEL PMDyG</t>
  </si>
  <si>
    <t>O2. Ejecutar programas sociales estratégicos que impulsen la innovación social responsable e incluyente, para garantizar un crecimiento equitativos, equilibrado y sostenible.</t>
  </si>
  <si>
    <t xml:space="preserve">ESTRATEGIA </t>
  </si>
  <si>
    <t>E2.4 Cohesión del tejido social y E2.5 Generación de condiciones para la impartición de asistencia social que propicie la restitución de derechos a las personas vulnerables.</t>
  </si>
  <si>
    <t>LINEA DE ACCIÓN</t>
  </si>
  <si>
    <t>Promover entornos sociales saludables y libres de violencia por medio de servicios asistenciales y a bajo costo para disminuir los riesgos psicosociales.</t>
  </si>
  <si>
    <t xml:space="preserve">EJES ESTRATÉGICOS DEL SISTEMA DIF GUADALAJARA </t>
  </si>
  <si>
    <t xml:space="preserve">Guadalajara en Paz </t>
  </si>
  <si>
    <t>IMPORTE</t>
  </si>
  <si>
    <t>Mes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</si>
  <si>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</si>
  <si>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</si>
  <si>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</si>
  <si>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</si>
  <si>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</si>
  <si>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</si>
  <si>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</si>
  <si>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</si>
  <si>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</si>
  <si>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</si>
  <si>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</si>
  <si>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</si>
  <si>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LINEA BASE</t>
  </si>
  <si>
    <t>META PROGRAMADA</t>
  </si>
  <si>
    <t>META ALCANZADA</t>
  </si>
  <si>
    <t>FUENTES DE INFORMACIÓN Y MEDIOS DE VERIFICACIÓN</t>
  </si>
  <si>
    <t>SUPUESTOS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</si>
  <si>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</si>
  <si>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</si>
  <si>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</si>
  <si>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</si>
  <si>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</si>
  <si>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</si>
  <si>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</si>
  <si>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</si>
  <si>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</si>
  <si>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</si>
  <si>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</si>
  <si>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</si>
  <si>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Acumulado</t>
  </si>
  <si>
    <t>Meta alcanzada</t>
  </si>
  <si>
    <t>FIN/PROPÓSITO SUMA</t>
  </si>
  <si>
    <t>FIN</t>
  </si>
  <si>
    <t xml:space="preserve">Contribuir a la restitución de derechos a personas y grupos en condición de vulnerabilidad, mediante servicios de salud, nutrición, psicológicos, de habilidades para el trabajo, educación y atención y prevención a las violencias en Guadalajara en el 2023. </t>
  </si>
  <si>
    <t>Porcentaje  de personas que asisten a servicios de salud, nutrición, psicológicos, de habilidades para el trabajo, educación y atención y prevención a las violencias en Guadalajara durante el 2023</t>
  </si>
  <si>
    <t>Mide el porcentaje  de personas que asisten a servicios de salud, nutrición, psicológicos, de habilidades para el trabajo, educación y atención y prevención a las violencias respecto de la meta planteada para el 2023</t>
  </si>
  <si>
    <t xml:space="preserve">Eficacia </t>
  </si>
  <si>
    <t>Estratégico</t>
  </si>
  <si>
    <t>Número de personas atendidas en los servicios de salud, nutrición, psicológicos, de habilidades para el trabajo, educación y atención y prevención a las violencias durante el 2023/ número meta de personas por atender para el 2023*100</t>
  </si>
  <si>
    <t>Número de personas atendidas en los servicios de salud, nutrición, psicológicos, de habilidades para el trabajo, educación y atención y prevención a las violencias durante el 2023</t>
  </si>
  <si>
    <t xml:space="preserve"> Número meta de personas por atender en el 2023</t>
  </si>
  <si>
    <t>Anual</t>
  </si>
  <si>
    <t xml:space="preserve">Porcentaje </t>
  </si>
  <si>
    <t>No disponible</t>
  </si>
  <si>
    <t>V1: Expedientes
V2: Listas de asistencia
V3: Padrón de beneficiarios</t>
  </si>
  <si>
    <t>Existe una colaboración activa y comprometida de la sociedad civil y de organizaciones no gubernamentales que trabajen en la atención y prevención de la violencia, así como en la promoción de la salud y la educación. Además, hay un entorno económico y social estable que permita la inversión en programas y servicios para la población vulnerable.</t>
  </si>
  <si>
    <t>PROPÓSITO</t>
  </si>
  <si>
    <t>La población de Guadalajara accede a servicios asistenciales y a bajo costo para disminuir los riesgos psicosociales a través de los programas del eje de Guadalajara en Paz del Sistema DIF Guadalajara en el 2023</t>
  </si>
  <si>
    <t>Porcentaje de servicios brindados a grupos en condición de vulnerabilidad en los programas de salud, nutrición, psicológicos, de habilidades para el trabajo, educación y atención y prevención a las violencias que oferta el Sistema DIF Guadalajara durante el 2023</t>
  </si>
  <si>
    <t>Mide el porcentaje de servicios brindados a grupos en condición de vulnerabilidad en los programas de salud, nutrición, psicológicos, de habilidades para el trabajo, educación y atención y prevención a las violencias que oferta el Sistema DIF Guadalajara, durante el 2023</t>
  </si>
  <si>
    <t>Eficiencia</t>
  </si>
  <si>
    <t>Número total de servicios brindados a grupos en condición de vulnerabilidad en los programas del eje Guadalajara en Paz durante el 2023/ Número de servicios a grupos en condición de vulnerabilidad de los programas del eje Guadalajara en Paz programados para el 2023*100</t>
  </si>
  <si>
    <t>Número total de servicios brindados a grupos en condición de vulnerabilidad en los programas del eje Guadalajara en Paz durante el 2023</t>
  </si>
  <si>
    <t>Número de servicios a grupos en condición de vulnerabilidad de los programas del eje Guadalajara en Paz programados para el 2023</t>
  </si>
  <si>
    <t>V1:Expedientes
V2:Bitácora</t>
  </si>
  <si>
    <t>La población tiene acceso a información clara y precisa sobre los programas para que puedan aprovecharlos al máximo.</t>
  </si>
  <si>
    <t>25. Grupos vulnerables</t>
  </si>
  <si>
    <t>COMPONENTE 1</t>
  </si>
  <si>
    <t>C1. Servicios de reconstrucción del tejido social brindados en los Centros de Desarrollo Comunitario a grupos en condición de vulnerabilidad en 2023</t>
  </si>
  <si>
    <t>Porcentaje de programas en los CDC que cumplieron una meta superior al 90% durante 2023</t>
  </si>
  <si>
    <t>Mide el porcentaje de los programas que operan en los Centros de Desarrollo Comunitario y que alcanzaron al menos el 90% durante 2023</t>
  </si>
  <si>
    <t>Eficacia</t>
  </si>
  <si>
    <t>Programas de apoyos asistenciales, servicios médicos, alimentos entregados, servicios odontológicos, psicológicos, estudios de laboratorio, raciones en comedores, talleres, grupos de preescolar, que alcanzaron una meta superior al 90%/  Programas que se espera que tengan una meta superior al 90%</t>
  </si>
  <si>
    <t>Programas en CDC de apoyos asistenciales, servicios médicos, alimentos entregados, servicios ondotológicos, psicológicos, estudios de laboratorio, raciones en comedores, talleres, grupos de preescolar, que alcanzaron una meta superior al 90%</t>
  </si>
  <si>
    <t>Programas que se espera que tengan una meta superior al 90% (9)</t>
  </si>
  <si>
    <t>Mensual</t>
  </si>
  <si>
    <t>Porcentaje</t>
  </si>
  <si>
    <t>Hay un vínculo entre la sociedad tapatía y las instituciones públicas,de tal forma que la población en situación de vulnerabilidad tienen fácil acceso a los servicios otorgados en los CDC.</t>
  </si>
  <si>
    <t>ACTIVIDAD 1.1</t>
  </si>
  <si>
    <t>Apoyos asistenciales entregados a la población vulnerable que radica en la municipalidad de Guadalajara y en tránsito en el programa de Trabajo Social Asistencial durante el 2023</t>
  </si>
  <si>
    <t>Apoyos asistenciales entregados en 2023</t>
  </si>
  <si>
    <t>Mide el porcentaje de apoyos asistenciales entregados en 2023</t>
  </si>
  <si>
    <t>Gestión</t>
  </si>
  <si>
    <t>Apoyos asistenciales entregados durante el 2023/ apoyos asistenciales establecidos como meta para el 2023*100</t>
  </si>
  <si>
    <t>Apoyos asistenciales entregados durante el 2023</t>
  </si>
  <si>
    <t>Apoyos asistenciales establecidos como meta para el 2023</t>
  </si>
  <si>
    <t>Padrón de beneficiarios</t>
  </si>
  <si>
    <t>Se mantienen las condiciones de seguridad y estabilidad en el municipio que garantiza que los beneficiarios pueden recibir los apoyos sin riesgos para su integridad física o emocional.</t>
  </si>
  <si>
    <t>ACTIVIDAD 1.2</t>
  </si>
  <si>
    <t>Expedientes integrados para la atención a la población vulnerable de Guadalajara durante el 2023</t>
  </si>
  <si>
    <t>Porcentaje de expedientes completos para la atención a las necesidades a la población vulnerable en 2023</t>
  </si>
  <si>
    <t>Mide el porcentaje de expedientes completos para la atención a las necesidades de la población vulnerable en 2023</t>
  </si>
  <si>
    <t>Expedientes integrados de manera completa en 2023/ expedientes establecidos como meta*100</t>
  </si>
  <si>
    <t>Expedientes integrados de manera completa en 2023</t>
  </si>
  <si>
    <t>Expedientes establecidos como meta</t>
  </si>
  <si>
    <t>Expedientes de trabajo social</t>
  </si>
  <si>
    <t>Existe una colaboración activa y comprometida de la sociedad civil y de la institución pública que permite la integración de los expedientes.</t>
  </si>
  <si>
    <t>FIN/PROPÓSITO</t>
  </si>
  <si>
    <t>ACTIVIDAD 1.3</t>
  </si>
  <si>
    <t>Servicios médicos de atención y prevención de primer nivel brindados, durante el 2023</t>
  </si>
  <si>
    <t>Porcentaje de atención a la población que requiere los servicios de atención médica de primer nivel ofrecidos por el Sistema DIF Guadalajara, en 2023</t>
  </si>
  <si>
    <t>Mide el porcentaje de atención a la población que requiere los servicios de atención médica de primer nivel ofrecidos por el Sistema DIF Guadalajara, en 2023</t>
  </si>
  <si>
    <t>Número de personas atendidas por los servicios de atención médica de primer nivel durante el 2023/ número de personas programadas para servicios de atención médica  de primer nivel para el 2023 *100</t>
  </si>
  <si>
    <t>Número de personas atendidas por los servicios de atención médica de primer nivel durante el 2023</t>
  </si>
  <si>
    <t xml:space="preserve">Número de personas programadas para servicios de atención médica  de primer nivel para el 2023 </t>
  </si>
  <si>
    <t>V1:Expedientes 
V2:bitácora de registro</t>
  </si>
  <si>
    <t xml:space="preserve">La población tiene conciencia sobre la importancia de la atención médica preventiva. </t>
  </si>
  <si>
    <t>ACTIVIDAD 1.4</t>
  </si>
  <si>
    <t>Alimentos nutritivos e inocuos entregados a la población con inseguridad alimentaria en el municipio de Guadalajara, durante el 2023</t>
  </si>
  <si>
    <t>Porcentaje de personas con inseguridad alimentaria que es atendida por el programa de  Atención Alimentaria, en 2023</t>
  </si>
  <si>
    <t>Mide el porcentaje de personas con inseguridad alimentaria que es atendida por el programa de  Atención alimentaria, en 2023</t>
  </si>
  <si>
    <t>Número de personas beneficiadas en el programa de Desayunos escolares + número de personas beneficiadas en PAAGP + número de personas beneficiadas en programa de atención alimentaria en los primeros 1000 días de vida, durante el 2023/ Número de personas inscritas en los programas de asistencia alimentaria del Sistema DIF Guadalajara para el 2023*100</t>
  </si>
  <si>
    <t>Número de personas beneficiadas en el programa de Desayunos escolares + número de personas beneficiadas en PAAGP + número de personas beneficiadas en programa de atención alimentaria en los primeros 1000 días de vida, durante el 2023</t>
  </si>
  <si>
    <t>Número de personas inscritas en los programas de asistencia alimentaria del Sistema DIF Guadalajara para el 2023</t>
  </si>
  <si>
    <t>La población con insuficiencia alimentaria sabe a dónde asistir por su apoyo y tiene la posibilidad de hacerlo.</t>
  </si>
  <si>
    <t>ACTIVIDAD 1.5</t>
  </si>
  <si>
    <t>Apoyos del Programa de Alimentación Escolar entregados en 2023</t>
  </si>
  <si>
    <t>Apoyos entregados a personas con inseguridad alimentaria del Programa de Alimentación Escolar, en 2023</t>
  </si>
  <si>
    <t>Mide el porcentaje de apoyos entregados a personas con inseguridad alimentaria del Programa de Alimentación Escolar, en 2023</t>
  </si>
  <si>
    <t>Número de raciones de alimentos entregados durante el 2023/ número de raciones de alimentos programados para el 2023*100</t>
  </si>
  <si>
    <t>Número de raciones de alimentos entregados durante el 2023</t>
  </si>
  <si>
    <t>Número de raciones de alimentos programados para el 2023</t>
  </si>
  <si>
    <t>Listas de entregas de los apoyos</t>
  </si>
  <si>
    <t>Los cuidadores de la población escolar con inseguridad alimentaria tiene conocimiento y posibilidades para solicitar su apoyo.</t>
  </si>
  <si>
    <t>ACTIVIDAD 1.6</t>
  </si>
  <si>
    <t>Apoyos del Programa de Atención Alimentaria a Grupos Prioritarios entregados en 2023</t>
  </si>
  <si>
    <t>Apoyos entregados a personas con inseguridad alimentaria del Programa de Asistencia Alimentaria a Grupos Prioritarios, en 2023</t>
  </si>
  <si>
    <t>Mide el porcentaje de apoyos entregados a personas con inseguridad alimentaria del Programa de Asistencia Alimentaria a Grupos Prioritarios, en 2023</t>
  </si>
  <si>
    <t>Número de raciones de alimentos entregados durante el 2023/ número de raciones de alimentos programados durante el 2023*100</t>
  </si>
  <si>
    <t>Número de raciones de alimentos programados durante el 2023</t>
  </si>
  <si>
    <t>La población con inseguridad alimentaria tiene conocimiento y posibilidades para solicitar su apoyo.</t>
  </si>
  <si>
    <t>ACTIVIDAD 1.7</t>
  </si>
  <si>
    <t>Apoyos del Programa de Atención Alimentaria en los Primeros 1000 Días de Vida entregados en 2023</t>
  </si>
  <si>
    <t>Apoyos entregados a personas con inseguridad alimentaria del Programa de Atención Alimentaria en los Primeros 1000 días de vida, en 2023</t>
  </si>
  <si>
    <t>Mide el porcentaje de apoyos entregados a personas con inseguridad alimentaria del Programa de Atención Alimentaria en los Primeros 1000 días de vida, en 2023</t>
  </si>
  <si>
    <t>Las madres y/o personas cuidadoras tienen conocimiento del lugar donde se ofrecen estos apoyos, también cuentan con la posibilidad de asistir a dichos centros.</t>
  </si>
  <si>
    <t>ACTIVIDAD 1.8</t>
  </si>
  <si>
    <t>Prácticas de autocuidado, prevención y atención a la salud bucal y maxilofacial a través de los servicios otorgados, durante el 2023</t>
  </si>
  <si>
    <t>Porcentaje de atención  de servicios odontológicos y maxilofaciales a la población objetivo, en 2023</t>
  </si>
  <si>
    <t>Mide el porcentaje de atención  de servicios odontológicos y maxilofaciales a la población objetivo, en 2023</t>
  </si>
  <si>
    <t>Número de servicios de atención odontológica brindados a personas durante el 2023/ Número meta de servicios de atención odontológica brindados a personas para el 2023*100</t>
  </si>
  <si>
    <t>Número de servicios de atención odontológica brindados a personas durante el 2023</t>
  </si>
  <si>
    <t>Número meta de servicios de atención odontológica brindados a personas para el 2023</t>
  </si>
  <si>
    <t>V1: Expedientes y 
V2: bitácora de registro</t>
  </si>
  <si>
    <t>La población en vulnerabilidad cuentan con el conocimiento  y posibilidad de asistir</t>
  </si>
  <si>
    <t>ACTIVIDAD 1.9</t>
  </si>
  <si>
    <t>Personas en situación de vulnerabilidad que recibieron atención psicológica en CDC, y CAETF en 2023</t>
  </si>
  <si>
    <t>Promedio de personas que recibieron servicio de consulta psicológica, en 2023</t>
  </si>
  <si>
    <t>Mide el promedio de cumplimiento en el servicio de consulta psicológica, en 2023</t>
  </si>
  <si>
    <t>Número de personas que recibieron servicio de consulta psicológica durante el 2023/4</t>
  </si>
  <si>
    <t>Número de personas que recibieron servicio de consulta psicológica durante el 2023</t>
  </si>
  <si>
    <t>Trimestral</t>
  </si>
  <si>
    <t>Promedio</t>
  </si>
  <si>
    <t>Expedientes</t>
  </si>
  <si>
    <t>La población tiene conciencia sobre la importancia de la atención psicológica y cuentan con los medios necesarios para asistir al centro.</t>
  </si>
  <si>
    <t>ACTIVIDAD 1.10</t>
  </si>
  <si>
    <t>Sesiones de atención psicológica brindadas en CDC, y CAETF en 2023</t>
  </si>
  <si>
    <t>Porcentaje de sesiones de los servicios de consulta psicológica, en 2023</t>
  </si>
  <si>
    <t>Mide el porcentaje de cumplimiento en el servicio de consulta psicológica, en 2023</t>
  </si>
  <si>
    <t>Número de consultas psicológicas brindadas en CDC y CAEFT durante el 2023/ Número de consultas psicológicas establecidas como meta en CDC y CAEFT para el 2023*100</t>
  </si>
  <si>
    <t>Número de consultas psicológicas brindadas en CDC y CAEFT durante el 2023</t>
  </si>
  <si>
    <t>Número de consultas psicológicas establecidas como meta en CDC y CAEFT para el 2023</t>
  </si>
  <si>
    <t>ACTIVIDAD 1.11</t>
  </si>
  <si>
    <t>Estudios de laboratorio para la detección oportuna de riesgos en la salud realizados, durante el 2023</t>
  </si>
  <si>
    <t>Porcentaje de cumplimiento en la cobertura de servicios de laboratorio, en 2023</t>
  </si>
  <si>
    <t>Mide el porcentaje de cumplimiento en la cobertura de servicios de laboratorio, en 2023</t>
  </si>
  <si>
    <t>Número de estudios laboratoriales realizados durante el 2023/ número de estudios laboratoriales prospectados como meta para el 2023*100</t>
  </si>
  <si>
    <t>Número de estudios laboratoriales realizados durante el 2023</t>
  </si>
  <si>
    <t>Número de estudios laboratoriales prospectados como meta para el 2023</t>
  </si>
  <si>
    <t>Registros de estudios laboratoriales realizados</t>
  </si>
  <si>
    <t>Existe un balance entre el número de personas que requieren el servicio del laboratorio y de la capacidad técnica y humana de los laboratorios.</t>
  </si>
  <si>
    <t>ACTIVIDAD 1.12</t>
  </si>
  <si>
    <t>Usuarios y usuarias recibieron raciones alimenticias en los comedores comunitarios, durante el 2023</t>
  </si>
  <si>
    <t>Promedio de beneficiarios y beneficiarias que recibieron raciones alimenticias al mes, durante el 2023</t>
  </si>
  <si>
    <t>Mide el Promedio de beneficiarios y beneficiarias que recibieron raciones alimenticias al mes, durante el 2023</t>
  </si>
  <si>
    <t>Usuarios y usuarias de comedores comunitarios durante el 2023/ 4</t>
  </si>
  <si>
    <t>Usuarios y usuarias de comedores comunitarios durante el 2023</t>
  </si>
  <si>
    <t>Existen  las condiciones climáticas, la disponibilidad de recursos naturales y la capacidad de los productores y distribuidores de alimentos para adaptarse a situaciones imprevistas.</t>
  </si>
  <si>
    <t>ACTIVIDAD 1.13</t>
  </si>
  <si>
    <t>Entrega de raciones alimenticias en los comedores comunitarios, durante el 2023</t>
  </si>
  <si>
    <t>Porcentaje de cumplimiento en la entrega de raciones alimentarias en comedores comunitarios, durante el 2023</t>
  </si>
  <si>
    <t>Mide el Porcentaje de cumplimiento en la entrega de raciones alimentarias en comedores comunitarios, durante el 2023.</t>
  </si>
  <si>
    <t>Número de raciones alimentarias entregadas en comedores comunitarios durante el 2023/ número de  raciones alimentarias programadas como meta para el 2023*100</t>
  </si>
  <si>
    <t>Número de raciones alimentarias entregadas en comedores comunitarios durante el 2023</t>
  </si>
  <si>
    <t>Número de  raciones alimentarias programadas como meta para el 2023</t>
  </si>
  <si>
    <t>ACTIVIDAD 1.14</t>
  </si>
  <si>
    <t>Usuarios que asistieron a talleres y cursos realizados en CDC e ICAS trimestralmente en 2023</t>
  </si>
  <si>
    <t>Promedio mensual de usuarios que participaron en talleres y cursos realizadas en CDC e ICAS, en 2023</t>
  </si>
  <si>
    <t>Mide el promedio mensual de usuarios en talleres y cursos realizados en CDC e ICAS en 2023</t>
  </si>
  <si>
    <t>Usuarios y usuarias que asistieron a talleres y cursos en 2023 / 4</t>
  </si>
  <si>
    <t xml:space="preserve">Usuarios y usuarias que asistieron a talleres y cursos en 2023 </t>
  </si>
  <si>
    <t>V1: Padrón de beneficiarios/
V2: listas de asistencia</t>
  </si>
  <si>
    <t xml:space="preserve">Los usuarios están dispuestos y tienen la capacidad de asistir a los talleres y cursos ofrecidos por CDC e ICAS. </t>
  </si>
  <si>
    <t>ACTIVIDAD 1.15</t>
  </si>
  <si>
    <t>Talleres y cursos realizados en CDC e ICAS trimestralmente en 2023</t>
  </si>
  <si>
    <t>Promedio mensual de talleres y cursos realizados en CDC e ICAS, en 2023</t>
  </si>
  <si>
    <t>Mide el Promedio mensual de talleres y cursos realizados en CDC e ICAS, en 2023</t>
  </si>
  <si>
    <t>Talleres realizados durante el 2023 / 4</t>
  </si>
  <si>
    <t>Talleres realizados durante el 2023</t>
  </si>
  <si>
    <t>V1: Convocatorias, 
V2: fotografías, 
V3:listas de asistencia</t>
  </si>
  <si>
    <t>Existe una demanda suficiente por parte de la población interesada en participar en estos eventos.</t>
  </si>
  <si>
    <t>ACTIVIDAD 1.16</t>
  </si>
  <si>
    <t>Niñas y niños en condición de vulnerabilidad económica que terminaron ciclo escolar de nivel preescolar en 2023</t>
  </si>
  <si>
    <t>Porcentaje de eficiencia terminal de las niñas y niños que asisten al Preescolar en CDC, en 2023</t>
  </si>
  <si>
    <t>Mide el Porcentaje de eficiencia terminal de las niñas y niños que asisten al Preescolar en CDC, en 2023</t>
  </si>
  <si>
    <t>Número de niñas y niños que terminan su ciclo escolar en CDC durante el 2023/ Número de niñas y niños que ingresan al último ciclo escolar en CDC durante el 2023 *100</t>
  </si>
  <si>
    <t>Número de niñas y niños que terminan su ciclo escolar en CDC durante el 2023</t>
  </si>
  <si>
    <t xml:space="preserve">Número de niñas y niños que ingresan al último ciclo escolar en CDC durante el 2023 </t>
  </si>
  <si>
    <t>Expedientes de niñas y niños que cursan preescolar en los CDC</t>
  </si>
  <si>
    <t>Las familias tienen un mínimo de condiciones de calidad de vida que permite un sano desarrollo de la niña o niño</t>
  </si>
  <si>
    <t>ACTIVIDAD 1.17</t>
  </si>
  <si>
    <t xml:space="preserve"> Grupos de preescolar activos en CDC en 2023</t>
  </si>
  <si>
    <t>Porcentaje de grupos de preescolar activos CDC durante el 2023</t>
  </si>
  <si>
    <t>Mide el Porcentaje de grupos de preescolar activos CDC durante el 2023</t>
  </si>
  <si>
    <t>Grupos de preescolar activos en CDC durante el 2023 / Grupos de preescolar programados en CDC para el 2023* 100</t>
  </si>
  <si>
    <t xml:space="preserve">Grupos de preescolar activos en CDC durante el 2023 </t>
  </si>
  <si>
    <t>Grupos de preescolar programados en CDC para el 2023</t>
  </si>
  <si>
    <t>Listas de asistencia</t>
  </si>
  <si>
    <t>COMPONENTE 2</t>
  </si>
  <si>
    <t>Apoyos asistenciales entregados a población en situación de emergencia, durante el 2023</t>
  </si>
  <si>
    <t>(Número de apoyos asistenciales brindados durante el 2023/ número de apoyos asistenciales solicitados durante el 2023)*100</t>
  </si>
  <si>
    <t>Número de apoyos asistenciales brindados durante el 2023</t>
  </si>
  <si>
    <t>Número de apoyos asistenciales solicitados durante el 2023</t>
  </si>
  <si>
    <t>V1. Evidencia de apoyos asistenciales brindados por Protección Civil V2. listas de entrega</t>
  </si>
  <si>
    <t>Existe un balance entre el número de personas que requieren el apoyo y la capacidad operativa de entrega.</t>
  </si>
  <si>
    <t>ACTIVIDAD 2.1</t>
  </si>
  <si>
    <t>Capacitaciones brindadas a la población abierta y población en condiciones de emergencias, durante el 2023</t>
  </si>
  <si>
    <t>Porcentaje de cumplimiento en las actividades de capacitación del Programa de Atención y Apoyo Asistencial a las Personas Afectadas por Contingencia o Siniestro, en 2023</t>
  </si>
  <si>
    <t>Mide el cumplimiento de las capacitaciones programadas para 2023</t>
  </si>
  <si>
    <t>(Número de actividades de capacitación del Programa de Atención y Apoyo Asistencial a las Personas Afectadas por Contingencia o Siniestro durante el 2023/ Número total  de actividades de capacitación del Programa de Atención y Apoyo Asistencial a las Personas Afectadas por Contingencia o Siniestro programadas para el 2023)*100</t>
  </si>
  <si>
    <t>Número de actividades de capacitación del Programa de Atención y Apoyo Asistencial a las Personas Afectadas por Contingencia o Siniestro durante el 2023</t>
  </si>
  <si>
    <t>Número total  de actividades de capacitación del Programa de Atención y Apoyo Asistencial a las Personas Afectadas por Contingencia o Siniestro programadas para el 2023</t>
  </si>
  <si>
    <t>Listas de asistencia de capacitaciones realizadas</t>
  </si>
  <si>
    <t>Las personas ya cuentan con las capacitaciones y no requieren asistir</t>
  </si>
  <si>
    <t>COMPONENTE 3</t>
  </si>
  <si>
    <t>Atenciones multidisciplinarias realizadas a las personas que viven y/o ejercer violencia familiar en el municipio de Guadalajara, durante el 2023</t>
  </si>
  <si>
    <t xml:space="preserve">Porcentaje de atenciones por expediente abierto realizadas en la UAVIFAM Guadalajara en 2023. </t>
  </si>
  <si>
    <t xml:space="preserve">Mide el porcentaje de atenciones por expediente abierto realizadas en la UAVIFAM Guadalajara en 2023. </t>
  </si>
  <si>
    <t>(Número de atenciones brindadas en UAVIFAM 2023 / Número de atenciones meta en UAVIFAM 2023) *100</t>
  </si>
  <si>
    <t>Número de atenciones brindadas en UAVIFAM 2023</t>
  </si>
  <si>
    <t>Número de atenciones meta en UAVIFAM 2023</t>
  </si>
  <si>
    <t>V1: Expedientes de Violencia familiar aperturados y 
V2: registro de las atenciones</t>
  </si>
  <si>
    <t>La tendencia de violencias en la familia disminuye lo que provoca una menor necesidad de atenciones por parte de los equipos de las UAVIS</t>
  </si>
  <si>
    <t>ACTIVIDAD 3.1</t>
  </si>
  <si>
    <t>Aperturas de expedientes para la atención multidisciplinaria primaria realizadas a las personas que viven y/o ejercen violencia familiar en el Municipio de Guadalajara, durante el 2023</t>
  </si>
  <si>
    <t>Porcentaje de aperturas de expedientes de atenciones multidisciplinarias primarias en UAVIFAM Guadalajara en 2023</t>
  </si>
  <si>
    <t>Mide el Porcentaje de aperturas de expedientes de atenciones multidisciplinarias primarias en UAVIFAM Guadalajara en 2023</t>
  </si>
  <si>
    <t>(Número de expedientes abiertos para la atención multidisciplinaria primaria  en 2023 / Número de expedientes abiertos para la atenciones multidisciplinarias establecidas como meta en UAVIFAM para el 2023) * 100</t>
  </si>
  <si>
    <t xml:space="preserve">Número de expedientes abiertos para la atención multidisciplinaria primaria  en 2023 </t>
  </si>
  <si>
    <t>Número de expedientes abiertos para la atenciones multidisciplinarias establecidas como meta en UAVIFAM para el 2023</t>
  </si>
  <si>
    <t>V1: Expedientes de Violencia familiar aperturados  
V2:registro de las atenciones</t>
  </si>
  <si>
    <t>Los procesos de atención se complejizan lo que provoca un aumento de tiempo en la atención de los casos y en consecuencia una menor capacidad para atender.</t>
  </si>
  <si>
    <t>ACTIVIDAD 3.2</t>
  </si>
  <si>
    <t>Intervención multidisciplinaria de seguimiento a expedientes activos, durante el 2023</t>
  </si>
  <si>
    <t>Porcentaje de atenciones de seguimiento por expediente en UAVIFAM Guadalajara en 2023</t>
  </si>
  <si>
    <t>Mide el Porcentaje de atenciones de seguimiento por expediente en UAVIFAM Guadalajara en 2023</t>
  </si>
  <si>
    <t>(Número de atenciones de seguimiento brindadas en 2023 / Número de atenciones de seguimiento establecidas como meta en UAVIFAM para el 2023) * 100</t>
  </si>
  <si>
    <t>Número de atenciones de seguimiento brindadas en 2023</t>
  </si>
  <si>
    <t>Número de atenciones de seguimiento establecidas como meta en UAVIFAM para el 2023</t>
  </si>
  <si>
    <t>V1: Expediente de violencia familiar</t>
  </si>
  <si>
    <t xml:space="preserve">Se cierran los casos de seguimiento por desistimiento de los usuarios o usuarias que reciben los servicios. </t>
  </si>
  <si>
    <t>86. Desaparecidos</t>
  </si>
  <si>
    <t>COMPONENTE 4</t>
  </si>
  <si>
    <t>Implementación de sesiones grupales de acompañamiento psicosocial y psicoeducativo para las personas usuarias del Programa de Acompañar las Ausencias, durante el 2023</t>
  </si>
  <si>
    <t>Porcentaje de sesiones grupales realizadas en 2023</t>
  </si>
  <si>
    <t>Mide el Porcentaje de sesiones grupales realizadas en 2023</t>
  </si>
  <si>
    <t>(Número de sesiones grupales realizadas durante el 2023/ número de sesiones grupales programadas para el 2023)*100</t>
  </si>
  <si>
    <t>Número de sesiones grupales realizadas durante el 2023</t>
  </si>
  <si>
    <t>número de sesiones grupales programadas para el 2023</t>
  </si>
  <si>
    <t xml:space="preserve">V1: Lista de asistencia 
V2:programación anual de sesiones grupales </t>
  </si>
  <si>
    <t>Disminuyen las sesiones por contingencias sanitarias o falta de espacio para realizar las reuniones de las y los usuarios</t>
  </si>
  <si>
    <t>ACTIVIDAD 4.1</t>
  </si>
  <si>
    <t>Acompañamientos psicosociales para familiares de víctimas indirectas de desaparición brindadas, durante el 2023</t>
  </si>
  <si>
    <t>Promedio de familias que recibieron acompañamientos por parte del Programa de Acompañar las Ausencias, en 2023</t>
  </si>
  <si>
    <t>Mide el Promedio de familias que recibieron acompañamientos por parte del Programa de Acompañar las Ausencias, en 2023</t>
  </si>
  <si>
    <t>Número meta de familias registradas en el Programa de Acompañar las Ausencias durante el 2023 / 4</t>
  </si>
  <si>
    <t>Número meta de familias registradas en el Programa de Acompañar las Ausencias durante el 2023</t>
  </si>
  <si>
    <t>V1: Expedientes y 
V2:bitácora de registro de acompañamientos</t>
  </si>
  <si>
    <t>Disminuyen las solicitudes de personas con un familiar desaparecido lo que provoca una menor cantidad de servicios brindados</t>
  </si>
  <si>
    <t>ACTIVIDAD 4.2</t>
  </si>
  <si>
    <t>A2C4. Familiares de personas desaparcidas atendidas por el programa de Acompañar las Ausencias</t>
  </si>
  <si>
    <t>Porcentaje de la población objetivo del Programa Acompañar las Ausencias que ha asistido a las sesiones grupales de acompañamiento, en 2023</t>
  </si>
  <si>
    <t>Mide el porcentaje de los familiares asistentes de personas desaparecidas  atendidas por el Programa Acompañar las Ausencias que asistieron a las sesiones grupales de acompañamiento, en 2023</t>
  </si>
  <si>
    <t>Número de familiares de personas desaparecidas que asistieron a las sesiones grupales de acompañamiento durante el 2023/Número programado de familiares de personas desaparecidas que asistieron a las sesiones grupales de acompañamiento durante el 2023</t>
  </si>
  <si>
    <t>Número de familiares de personas desaparecidas que asistieron a las sesiones grupales de acompañamiento durante el 2023</t>
  </si>
  <si>
    <t>Número programado de familiares de personas desaparecidas que asistieron a las sesiones grupales de acompañamiento durante el 2023</t>
  </si>
  <si>
    <t>Lista de asistencia</t>
  </si>
  <si>
    <t>TIPO DE GASTO</t>
  </si>
  <si>
    <t>PRESUPUESTO MENSUAL</t>
  </si>
  <si>
    <t>FUENTE DE FINANCIAMIENTO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</si>
  <si>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</si>
  <si>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</si>
  <si>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</si>
  <si>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</si>
  <si>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</si>
  <si>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</si>
  <si>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</si>
  <si>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</si>
  <si>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</si>
  <si>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</si>
  <si>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</si>
  <si>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</si>
  <si>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POBLACIÓN OBJETIVO</t>
  </si>
  <si>
    <t>LOCALIZACIÓN GEOGRÁFICA</t>
  </si>
  <si>
    <t>GÉNERO</t>
  </si>
  <si>
    <t>DIRECCIONES O UNIDADES PARTICIPANTES</t>
  </si>
  <si>
    <t>FUNCIONARIO RESPONSABLE DEL PROGRAMA</t>
  </si>
  <si>
    <t>69.6%</t>
  </si>
  <si>
    <t>231.3%</t>
  </si>
  <si>
    <t>180.9%</t>
  </si>
  <si>
    <t>100%</t>
  </si>
  <si>
    <t>72.6%</t>
  </si>
  <si>
    <t>85.3%</t>
  </si>
  <si>
    <t>83.3%</t>
  </si>
  <si>
    <t>93.2%</t>
  </si>
  <si>
    <t>77.3%</t>
  </si>
  <si>
    <t>79.4%</t>
  </si>
  <si>
    <t>84.1%</t>
  </si>
  <si>
    <t>103.1%</t>
  </si>
  <si>
    <t>75%</t>
  </si>
  <si>
    <t>Porcentaje de apoyos asistenciales entregados a población en situación de emergencia , durante el 2023</t>
  </si>
  <si>
    <t>77.7%</t>
  </si>
  <si>
    <t>242.9%</t>
  </si>
  <si>
    <t>74.6%</t>
  </si>
  <si>
    <t>77.1%</t>
  </si>
  <si>
    <t>68.8%</t>
  </si>
  <si>
    <t>66.7%</t>
  </si>
  <si>
    <t>69.8%</t>
  </si>
  <si>
    <t>ALCANCE TRIM</t>
  </si>
  <si>
    <t>PORCENTAJE TRIM</t>
  </si>
  <si>
    <t>prom trim</t>
  </si>
  <si>
    <t>prom men</t>
  </si>
  <si>
    <t>SUBIDO</t>
  </si>
  <si>
    <t>Checar</t>
  </si>
  <si>
    <t>6.2%</t>
  </si>
  <si>
    <t>23.9%</t>
  </si>
  <si>
    <t>69%</t>
  </si>
  <si>
    <t>28.7%</t>
  </si>
  <si>
    <t>0%</t>
  </si>
  <si>
    <t>25%</t>
  </si>
  <si>
    <t>32.3%</t>
  </si>
  <si>
    <t>27.7%</t>
  </si>
  <si>
    <t>23.7%</t>
  </si>
  <si>
    <t>29.1%</t>
  </si>
  <si>
    <t>0.7%</t>
  </si>
  <si>
    <t>57.1%</t>
  </si>
  <si>
    <t>25.5%</t>
  </si>
  <si>
    <t>25.4%</t>
  </si>
  <si>
    <t>24%</t>
  </si>
  <si>
    <t>Número meta de familias registradas en el Programa de Acompañar las Ausencias durante el 2023 / 12 (Mes en curso)</t>
  </si>
  <si>
    <t>29.2%</t>
  </si>
  <si>
    <t>ANUAL</t>
  </si>
  <si>
    <t>2. Economía Próspera</t>
  </si>
  <si>
    <t>O13. Proteger los derechos y ampliar las oportunidades de desarrollo de los grupos prioritarios</t>
  </si>
  <si>
    <t>1. Guadalajara próspera e incluyente</t>
  </si>
  <si>
    <t>O10. Salvaguardar la integridad de las personas, bienes y entorno comunitario ante situaciones de emergencia, riesgo y peligro derivado de fenómenos naturales y socio-organizativos, fortaleciendo en la ciudadanía la cultura de gestión integral de riesgos, prevención y mitigación</t>
  </si>
  <si>
    <t>E2.6 Generar condiciones para la impartición de asistencia social que propicie la restitución de derechos a las personas vulnerables</t>
  </si>
  <si>
    <t xml:space="preserve">L2.6.2 Asistencia, promoción y restitución de derechos a personas y grupos en condición de vulnerabilidad, mediante servicios de salud, nutrición, psicológicos y de habilidades para el trabajo. </t>
  </si>
  <si>
    <t>Promedio del porcentaje de cumplimiento de las metas de los programas que brindan servicios en los CDC durante 2023</t>
  </si>
  <si>
    <t>Mide el promedio del alcance de las metas de los programas que operan en los Centros de Desarrollo Comunitario en 2023</t>
  </si>
  <si>
    <t>Porcentaje de alcance de meta en trabajo social asistencial + en atención médica de primer nivel + en Asistencia Alimentaria y Nutrición + en Atención Odontológica + en Atención psicológica + en Educación preescolar + en Desarrollo de Habilidades + en comedores comunitarios + en laboratorio clínico, durante el 2023 / 9</t>
  </si>
  <si>
    <t>Porcentaje de alcance de meta en trabajo social asistencial + en atención médica de primer nivel + en Asistencia Alimentaria y Nutrición + en Atención Odontológica + en Atención psicológica + en Educación preescolar + en Desarrollo de Habilidades + en comedores comunitarios + en laboratorio clínico, durante el 2023</t>
  </si>
  <si>
    <t>Número de personas que recibieron servicio de consulta psicológica durante el 2023/12 (meses en curso)</t>
  </si>
  <si>
    <t>12 (meses en curso)</t>
  </si>
  <si>
    <t>Usuarios y usuarias de comedores comunitarios durante el 2023/ 12 (mes en curso)</t>
  </si>
  <si>
    <t>12 (mes en curso)</t>
  </si>
  <si>
    <t>Usuarios y usuarias que asistieron a talleres y cursos en 2023 / 12 (meses cursados)</t>
  </si>
  <si>
    <t>12 (meses cursados)</t>
  </si>
  <si>
    <t>Talleres realizados durante el 2023 / 12 (meses cursados)</t>
  </si>
  <si>
    <t>12 (Mes en curso)</t>
  </si>
  <si>
    <t>Mide el porcentaje de los familiares de personas desaparecidas  atendidas por el Programa Acompañar las Ausencias que asistieron a las sesiones grupales de acompañamiento, en 2023</t>
  </si>
  <si>
    <t>Número de familiares de personas desaparecidas que asistieron a las sesiones grupales de acompañamiento durante el 2023/ Número de familiares de personas desaparecidas que asistieron a las sesiones grupales de acompañamiento programadas para el 2023 *100</t>
  </si>
  <si>
    <t xml:space="preserve"> Número de familiares de personas desaparecidas que asistieron a las sesiones grupales de acompañamiento programadas para el 2023 *100</t>
  </si>
  <si>
    <t/>
  </si>
  <si>
    <t>cOMENTARIO</t>
  </si>
  <si>
    <t>SUBIDA</t>
  </si>
  <si>
    <t>Sin comentarios</t>
  </si>
  <si>
    <t>META ALCANZADA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</si>
</sst>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23">
    <font>
      <sz val="11"/>
      <color theme="1"/>
      <name val="Calibri"/>
      <scheme val="minor"/>
    </font>
    <font>
      <sz val="11"/>
      <color theme="1"/>
      <name val="Calibri"/>
    </font>
    <font>
      <sz val="12"/>
      <color theme="1"/>
      <name val="Calibri"/>
    </font>
    <font>
      <sz val="11"/>
      <color theme="1"/>
      <name val="Calibri"/>
      <scheme val="minor"/>
    </font>
    <font>
      <b/>
      <sz val="12"/>
      <color theme="1"/>
      <name val="Calibri"/>
    </font>
    <font>
      <sz val="11"/>
      <name val="Calibri"/>
    </font>
    <font>
      <sz val="12"/>
      <color theme="1"/>
      <name val="Arial"/>
    </font>
    <font>
      <b/>
      <sz val="12"/>
      <color theme="1"/>
      <name val="Arial"/>
    </font>
    <font>
      <sz val="12"/>
      <color theme="1"/>
      <name val="Noto Sans Symbols"/>
    </font>
    <font>
      <b/>
      <sz val="10"/>
      <color theme="1"/>
      <name val="Arial"/>
    </font>
    <font>
      <b/>
      <sz val="11"/>
      <color theme="1"/>
      <name val="Arial"/>
    </font>
    <font>
      <b/>
      <sz val="9"/>
      <color theme="1"/>
      <name val="Arial"/>
    </font>
    <font>
      <sz val="11"/>
      <color theme="1"/>
      <name val="Arial"/>
    </font>
    <font>
      <sz val="9"/>
      <color rgb="FF000000"/>
      <name val="&quot;Google Sans Mono&quot;"/>
    </font>
    <font>
      <sz val="11"/>
      <color rgb="FF000000"/>
      <name val="Arial"/>
    </font>
    <font>
      <sz val="11"/>
      <color rgb="FF000000"/>
      <name val="Roboto"/>
    </font>
    <font>
      <b/>
      <sz val="13"/>
      <color theme="1"/>
      <name val="Arial"/>
    </font>
    <font>
      <sz val="11"/>
      <color rgb="FF000000"/>
      <name val="Roboto"/>
    </font>
    <font>
      <b/>
      <sz val="11"/>
      <color theme="1"/>
      <name val="Calibri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3"/>
      <color theme="1"/>
      <name val="Calibri"/>
      <scheme val="minor"/>
    </font>
    <font>
      <b/>
      <sz val="19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CC0D9"/>
        <bgColor rgb="FFCCC0D9"/>
      </patternFill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BDBDBD"/>
        <bgColor rgb="FFBDBDBD"/>
      </patternFill>
    </fill>
    <fill>
      <patternFill patternType="solid">
        <fgColor rgb="FFF3F3F3"/>
        <bgColor rgb="FFF3F3F3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9">
    <xf numFmtId="0" fontId="0" fillId="0" borderId="0" xfId="0" applyFont="1" applyAlignment="1"/>
    <xf numFmtId="0" fontId="1" fillId="2" borderId="0" xfId="0" applyFont="1" applyFill="1"/>
    <xf numFmtId="0" fontId="1" fillId="2" borderId="1" xfId="0" applyFont="1" applyFill="1" applyBorder="1"/>
    <xf numFmtId="0" fontId="2" fillId="2" borderId="1" xfId="0" applyFont="1" applyFill="1" applyBorder="1"/>
    <xf numFmtId="4" fontId="1" fillId="2" borderId="1" xfId="0" applyNumberFormat="1" applyFont="1" applyFill="1" applyBorder="1"/>
    <xf numFmtId="0" fontId="4" fillId="2" borderId="1" xfId="0" applyFont="1" applyFill="1" applyBorder="1"/>
    <xf numFmtId="0" fontId="6" fillId="2" borderId="0" xfId="0" applyFont="1" applyFill="1"/>
    <xf numFmtId="0" fontId="6" fillId="2" borderId="1" xfId="0" applyFont="1" applyFill="1" applyBorder="1"/>
    <xf numFmtId="4" fontId="6" fillId="2" borderId="1" xfId="0" applyNumberFormat="1" applyFont="1" applyFill="1" applyBorder="1"/>
    <xf numFmtId="0" fontId="1" fillId="0" borderId="0" xfId="0" applyFont="1"/>
    <xf numFmtId="0" fontId="7" fillId="4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5" borderId="0" xfId="0" applyFont="1" applyFill="1"/>
    <xf numFmtId="0" fontId="6" fillId="5" borderId="1" xfId="0" applyFont="1" applyFill="1" applyBorder="1"/>
    <xf numFmtId="0" fontId="9" fillId="6" borderId="0" xfId="0" applyFont="1" applyFill="1" applyAlignment="1">
      <alignment horizontal="center" vertical="center" textRotation="90" wrapText="1"/>
    </xf>
    <xf numFmtId="0" fontId="10" fillId="6" borderId="0" xfId="0" applyFont="1" applyFill="1" applyAlignment="1">
      <alignment horizontal="center" vertical="center" textRotation="90" wrapText="1"/>
    </xf>
    <xf numFmtId="4" fontId="6" fillId="2" borderId="1" xfId="0" applyNumberFormat="1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3" fillId="0" borderId="0" xfId="0" applyFont="1" applyAlignment="1"/>
    <xf numFmtId="0" fontId="7" fillId="6" borderId="0" xfId="0" applyFont="1" applyFill="1" applyAlignment="1">
      <alignment horizontal="center" wrapText="1"/>
    </xf>
    <xf numFmtId="0" fontId="7" fillId="6" borderId="4" xfId="0" applyFont="1" applyFill="1" applyBorder="1" applyAlignment="1">
      <alignment horizontal="center" wrapText="1"/>
    </xf>
    <xf numFmtId="0" fontId="7" fillId="6" borderId="13" xfId="0" applyFont="1" applyFill="1" applyBorder="1" applyAlignment="1">
      <alignment horizontal="center" vertical="center" wrapText="1"/>
    </xf>
    <xf numFmtId="4" fontId="7" fillId="6" borderId="4" xfId="0" applyNumberFormat="1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wrapText="1"/>
    </xf>
    <xf numFmtId="0" fontId="11" fillId="6" borderId="0" xfId="0" applyFont="1" applyFill="1" applyAlignment="1">
      <alignment horizontal="center" wrapText="1"/>
    </xf>
    <xf numFmtId="0" fontId="11" fillId="6" borderId="0" xfId="0" applyFont="1" applyFill="1" applyAlignment="1">
      <alignment horizont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9" fontId="12" fillId="0" borderId="4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/>
    </xf>
    <xf numFmtId="4" fontId="12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/>
    <xf numFmtId="0" fontId="8" fillId="2" borderId="1" xfId="0" applyFont="1" applyFill="1" applyBorder="1" applyAlignment="1">
      <alignment horizontal="left"/>
    </xf>
    <xf numFmtId="4" fontId="14" fillId="0" borderId="4" xfId="0" applyNumberFormat="1" applyFont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/>
    <xf numFmtId="0" fontId="6" fillId="6" borderId="4" xfId="0" applyFont="1" applyFill="1" applyBorder="1" applyAlignment="1"/>
    <xf numFmtId="0" fontId="7" fillId="6" borderId="4" xfId="0" applyFont="1" applyFill="1" applyBorder="1" applyAlignment="1">
      <alignment horizontal="center" vertical="center" wrapText="1"/>
    </xf>
    <xf numFmtId="0" fontId="14" fillId="7" borderId="0" xfId="0" applyFont="1" applyFill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6" fillId="7" borderId="15" xfId="0" applyFont="1" applyFill="1" applyBorder="1" applyAlignment="1"/>
    <xf numFmtId="0" fontId="6" fillId="2" borderId="0" xfId="0" applyFont="1" applyFill="1" applyAlignment="1">
      <alignment horizontal="left"/>
    </xf>
    <xf numFmtId="0" fontId="7" fillId="4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4" fontId="15" fillId="7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4" fontId="12" fillId="0" borderId="4" xfId="0" applyNumberFormat="1" applyFont="1" applyBorder="1" applyAlignment="1">
      <alignment horizontal="center" vertical="center"/>
    </xf>
    <xf numFmtId="0" fontId="6" fillId="7" borderId="16" xfId="0" applyFont="1" applyFill="1" applyBorder="1" applyAlignment="1"/>
    <xf numFmtId="0" fontId="12" fillId="0" borderId="17" xfId="0" applyFont="1" applyBorder="1" applyAlignment="1">
      <alignment horizontal="center" vertical="center"/>
    </xf>
    <xf numFmtId="4" fontId="12" fillId="0" borderId="17" xfId="0" applyNumberFormat="1" applyFont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 vertical="center" wrapText="1"/>
    </xf>
    <xf numFmtId="4" fontId="12" fillId="0" borderId="17" xfId="0" applyNumberFormat="1" applyFont="1" applyBorder="1" applyAlignment="1">
      <alignment horizontal="center" vertical="center" wrapText="1"/>
    </xf>
    <xf numFmtId="3" fontId="14" fillId="7" borderId="4" xfId="0" applyNumberFormat="1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/>
    </xf>
    <xf numFmtId="3" fontId="12" fillId="7" borderId="4" xfId="0" applyNumberFormat="1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 wrapText="1"/>
    </xf>
    <xf numFmtId="4" fontId="12" fillId="7" borderId="17" xfId="0" applyNumberFormat="1" applyFont="1" applyFill="1" applyBorder="1" applyAlignment="1">
      <alignment horizontal="center" vertical="center" wrapText="1"/>
    </xf>
    <xf numFmtId="4" fontId="12" fillId="7" borderId="4" xfId="0" applyNumberFormat="1" applyFont="1" applyFill="1" applyBorder="1" applyAlignment="1">
      <alignment horizontal="center" vertical="center" wrapText="1"/>
    </xf>
    <xf numFmtId="0" fontId="6" fillId="7" borderId="18" xfId="0" applyFont="1" applyFill="1" applyBorder="1" applyAlignment="1"/>
    <xf numFmtId="0" fontId="6" fillId="6" borderId="4" xfId="0" applyFont="1" applyFill="1" applyBorder="1" applyAlignment="1">
      <alignment horizontal="left"/>
    </xf>
    <xf numFmtId="0" fontId="16" fillId="6" borderId="4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left" wrapText="1"/>
    </xf>
    <xf numFmtId="0" fontId="17" fillId="7" borderId="4" xfId="0" applyFont="1" applyFill="1" applyBorder="1" applyAlignment="1">
      <alignment horizontal="center" vertical="center" wrapText="1"/>
    </xf>
    <xf numFmtId="3" fontId="17" fillId="7" borderId="4" xfId="0" applyNumberFormat="1" applyFont="1" applyFill="1" applyBorder="1" applyAlignment="1">
      <alignment horizontal="center" vertical="center" wrapText="1"/>
    </xf>
    <xf numFmtId="2" fontId="12" fillId="0" borderId="4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/>
    </xf>
    <xf numFmtId="4" fontId="12" fillId="0" borderId="4" xfId="0" applyNumberFormat="1" applyFont="1" applyBorder="1"/>
    <xf numFmtId="3" fontId="12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3" fontId="12" fillId="0" borderId="7" xfId="0" applyNumberFormat="1" applyFont="1" applyBorder="1" applyAlignment="1">
      <alignment horizontal="center" wrapText="1"/>
    </xf>
    <xf numFmtId="3" fontId="12" fillId="0" borderId="7" xfId="0" applyNumberFormat="1" applyFont="1" applyBorder="1" applyAlignment="1">
      <alignment horizontal="center" wrapText="1"/>
    </xf>
    <xf numFmtId="2" fontId="12" fillId="0" borderId="7" xfId="0" applyNumberFormat="1" applyFont="1" applyBorder="1" applyAlignment="1">
      <alignment horizontal="center" wrapText="1"/>
    </xf>
    <xf numFmtId="4" fontId="12" fillId="0" borderId="7" xfId="0" applyNumberFormat="1" applyFont="1" applyBorder="1" applyAlignment="1">
      <alignment horizontal="center" wrapText="1"/>
    </xf>
    <xf numFmtId="4" fontId="1" fillId="0" borderId="7" xfId="0" applyNumberFormat="1" applyFont="1" applyBorder="1"/>
    <xf numFmtId="0" fontId="6" fillId="2" borderId="0" xfId="0" applyFont="1" applyFill="1" applyAlignment="1">
      <alignment horizontal="left"/>
    </xf>
    <xf numFmtId="0" fontId="6" fillId="2" borderId="1" xfId="0" applyFont="1" applyFill="1" applyBorder="1" applyAlignment="1">
      <alignment horizontal="left"/>
    </xf>
    <xf numFmtId="0" fontId="2" fillId="0" borderId="0" xfId="0" applyFont="1"/>
    <xf numFmtId="0" fontId="7" fillId="4" borderId="19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10" fontId="12" fillId="0" borderId="4" xfId="0" applyNumberFormat="1" applyFont="1" applyBorder="1" applyAlignment="1">
      <alignment horizontal="center" vertical="center" wrapText="1"/>
    </xf>
    <xf numFmtId="10" fontId="12" fillId="0" borderId="4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13" fillId="7" borderId="0" xfId="0" applyFont="1" applyFill="1"/>
    <xf numFmtId="0" fontId="3" fillId="0" borderId="0" xfId="0" applyFont="1" applyAlignment="1">
      <alignment wrapText="1"/>
    </xf>
    <xf numFmtId="0" fontId="18" fillId="8" borderId="0" xfId="0" applyFont="1" applyFill="1" applyAlignment="1">
      <alignment horizontal="center"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9" fillId="8" borderId="0" xfId="0" applyFont="1" applyFill="1" applyAlignment="1">
      <alignment horizontal="center" vertical="center"/>
    </xf>
    <xf numFmtId="10" fontId="3" fillId="0" borderId="0" xfId="0" applyNumberFormat="1" applyFont="1"/>
    <xf numFmtId="0" fontId="3" fillId="0" borderId="4" xfId="0" applyFont="1" applyBorder="1" applyAlignment="1">
      <alignment horizontal="center" vertical="center"/>
    </xf>
    <xf numFmtId="3" fontId="13" fillId="7" borderId="0" xfId="0" applyNumberFormat="1" applyFont="1" applyFill="1" applyAlignment="1"/>
    <xf numFmtId="9" fontId="12" fillId="0" borderId="4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/>
    </xf>
    <xf numFmtId="4" fontId="12" fillId="7" borderId="4" xfId="0" applyNumberFormat="1" applyFont="1" applyFill="1" applyBorder="1" applyAlignment="1">
      <alignment horizontal="center" vertical="center" wrapText="1"/>
    </xf>
    <xf numFmtId="4" fontId="12" fillId="0" borderId="4" xfId="0" applyNumberFormat="1" applyFont="1" applyBorder="1" applyAlignment="1"/>
    <xf numFmtId="4" fontId="1" fillId="0" borderId="7" xfId="0" applyNumberFormat="1" applyFont="1" applyBorder="1" applyAlignment="1"/>
    <xf numFmtId="10" fontId="11" fillId="0" borderId="0" xfId="0" applyNumberFormat="1" applyFont="1" applyAlignment="1">
      <alignment horizontal="center" wrapText="1"/>
    </xf>
    <xf numFmtId="10" fontId="1" fillId="0" borderId="0" xfId="0" applyNumberFormat="1" applyFont="1"/>
    <xf numFmtId="10" fontId="12" fillId="0" borderId="0" xfId="0" applyNumberFormat="1" applyFont="1" applyAlignment="1">
      <alignment horizontal="center" vertical="center" wrapText="1"/>
    </xf>
    <xf numFmtId="0" fontId="6" fillId="5" borderId="15" xfId="0" applyFont="1" applyFill="1" applyBorder="1" applyAlignment="1"/>
    <xf numFmtId="0" fontId="6" fillId="5" borderId="0" xfId="0" applyFont="1" applyFill="1" applyAlignment="1">
      <alignment horizontal="left"/>
    </xf>
    <xf numFmtId="0" fontId="7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4" fontId="15" fillId="5" borderId="4" xfId="0" applyNumberFormat="1" applyFont="1" applyFill="1" applyBorder="1" applyAlignment="1">
      <alignment horizontal="center" vertical="center" wrapText="1"/>
    </xf>
    <xf numFmtId="4" fontId="12" fillId="5" borderId="4" xfId="0" applyNumberFormat="1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4" fontId="12" fillId="5" borderId="4" xfId="0" applyNumberFormat="1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6" fillId="5" borderId="16" xfId="0" applyFont="1" applyFill="1" applyBorder="1" applyAlignment="1"/>
    <xf numFmtId="3" fontId="12" fillId="5" borderId="4" xfId="0" applyNumberFormat="1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 wrapText="1"/>
    </xf>
    <xf numFmtId="0" fontId="6" fillId="0" borderId="16" xfId="0" applyFont="1" applyBorder="1" applyAlignment="1"/>
    <xf numFmtId="0" fontId="6" fillId="0" borderId="0" xfId="0" applyFont="1" applyAlignment="1">
      <alignment horizontal="left"/>
    </xf>
    <xf numFmtId="0" fontId="7" fillId="0" borderId="4" xfId="0" applyFont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4" fontId="12" fillId="5" borderId="4" xfId="0" applyNumberFormat="1" applyFont="1" applyFill="1" applyBorder="1" applyAlignment="1">
      <alignment horizontal="center" vertical="center" wrapText="1"/>
    </xf>
    <xf numFmtId="10" fontId="12" fillId="5" borderId="0" xfId="0" applyNumberFormat="1" applyFont="1" applyFill="1" applyAlignment="1">
      <alignment horizontal="center" vertical="center" wrapText="1"/>
    </xf>
    <xf numFmtId="0" fontId="12" fillId="0" borderId="7" xfId="0" applyFont="1" applyBorder="1" applyAlignment="1">
      <alignment horizontal="center" wrapText="1"/>
    </xf>
    <xf numFmtId="0" fontId="13" fillId="7" borderId="0" xfId="0" applyFont="1" applyFill="1"/>
    <xf numFmtId="0" fontId="20" fillId="0" borderId="0" xfId="0" applyFont="1"/>
    <xf numFmtId="0" fontId="3" fillId="0" borderId="0" xfId="0" applyFont="1" applyAlignment="1">
      <alignment wrapText="1"/>
    </xf>
    <xf numFmtId="0" fontId="21" fillId="0" borderId="0" xfId="0" applyFont="1"/>
    <xf numFmtId="0" fontId="3" fillId="0" borderId="0" xfId="0" applyFont="1"/>
    <xf numFmtId="0" fontId="1" fillId="9" borderId="0" xfId="0" applyFont="1" applyFill="1" applyAlignment="1">
      <alignment wrapText="1"/>
    </xf>
    <xf numFmtId="0" fontId="1" fillId="7" borderId="0" xfId="0" applyFont="1" applyFill="1" applyAlignment="1"/>
    <xf numFmtId="0" fontId="1" fillId="7" borderId="0" xfId="0" applyFont="1" applyFill="1" applyAlignment="1"/>
    <xf numFmtId="0" fontId="1" fillId="10" borderId="0" xfId="0" applyFont="1" applyFill="1"/>
    <xf numFmtId="0" fontId="1" fillId="7" borderId="0" xfId="0" applyFont="1" applyFill="1"/>
    <xf numFmtId="0" fontId="1" fillId="10" borderId="0" xfId="0" applyFont="1" applyFill="1" applyAlignment="1"/>
    <xf numFmtId="0" fontId="1" fillId="7" borderId="0" xfId="0" applyFont="1" applyFill="1" applyAlignment="1"/>
    <xf numFmtId="0" fontId="3" fillId="0" borderId="0" xfId="0" applyFont="1" applyAlignment="1">
      <alignment wrapText="1"/>
    </xf>
    <xf numFmtId="0" fontId="1" fillId="10" borderId="0" xfId="0" applyFont="1" applyFill="1" applyAlignment="1"/>
    <xf numFmtId="0" fontId="22" fillId="0" borderId="0" xfId="0" applyFont="1" applyAlignment="1">
      <alignment wrapText="1"/>
    </xf>
    <xf numFmtId="0" fontId="1" fillId="5" borderId="0" xfId="0" applyFont="1" applyFill="1" applyAlignment="1"/>
    <xf numFmtId="0" fontId="7" fillId="3" borderId="5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5" fillId="0" borderId="7" xfId="0" applyFont="1" applyBorder="1"/>
    <xf numFmtId="0" fontId="6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8" fontId="6" fillId="0" borderId="6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 vertical="center" wrapText="1"/>
    </xf>
    <xf numFmtId="0" fontId="5" fillId="0" borderId="21" xfId="0" applyFont="1" applyBorder="1"/>
    <xf numFmtId="0" fontId="5" fillId="0" borderId="22" xfId="0" applyFont="1" applyBorder="1"/>
    <xf numFmtId="0" fontId="9" fillId="6" borderId="8" xfId="0" applyFont="1" applyFill="1" applyBorder="1" applyAlignment="1">
      <alignment horizontal="center" vertical="center" textRotation="90" wrapText="1"/>
    </xf>
    <xf numFmtId="0" fontId="5" fillId="0" borderId="9" xfId="0" applyFont="1" applyBorder="1"/>
    <xf numFmtId="0" fontId="10" fillId="6" borderId="8" xfId="0" applyFont="1" applyFill="1" applyBorder="1" applyAlignment="1">
      <alignment horizontal="center" vertical="center" textRotation="90" wrapText="1"/>
    </xf>
    <xf numFmtId="0" fontId="5" fillId="0" borderId="10" xfId="0" applyFont="1" applyBorder="1"/>
    <xf numFmtId="0" fontId="4" fillId="2" borderId="2" xfId="0" applyFont="1" applyFill="1" applyBorder="1" applyAlignment="1">
      <alignment horizontal="center"/>
    </xf>
    <xf numFmtId="0" fontId="5" fillId="0" borderId="3" xfId="0" applyFont="1" applyBorder="1"/>
    <xf numFmtId="0" fontId="7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left" wrapText="1"/>
    </xf>
    <xf numFmtId="0" fontId="1" fillId="0" borderId="0" xfId="0" applyFont="1"/>
    <xf numFmtId="0" fontId="0" fillId="0" borderId="0" xfId="0" applyFont="1" applyAlignment="1"/>
  </cellXfs>
  <cellStyles count="1">
    <cellStyle name="Normal" xfId="0" builtinId="0"/>
  </cellStyles>
  <dxfs count="7">
    <dxf>
      <fill>
        <patternFill patternType="solid">
          <fgColor rgb="FFB7E1CD"/>
          <bgColor rgb="FFB7E1C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2">
    <tableStyle name="Subida-style" pivot="0" count="3">
      <tableStyleElement type="headerRow" dxfId="6"/>
      <tableStyleElement type="firstRowStripe" dxfId="5"/>
      <tableStyleElement type="secondRowStripe" dxfId="4"/>
    </tableStyle>
    <tableStyle name="finproposito-style" pivot="0" count="3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514725" cy="1752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514725" cy="1752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514725" cy="1752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Z1000" headerRowCount="0">
  <tableColumns count="26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  <tableColumn id="22" name="Column22"/>
    <tableColumn id="23" name="Column23"/>
    <tableColumn id="24" name="Column24"/>
    <tableColumn id="25" name="Column25"/>
    <tableColumn id="26" name="Column26"/>
  </tableColumns>
  <tableStyleInfo name="Subida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id="2" name="Table_2" displayName="Table_2" ref="A1:Z1000" headerRowCount="0">
  <tableColumns count="26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  <tableColumn id="22" name="Column22"/>
    <tableColumn id="23" name="Column23"/>
    <tableColumn id="24" name="Column24"/>
    <tableColumn id="25" name="Column25"/>
    <tableColumn id="26" name="Column26"/>
  </tableColumns>
  <tableStyleInfo name="finproposito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59"/>
  <sheetViews>
    <sheetView tabSelected="1" topLeftCell="A6" zoomScale="60" zoomScaleNormal="60" workbookViewId="0">
      <selection activeCell="C29" sqref="C29"/>
    </sheetView>
  </sheetViews>
  <sheetFormatPr baseColWidth="10" defaultColWidth="14.42578125" defaultRowHeight="15" customHeight="1"/>
  <cols>
    <col min="1" max="1" width="7" customWidth="1"/>
    <col min="2" max="2" width="17.85546875" customWidth="1"/>
    <col min="3" max="3" width="51.28515625" customWidth="1"/>
    <col min="4" max="4" width="25.140625" customWidth="1"/>
    <col min="5" max="5" width="26.85546875" customWidth="1"/>
    <col min="6" max="6" width="22.5703125" customWidth="1"/>
    <col min="7" max="7" width="21.7109375" customWidth="1"/>
    <col min="8" max="8" width="21.140625" customWidth="1"/>
    <col min="9" max="9" width="29" customWidth="1"/>
    <col min="10" max="10" width="25.5703125" customWidth="1"/>
    <col min="11" max="11" width="29.85546875" customWidth="1"/>
    <col min="12" max="12" width="20.85546875" customWidth="1"/>
    <col min="13" max="13" width="21.28515625" customWidth="1"/>
    <col min="14" max="14" width="19.5703125" customWidth="1"/>
    <col min="15" max="15" width="19.42578125" customWidth="1"/>
    <col min="16" max="16" width="18.5703125" customWidth="1"/>
    <col min="17" max="17" width="23" customWidth="1"/>
    <col min="18" max="18" width="18.85546875" customWidth="1"/>
  </cols>
  <sheetData>
    <row r="1" spans="1:18" ht="15.75">
      <c r="A1" s="1"/>
      <c r="B1" s="2"/>
      <c r="C1" s="2"/>
      <c r="D1" s="3"/>
      <c r="E1" s="3"/>
      <c r="F1" s="3"/>
      <c r="G1" s="3"/>
      <c r="H1" s="3"/>
      <c r="I1" s="2"/>
      <c r="J1" s="4"/>
      <c r="K1" s="4"/>
      <c r="L1" s="2"/>
      <c r="M1" s="2"/>
      <c r="N1" s="4"/>
      <c r="O1" s="4"/>
      <c r="P1" s="4"/>
      <c r="Q1" s="2"/>
      <c r="R1" s="2"/>
    </row>
    <row r="2" spans="1:18" ht="15.75">
      <c r="A2" s="1"/>
      <c r="B2" s="2"/>
      <c r="C2" s="2"/>
      <c r="D2" s="3"/>
      <c r="E2" s="3"/>
      <c r="F2" s="3"/>
      <c r="G2" s="3"/>
      <c r="H2" s="3"/>
      <c r="I2" s="2"/>
      <c r="J2" s="4"/>
      <c r="K2" s="4"/>
      <c r="L2" s="2"/>
      <c r="M2" s="2"/>
      <c r="N2" s="4"/>
      <c r="O2" s="4"/>
      <c r="P2" s="4"/>
      <c r="Q2" s="2"/>
      <c r="R2" s="2"/>
    </row>
    <row r="3" spans="1:18" ht="15.75">
      <c r="A3" s="1"/>
      <c r="B3" s="2"/>
      <c r="C3" s="2"/>
      <c r="D3" s="3"/>
      <c r="E3" s="3"/>
      <c r="F3" s="3"/>
      <c r="G3" s="3"/>
      <c r="H3" s="3"/>
      <c r="I3" s="2"/>
      <c r="J3" s="4"/>
      <c r="K3" s="4"/>
      <c r="L3" s="2"/>
      <c r="M3" s="2"/>
      <c r="N3" s="4"/>
      <c r="O3" s="4"/>
      <c r="P3" s="4"/>
      <c r="Q3" s="2"/>
      <c r="R3" s="2"/>
    </row>
    <row r="4" spans="1:18" ht="15.75">
      <c r="A4" s="1"/>
      <c r="B4" s="2"/>
      <c r="C4" s="2"/>
      <c r="D4" s="173" t="s">
        <v>0</v>
      </c>
      <c r="E4" s="174"/>
      <c r="F4" s="174"/>
      <c r="G4" s="174"/>
      <c r="H4" s="174"/>
      <c r="I4" s="2"/>
      <c r="J4" s="4"/>
      <c r="K4" s="4"/>
      <c r="L4" s="2"/>
      <c r="M4" s="2"/>
      <c r="N4" s="4"/>
      <c r="O4" s="4"/>
      <c r="P4" s="4"/>
      <c r="Q4" s="2"/>
      <c r="R4" s="2"/>
    </row>
    <row r="5" spans="1:18" ht="15.75">
      <c r="A5" s="1"/>
      <c r="B5" s="2"/>
      <c r="C5" s="2"/>
      <c r="D5" s="173" t="s">
        <v>1</v>
      </c>
      <c r="E5" s="174"/>
      <c r="F5" s="174"/>
      <c r="G5" s="174"/>
      <c r="H5" s="174"/>
      <c r="I5" s="2"/>
      <c r="J5" s="4"/>
      <c r="K5" s="4"/>
      <c r="L5" s="2"/>
      <c r="M5" s="2"/>
      <c r="N5" s="4"/>
      <c r="O5" s="4"/>
      <c r="P5" s="4"/>
      <c r="Q5" s="2"/>
      <c r="R5" s="2"/>
    </row>
    <row r="6" spans="1:18" ht="15.75">
      <c r="A6" s="1"/>
      <c r="B6" s="2"/>
      <c r="C6" s="2"/>
      <c r="D6" s="173" t="s">
        <v>2</v>
      </c>
      <c r="E6" s="174"/>
      <c r="F6" s="174"/>
      <c r="G6" s="174"/>
      <c r="H6" s="174"/>
      <c r="I6" s="2"/>
      <c r="J6" s="4"/>
      <c r="K6" s="4"/>
      <c r="L6" s="2"/>
      <c r="M6" s="2"/>
      <c r="N6" s="4"/>
      <c r="O6" s="4"/>
      <c r="P6" s="4"/>
      <c r="Q6" s="2"/>
      <c r="R6" s="2"/>
    </row>
    <row r="7" spans="1:18" ht="15.75">
      <c r="A7" s="1"/>
      <c r="B7" s="2"/>
      <c r="C7" s="2"/>
      <c r="D7" s="173"/>
      <c r="E7" s="174"/>
      <c r="F7" s="174"/>
      <c r="G7" s="174"/>
      <c r="H7" s="174"/>
      <c r="I7" s="2"/>
      <c r="J7" s="4"/>
      <c r="K7" s="4"/>
      <c r="L7" s="2"/>
      <c r="M7" s="2"/>
      <c r="N7" s="4"/>
      <c r="O7" s="4"/>
      <c r="P7" s="4"/>
      <c r="Q7" s="2"/>
      <c r="R7" s="2"/>
    </row>
    <row r="8" spans="1:18" ht="15.75">
      <c r="A8" s="1"/>
      <c r="B8" s="2"/>
      <c r="C8" s="2"/>
      <c r="D8" s="5"/>
      <c r="E8" s="5"/>
      <c r="F8" s="5"/>
      <c r="G8" s="5"/>
      <c r="H8" s="5"/>
      <c r="I8" s="2"/>
      <c r="J8" s="4"/>
      <c r="K8" s="4"/>
      <c r="L8" s="2"/>
      <c r="M8" s="2"/>
      <c r="N8" s="4"/>
      <c r="O8" s="4"/>
      <c r="P8" s="4"/>
      <c r="Q8" s="2"/>
      <c r="R8" s="2"/>
    </row>
    <row r="9" spans="1:18" ht="15.75">
      <c r="A9" s="1"/>
      <c r="B9" s="2"/>
      <c r="C9" s="2"/>
      <c r="D9" s="3"/>
      <c r="E9" s="3"/>
      <c r="F9" s="3"/>
      <c r="G9" s="3"/>
      <c r="H9" s="3"/>
      <c r="I9" s="2"/>
      <c r="J9" s="4"/>
      <c r="K9" s="4"/>
      <c r="L9" s="2"/>
      <c r="M9" s="2"/>
      <c r="N9" s="4"/>
      <c r="O9" s="4"/>
      <c r="P9" s="4"/>
      <c r="Q9" s="2"/>
      <c r="R9" s="2"/>
    </row>
    <row r="10" spans="1:18" ht="15.75">
      <c r="A10" s="1"/>
      <c r="B10" s="2"/>
      <c r="C10" s="2"/>
      <c r="D10" s="3"/>
      <c r="E10" s="3"/>
      <c r="F10" s="3"/>
      <c r="G10" s="3"/>
      <c r="H10" s="3"/>
      <c r="I10" s="2"/>
      <c r="J10" s="4"/>
      <c r="K10" s="4"/>
      <c r="L10" s="2"/>
      <c r="M10" s="2"/>
      <c r="N10" s="4"/>
      <c r="O10" s="4"/>
      <c r="P10" s="4"/>
      <c r="Q10" s="2"/>
      <c r="R10" s="2"/>
    </row>
    <row r="11" spans="1:18" ht="15.75">
      <c r="A11" s="1"/>
      <c r="B11" s="2"/>
      <c r="C11" s="2"/>
      <c r="D11" s="3"/>
      <c r="E11" s="3"/>
      <c r="F11" s="3"/>
      <c r="G11" s="3"/>
      <c r="H11" s="3"/>
      <c r="I11" s="2"/>
      <c r="J11" s="4"/>
      <c r="K11" s="4"/>
      <c r="L11" s="2"/>
      <c r="M11" s="2"/>
      <c r="N11" s="4"/>
      <c r="O11" s="4"/>
      <c r="P11" s="4"/>
      <c r="Q11" s="2"/>
      <c r="R11" s="2"/>
    </row>
    <row r="12" spans="1:18" ht="15.75">
      <c r="A12" s="6"/>
      <c r="B12" s="7"/>
      <c r="C12" s="7"/>
      <c r="D12" s="7"/>
      <c r="E12" s="7"/>
      <c r="F12" s="7"/>
      <c r="G12" s="7"/>
      <c r="H12" s="7"/>
      <c r="I12" s="7"/>
      <c r="J12" s="8"/>
      <c r="K12" s="8"/>
      <c r="L12" s="7"/>
      <c r="M12" s="7"/>
      <c r="N12" s="8"/>
      <c r="O12" s="8"/>
      <c r="P12" s="8"/>
      <c r="Q12" s="7"/>
      <c r="R12" s="7"/>
    </row>
    <row r="13" spans="1:18" ht="15.75">
      <c r="A13" s="6"/>
      <c r="B13" s="7"/>
      <c r="C13" s="10" t="s">
        <v>3</v>
      </c>
      <c r="D13" s="175" t="s">
        <v>4</v>
      </c>
      <c r="E13" s="157"/>
      <c r="F13" s="157"/>
      <c r="G13" s="157"/>
      <c r="H13" s="158"/>
      <c r="I13" s="11"/>
      <c r="J13" s="8"/>
      <c r="K13" s="8"/>
      <c r="L13" s="7"/>
      <c r="M13" s="7"/>
      <c r="N13" s="8"/>
      <c r="O13" s="8"/>
      <c r="P13" s="8"/>
      <c r="Q13" s="7"/>
      <c r="R13" s="7"/>
    </row>
    <row r="14" spans="1:18" ht="15.75">
      <c r="A14" s="6"/>
      <c r="B14" s="7"/>
      <c r="C14" s="10" t="s">
        <v>5</v>
      </c>
      <c r="D14" s="162" t="s">
        <v>6</v>
      </c>
      <c r="E14" s="157"/>
      <c r="F14" s="157"/>
      <c r="G14" s="157"/>
      <c r="H14" s="158"/>
      <c r="I14" s="12" t="s">
        <v>7</v>
      </c>
      <c r="J14" s="8"/>
      <c r="K14" s="8"/>
      <c r="L14" s="7"/>
      <c r="M14" s="7"/>
      <c r="N14" s="8"/>
      <c r="O14" s="8"/>
      <c r="P14" s="8"/>
      <c r="Q14" s="7"/>
      <c r="R14" s="7"/>
    </row>
    <row r="15" spans="1:18" ht="15.75">
      <c r="A15" s="6"/>
      <c r="B15" s="7"/>
      <c r="C15" s="10" t="s">
        <v>8</v>
      </c>
      <c r="D15" s="162" t="s">
        <v>9</v>
      </c>
      <c r="E15" s="157"/>
      <c r="F15" s="157"/>
      <c r="G15" s="157"/>
      <c r="H15" s="158"/>
      <c r="I15" s="12" t="s">
        <v>7</v>
      </c>
      <c r="J15" s="8"/>
      <c r="K15" s="8"/>
      <c r="L15" s="7"/>
      <c r="M15" s="7"/>
      <c r="N15" s="8"/>
      <c r="O15" s="8"/>
      <c r="P15" s="8"/>
      <c r="Q15" s="7"/>
      <c r="R15" s="7"/>
    </row>
    <row r="16" spans="1:18" ht="60">
      <c r="A16" s="6"/>
      <c r="B16" s="7"/>
      <c r="C16" s="10" t="s">
        <v>10</v>
      </c>
      <c r="D16" s="162" t="s">
        <v>11</v>
      </c>
      <c r="E16" s="157"/>
      <c r="F16" s="157"/>
      <c r="G16" s="157"/>
      <c r="H16" s="158"/>
      <c r="I16" s="13" t="s">
        <v>12</v>
      </c>
      <c r="J16" s="8"/>
      <c r="K16" s="8"/>
      <c r="L16" s="7"/>
      <c r="M16" s="7"/>
      <c r="N16" s="8"/>
      <c r="O16" s="8"/>
      <c r="P16" s="8"/>
      <c r="Q16" s="7"/>
      <c r="R16" s="7"/>
    </row>
    <row r="17" spans="1:18" ht="15.75">
      <c r="A17" s="6"/>
      <c r="B17" s="7"/>
      <c r="C17" s="10" t="s">
        <v>13</v>
      </c>
      <c r="D17" s="162" t="s">
        <v>14</v>
      </c>
      <c r="E17" s="157"/>
      <c r="F17" s="157"/>
      <c r="G17" s="157"/>
      <c r="H17" s="158"/>
      <c r="I17" s="12" t="s">
        <v>7</v>
      </c>
      <c r="J17" s="8"/>
      <c r="K17" s="8"/>
      <c r="L17" s="7"/>
      <c r="M17" s="7"/>
      <c r="N17" s="8"/>
      <c r="O17" s="8"/>
      <c r="P17" s="8"/>
      <c r="Q17" s="7"/>
      <c r="R17" s="7"/>
    </row>
    <row r="18" spans="1:18" ht="15.75">
      <c r="A18" s="14"/>
      <c r="B18" s="14"/>
      <c r="C18" s="10" t="s">
        <v>15</v>
      </c>
      <c r="D18" s="162" t="s">
        <v>16</v>
      </c>
      <c r="E18" s="157"/>
      <c r="F18" s="157"/>
      <c r="G18" s="157"/>
      <c r="H18" s="158"/>
      <c r="I18" s="12" t="s">
        <v>7</v>
      </c>
      <c r="J18" s="8"/>
      <c r="K18" s="8"/>
      <c r="L18" s="7"/>
      <c r="M18" s="7"/>
      <c r="N18" s="8"/>
      <c r="O18" s="8"/>
      <c r="P18" s="8"/>
      <c r="Q18" s="7"/>
      <c r="R18" s="7"/>
    </row>
    <row r="19" spans="1:18" ht="15.75" hidden="1">
      <c r="A19" s="15"/>
      <c r="B19" s="16"/>
      <c r="C19" s="10" t="s">
        <v>17</v>
      </c>
      <c r="D19" s="162"/>
      <c r="E19" s="157"/>
      <c r="F19" s="157"/>
      <c r="G19" s="157"/>
      <c r="H19" s="158"/>
      <c r="I19" s="11"/>
      <c r="J19" s="8"/>
      <c r="K19" s="8"/>
      <c r="L19" s="7"/>
      <c r="M19" s="7"/>
      <c r="N19" s="8"/>
      <c r="O19" s="8"/>
      <c r="P19" s="8"/>
      <c r="Q19" s="7"/>
      <c r="R19" s="7"/>
    </row>
    <row r="20" spans="1:18" ht="15.75">
      <c r="C20" s="10" t="s">
        <v>17</v>
      </c>
      <c r="D20" s="162" t="s">
        <v>18</v>
      </c>
      <c r="E20" s="157"/>
      <c r="F20" s="157"/>
      <c r="G20" s="157"/>
      <c r="H20" s="158"/>
      <c r="I20" s="12" t="s">
        <v>7</v>
      </c>
      <c r="J20" s="8"/>
      <c r="K20" s="8"/>
      <c r="L20" s="7"/>
      <c r="M20" s="7"/>
      <c r="N20" s="8"/>
      <c r="O20" s="8"/>
      <c r="P20" s="8"/>
      <c r="Q20" s="7"/>
      <c r="R20" s="7"/>
    </row>
    <row r="21" spans="1:18" ht="15.75">
      <c r="A21" s="17"/>
      <c r="B21" s="169" t="s">
        <v>19</v>
      </c>
      <c r="C21" s="10" t="s">
        <v>20</v>
      </c>
      <c r="D21" s="162" t="s">
        <v>21</v>
      </c>
      <c r="E21" s="157"/>
      <c r="F21" s="157"/>
      <c r="G21" s="157"/>
      <c r="H21" s="158"/>
      <c r="I21" s="12" t="s">
        <v>7</v>
      </c>
      <c r="K21" s="8"/>
      <c r="L21" s="7"/>
      <c r="M21" s="7"/>
      <c r="N21" s="8"/>
      <c r="O21" s="8"/>
      <c r="P21" s="8"/>
      <c r="Q21" s="7"/>
      <c r="R21" s="7"/>
    </row>
    <row r="22" spans="1:18" ht="15.75">
      <c r="A22" s="17"/>
      <c r="B22" s="170"/>
      <c r="C22" s="10" t="s">
        <v>22</v>
      </c>
      <c r="D22" s="162" t="s">
        <v>23</v>
      </c>
      <c r="E22" s="157"/>
      <c r="F22" s="157"/>
      <c r="G22" s="157"/>
      <c r="H22" s="158"/>
      <c r="I22" s="12" t="s">
        <v>7</v>
      </c>
      <c r="J22" s="8"/>
      <c r="K22" s="8"/>
      <c r="L22" s="7"/>
      <c r="M22" s="7"/>
      <c r="N22" s="8"/>
      <c r="O22" s="8"/>
      <c r="P22" s="8"/>
      <c r="Q22" s="7"/>
      <c r="R22" s="7"/>
    </row>
    <row r="23" spans="1:18" ht="15.75">
      <c r="A23" s="18"/>
      <c r="B23" s="171" t="s">
        <v>24</v>
      </c>
      <c r="C23" s="10" t="s">
        <v>25</v>
      </c>
      <c r="D23" s="162" t="s">
        <v>26</v>
      </c>
      <c r="E23" s="157"/>
      <c r="F23" s="157"/>
      <c r="G23" s="157"/>
      <c r="H23" s="158"/>
      <c r="I23" s="12" t="s">
        <v>7</v>
      </c>
      <c r="J23" s="8"/>
      <c r="K23" s="8"/>
      <c r="L23" s="7"/>
      <c r="M23" s="7"/>
      <c r="N23" s="8"/>
      <c r="O23" s="8"/>
      <c r="P23" s="8"/>
      <c r="Q23" s="7"/>
      <c r="R23" s="7"/>
    </row>
    <row r="24" spans="1:18" ht="31.5">
      <c r="A24" s="18"/>
      <c r="B24" s="172"/>
      <c r="C24" s="10" t="s">
        <v>27</v>
      </c>
      <c r="D24" s="162" t="s">
        <v>28</v>
      </c>
      <c r="E24" s="157"/>
      <c r="F24" s="157"/>
      <c r="G24" s="157"/>
      <c r="H24" s="158"/>
      <c r="I24" s="12" t="s">
        <v>7</v>
      </c>
      <c r="J24" s="8"/>
      <c r="K24" s="8"/>
      <c r="L24" s="7"/>
      <c r="M24" s="7"/>
      <c r="N24" s="8"/>
      <c r="O24" s="8"/>
      <c r="P24" s="8"/>
      <c r="Q24" s="7"/>
      <c r="R24" s="7"/>
    </row>
    <row r="25" spans="1:18" ht="15.75">
      <c r="A25" s="18"/>
      <c r="B25" s="171" t="s">
        <v>29</v>
      </c>
      <c r="C25" s="10" t="s">
        <v>30</v>
      </c>
      <c r="D25" s="162" t="s">
        <v>31</v>
      </c>
      <c r="E25" s="157"/>
      <c r="F25" s="157"/>
      <c r="G25" s="157"/>
      <c r="H25" s="158"/>
      <c r="I25" s="12" t="s">
        <v>7</v>
      </c>
      <c r="J25" s="8"/>
      <c r="K25" s="8"/>
      <c r="L25" s="7"/>
      <c r="M25" s="7"/>
      <c r="N25" s="8"/>
      <c r="O25" s="8"/>
      <c r="P25" s="8"/>
      <c r="Q25" s="7"/>
      <c r="R25" s="7"/>
    </row>
    <row r="26" spans="1:18" ht="15.75">
      <c r="A26" s="18"/>
      <c r="B26" s="170"/>
      <c r="C26" s="10" t="s">
        <v>32</v>
      </c>
      <c r="D26" s="162" t="s">
        <v>33</v>
      </c>
      <c r="E26" s="157"/>
      <c r="F26" s="157"/>
      <c r="G26" s="157"/>
      <c r="H26" s="158"/>
      <c r="I26" s="12" t="s">
        <v>7</v>
      </c>
      <c r="J26" s="8"/>
      <c r="K26" s="8"/>
      <c r="L26" s="7"/>
      <c r="M26" s="7"/>
      <c r="N26" s="8"/>
      <c r="O26" s="8"/>
      <c r="P26" s="8"/>
      <c r="Q26" s="7"/>
      <c r="R26" s="7"/>
    </row>
    <row r="27" spans="1:18" ht="15.75">
      <c r="A27" s="18"/>
      <c r="B27" s="170"/>
      <c r="C27" s="10" t="s">
        <v>34</v>
      </c>
      <c r="D27" s="162" t="s">
        <v>35</v>
      </c>
      <c r="E27" s="157"/>
      <c r="F27" s="157"/>
      <c r="G27" s="157"/>
      <c r="H27" s="158"/>
      <c r="I27" s="12" t="s">
        <v>7</v>
      </c>
      <c r="J27" s="8"/>
      <c r="K27" s="8"/>
      <c r="L27" s="7"/>
      <c r="M27" s="7"/>
      <c r="N27" s="8"/>
      <c r="O27" s="8"/>
      <c r="P27" s="8"/>
      <c r="Q27" s="7"/>
      <c r="R27" s="7"/>
    </row>
    <row r="28" spans="1:18" ht="15.75">
      <c r="A28" s="18"/>
      <c r="B28" s="170"/>
      <c r="C28" s="10" t="s">
        <v>36</v>
      </c>
      <c r="D28" s="162" t="s">
        <v>37</v>
      </c>
      <c r="E28" s="157"/>
      <c r="F28" s="157"/>
      <c r="G28" s="157"/>
      <c r="H28" s="158"/>
      <c r="I28" s="7"/>
      <c r="J28" s="8"/>
      <c r="K28" s="8"/>
      <c r="L28" s="7"/>
      <c r="M28" s="7"/>
      <c r="N28" s="8"/>
      <c r="O28" s="19"/>
      <c r="P28" s="19"/>
      <c r="Q28" s="7"/>
      <c r="R28" s="7"/>
    </row>
    <row r="29" spans="1:18" ht="31.5">
      <c r="A29" s="14"/>
      <c r="B29" s="14"/>
      <c r="C29" s="10" t="s">
        <v>38</v>
      </c>
      <c r="D29" s="163" t="s">
        <v>39</v>
      </c>
      <c r="E29" s="157"/>
      <c r="F29" s="157"/>
      <c r="G29" s="157"/>
      <c r="H29" s="157"/>
      <c r="I29" s="7"/>
      <c r="J29" s="8"/>
      <c r="K29" s="8"/>
      <c r="L29" s="7"/>
      <c r="M29" s="7"/>
      <c r="N29" s="8"/>
      <c r="O29" s="19"/>
      <c r="P29" s="19"/>
      <c r="Q29" s="7"/>
      <c r="R29" s="7"/>
    </row>
    <row r="30" spans="1:18" ht="15.75">
      <c r="A30" s="14"/>
      <c r="B30" s="14"/>
      <c r="C30" s="20" t="s">
        <v>40</v>
      </c>
      <c r="D30" s="165"/>
      <c r="E30" s="157"/>
      <c r="F30" s="157"/>
      <c r="G30" s="157"/>
      <c r="H30" s="158"/>
      <c r="I30" s="11"/>
      <c r="J30" s="8"/>
      <c r="K30" s="8"/>
      <c r="L30" s="7"/>
      <c r="M30" s="7"/>
      <c r="N30" s="8"/>
      <c r="O30" s="8"/>
      <c r="P30" s="8"/>
      <c r="Q30" s="7"/>
      <c r="R30" s="7"/>
    </row>
    <row r="31" spans="1:18" ht="15.75">
      <c r="A31" s="6"/>
      <c r="B31" s="7"/>
      <c r="C31" s="7"/>
      <c r="D31" s="21"/>
      <c r="E31" s="21"/>
      <c r="F31" s="21"/>
      <c r="G31" s="21"/>
      <c r="H31" s="21"/>
      <c r="I31" s="22"/>
      <c r="J31" s="22"/>
      <c r="K31" s="22"/>
      <c r="L31" s="22"/>
      <c r="M31" s="22"/>
      <c r="N31" s="22"/>
      <c r="O31" s="22"/>
      <c r="P31" s="22"/>
      <c r="Q31" s="22"/>
      <c r="R31" s="22"/>
    </row>
    <row r="32" spans="1:18" ht="63">
      <c r="A32" s="24"/>
      <c r="B32" s="25" t="s">
        <v>42</v>
      </c>
      <c r="C32" s="26" t="s">
        <v>43</v>
      </c>
      <c r="D32" s="20" t="s">
        <v>44</v>
      </c>
      <c r="E32" s="20" t="s">
        <v>45</v>
      </c>
      <c r="F32" s="20" t="s">
        <v>46</v>
      </c>
      <c r="G32" s="20" t="s">
        <v>47</v>
      </c>
      <c r="H32" s="20" t="s">
        <v>48</v>
      </c>
      <c r="I32" s="20" t="s">
        <v>49</v>
      </c>
      <c r="J32" s="27" t="s">
        <v>50</v>
      </c>
      <c r="K32" s="27" t="s">
        <v>51</v>
      </c>
      <c r="L32" s="20" t="s">
        <v>52</v>
      </c>
      <c r="M32" s="20" t="s">
        <v>53</v>
      </c>
      <c r="N32" s="27" t="s">
        <v>54</v>
      </c>
      <c r="O32" s="27" t="s">
        <v>55</v>
      </c>
      <c r="P32" s="27" t="s">
        <v>409</v>
      </c>
      <c r="Q32" s="20" t="s">
        <v>57</v>
      </c>
      <c r="R32" s="20" t="s">
        <v>58</v>
      </c>
    </row>
    <row r="33" spans="1:18" ht="370.5">
      <c r="B33" s="7"/>
      <c r="C33" s="10" t="s">
        <v>74</v>
      </c>
      <c r="D33" s="31" t="s">
        <v>75</v>
      </c>
      <c r="E33" s="31" t="s">
        <v>76</v>
      </c>
      <c r="F33" s="31" t="s">
        <v>77</v>
      </c>
      <c r="G33" s="32" t="s">
        <v>78</v>
      </c>
      <c r="H33" s="32" t="s">
        <v>79</v>
      </c>
      <c r="I33" s="31" t="s">
        <v>80</v>
      </c>
      <c r="J33" s="33" t="s">
        <v>81</v>
      </c>
      <c r="K33" s="33" t="s">
        <v>82</v>
      </c>
      <c r="L33" s="32" t="s">
        <v>83</v>
      </c>
      <c r="M33" s="32" t="s">
        <v>84</v>
      </c>
      <c r="N33" s="34" t="s">
        <v>85</v>
      </c>
      <c r="O33" s="35">
        <v>37931</v>
      </c>
      <c r="P33" s="96">
        <v>1.0058644497757625</v>
      </c>
      <c r="Q33" s="31" t="s">
        <v>86</v>
      </c>
      <c r="R33" s="31" t="s">
        <v>87</v>
      </c>
    </row>
    <row r="34" spans="1:18" ht="199.5">
      <c r="B34" s="38" t="s">
        <v>7</v>
      </c>
      <c r="C34" s="10" t="s">
        <v>88</v>
      </c>
      <c r="D34" s="31" t="s">
        <v>89</v>
      </c>
      <c r="E34" s="31" t="s">
        <v>90</v>
      </c>
      <c r="F34" s="31" t="s">
        <v>91</v>
      </c>
      <c r="G34" s="32" t="s">
        <v>92</v>
      </c>
      <c r="H34" s="32" t="s">
        <v>79</v>
      </c>
      <c r="I34" s="31" t="s">
        <v>93</v>
      </c>
      <c r="J34" s="39" t="s">
        <v>94</v>
      </c>
      <c r="K34" s="40" t="s">
        <v>95</v>
      </c>
      <c r="L34" s="32" t="s">
        <v>83</v>
      </c>
      <c r="M34" s="32" t="s">
        <v>84</v>
      </c>
      <c r="N34" s="34" t="s">
        <v>85</v>
      </c>
      <c r="O34" s="41">
        <v>1505457</v>
      </c>
      <c r="P34" s="97">
        <v>0.75285393220943686</v>
      </c>
      <c r="Q34" s="31" t="s">
        <v>96</v>
      </c>
      <c r="R34" s="31" t="s">
        <v>97</v>
      </c>
    </row>
    <row r="35" spans="1:18" ht="185.25">
      <c r="B35" s="43" t="s">
        <v>98</v>
      </c>
      <c r="C35" s="44" t="s">
        <v>99</v>
      </c>
      <c r="D35" s="31" t="s">
        <v>100</v>
      </c>
      <c r="E35" s="31" t="s">
        <v>101</v>
      </c>
      <c r="F35" s="31" t="s">
        <v>102</v>
      </c>
      <c r="G35" s="31" t="s">
        <v>103</v>
      </c>
      <c r="H35" s="31" t="s">
        <v>79</v>
      </c>
      <c r="I35" s="31" t="s">
        <v>104</v>
      </c>
      <c r="J35" s="31" t="s">
        <v>105</v>
      </c>
      <c r="K35" s="45" t="s">
        <v>106</v>
      </c>
      <c r="L35" s="31" t="s">
        <v>107</v>
      </c>
      <c r="M35" s="31" t="s">
        <v>108</v>
      </c>
      <c r="N35" s="31" t="s">
        <v>85</v>
      </c>
      <c r="O35" s="33">
        <v>9</v>
      </c>
      <c r="P35" s="96">
        <v>0.33333333333333331</v>
      </c>
      <c r="Q35" s="31" t="s">
        <v>86</v>
      </c>
      <c r="R35" s="31" t="s">
        <v>109</v>
      </c>
    </row>
    <row r="36" spans="1:18" ht="156.75">
      <c r="A36" s="47"/>
      <c r="B36" s="48"/>
      <c r="C36" s="49" t="s">
        <v>110</v>
      </c>
      <c r="D36" s="31" t="s">
        <v>111</v>
      </c>
      <c r="E36" s="50" t="s">
        <v>112</v>
      </c>
      <c r="F36" s="31" t="s">
        <v>113</v>
      </c>
      <c r="G36" s="51" t="s">
        <v>103</v>
      </c>
      <c r="H36" s="51" t="s">
        <v>114</v>
      </c>
      <c r="I36" s="50" t="s">
        <v>115</v>
      </c>
      <c r="J36" s="52" t="s">
        <v>116</v>
      </c>
      <c r="K36" s="33" t="s">
        <v>117</v>
      </c>
      <c r="L36" s="31" t="s">
        <v>107</v>
      </c>
      <c r="M36" s="53" t="s">
        <v>108</v>
      </c>
      <c r="N36" s="31">
        <v>517</v>
      </c>
      <c r="O36" s="33">
        <v>7450</v>
      </c>
      <c r="P36" s="31" t="s">
        <v>339</v>
      </c>
      <c r="Q36" s="32" t="s">
        <v>118</v>
      </c>
      <c r="R36" s="31" t="s">
        <v>119</v>
      </c>
    </row>
    <row r="37" spans="1:18" ht="142.5">
      <c r="A37" s="55"/>
      <c r="B37" s="48"/>
      <c r="C37" s="49" t="s">
        <v>120</v>
      </c>
      <c r="D37" s="31" t="s">
        <v>121</v>
      </c>
      <c r="E37" s="31" t="s">
        <v>122</v>
      </c>
      <c r="F37" s="31" t="s">
        <v>123</v>
      </c>
      <c r="G37" s="51" t="s">
        <v>103</v>
      </c>
      <c r="H37" s="51" t="s">
        <v>114</v>
      </c>
      <c r="I37" s="31" t="s">
        <v>124</v>
      </c>
      <c r="J37" s="52" t="s">
        <v>125</v>
      </c>
      <c r="K37" s="33" t="s">
        <v>126</v>
      </c>
      <c r="L37" s="31" t="s">
        <v>107</v>
      </c>
      <c r="M37" s="56" t="s">
        <v>108</v>
      </c>
      <c r="N37" s="31">
        <v>925</v>
      </c>
      <c r="O37" s="57">
        <v>640</v>
      </c>
      <c r="P37" s="31" t="s">
        <v>340</v>
      </c>
      <c r="Q37" s="31" t="s">
        <v>127</v>
      </c>
      <c r="R37" s="31" t="s">
        <v>128</v>
      </c>
    </row>
    <row r="38" spans="1:18" ht="128.25">
      <c r="A38" s="55"/>
      <c r="B38" s="48"/>
      <c r="C38" s="49" t="s">
        <v>130</v>
      </c>
      <c r="D38" s="31" t="s">
        <v>131</v>
      </c>
      <c r="E38" s="31" t="s">
        <v>132</v>
      </c>
      <c r="F38" s="31" t="s">
        <v>133</v>
      </c>
      <c r="G38" s="51" t="s">
        <v>103</v>
      </c>
      <c r="H38" s="51" t="s">
        <v>114</v>
      </c>
      <c r="I38" s="50" t="s">
        <v>134</v>
      </c>
      <c r="J38" s="58" t="s">
        <v>135</v>
      </c>
      <c r="K38" s="58" t="s">
        <v>136</v>
      </c>
      <c r="L38" s="31" t="s">
        <v>107</v>
      </c>
      <c r="M38" s="56" t="s">
        <v>108</v>
      </c>
      <c r="N38" s="31">
        <v>10405</v>
      </c>
      <c r="O38" s="59">
        <v>5000</v>
      </c>
      <c r="P38" s="31" t="s">
        <v>341</v>
      </c>
      <c r="Q38" s="31" t="s">
        <v>137</v>
      </c>
      <c r="R38" s="31" t="s">
        <v>138</v>
      </c>
    </row>
    <row r="39" spans="1:18" ht="213.75">
      <c r="A39" s="55"/>
      <c r="B39" s="48"/>
      <c r="C39" s="49" t="s">
        <v>139</v>
      </c>
      <c r="D39" s="31" t="s">
        <v>140</v>
      </c>
      <c r="E39" s="31" t="s">
        <v>141</v>
      </c>
      <c r="F39" s="31" t="s">
        <v>142</v>
      </c>
      <c r="G39" s="51" t="s">
        <v>103</v>
      </c>
      <c r="H39" s="51" t="s">
        <v>114</v>
      </c>
      <c r="I39" s="50" t="s">
        <v>143</v>
      </c>
      <c r="J39" s="60" t="s">
        <v>144</v>
      </c>
      <c r="K39" s="60" t="s">
        <v>145</v>
      </c>
      <c r="L39" s="31" t="s">
        <v>107</v>
      </c>
      <c r="M39" s="56" t="s">
        <v>108</v>
      </c>
      <c r="N39" s="61">
        <v>9826</v>
      </c>
      <c r="O39" s="59">
        <v>8791</v>
      </c>
      <c r="P39" s="31" t="s">
        <v>342</v>
      </c>
      <c r="Q39" s="50" t="s">
        <v>118</v>
      </c>
      <c r="R39" s="31" t="s">
        <v>146</v>
      </c>
    </row>
    <row r="40" spans="1:18" ht="114">
      <c r="A40" s="55"/>
      <c r="B40" s="48"/>
      <c r="C40" s="49" t="s">
        <v>147</v>
      </c>
      <c r="D40" s="31" t="s">
        <v>148</v>
      </c>
      <c r="E40" s="31" t="s">
        <v>149</v>
      </c>
      <c r="F40" s="31" t="s">
        <v>150</v>
      </c>
      <c r="G40" s="51" t="s">
        <v>103</v>
      </c>
      <c r="H40" s="31" t="s">
        <v>114</v>
      </c>
      <c r="I40" s="50" t="s">
        <v>151</v>
      </c>
      <c r="J40" s="58" t="s">
        <v>152</v>
      </c>
      <c r="K40" s="58" t="s">
        <v>153</v>
      </c>
      <c r="L40" s="31" t="s">
        <v>107</v>
      </c>
      <c r="M40" s="62" t="s">
        <v>108</v>
      </c>
      <c r="N40" s="63">
        <v>1378450</v>
      </c>
      <c r="O40" s="59">
        <v>1190350</v>
      </c>
      <c r="P40" s="31" t="s">
        <v>343</v>
      </c>
      <c r="Q40" s="32" t="s">
        <v>154</v>
      </c>
      <c r="R40" s="31" t="s">
        <v>155</v>
      </c>
    </row>
    <row r="41" spans="1:18" ht="128.25">
      <c r="A41" s="55"/>
      <c r="B41" s="48"/>
      <c r="C41" s="49" t="s">
        <v>156</v>
      </c>
      <c r="D41" s="31" t="s">
        <v>157</v>
      </c>
      <c r="E41" s="31" t="s">
        <v>158</v>
      </c>
      <c r="F41" s="31" t="s">
        <v>159</v>
      </c>
      <c r="G41" s="51" t="s">
        <v>103</v>
      </c>
      <c r="H41" s="31" t="s">
        <v>114</v>
      </c>
      <c r="I41" s="50" t="s">
        <v>160</v>
      </c>
      <c r="J41" s="58" t="s">
        <v>152</v>
      </c>
      <c r="K41" s="58" t="s">
        <v>161</v>
      </c>
      <c r="L41" s="31" t="s">
        <v>107</v>
      </c>
      <c r="M41" s="62" t="s">
        <v>108</v>
      </c>
      <c r="N41" s="61">
        <v>26296</v>
      </c>
      <c r="O41" s="59">
        <v>26292</v>
      </c>
      <c r="P41" s="31" t="s">
        <v>344</v>
      </c>
      <c r="Q41" s="32" t="s">
        <v>154</v>
      </c>
      <c r="R41" s="31" t="s">
        <v>162</v>
      </c>
    </row>
    <row r="42" spans="1:18" ht="156.75">
      <c r="A42" s="55"/>
      <c r="B42" s="48"/>
      <c r="C42" s="49" t="s">
        <v>163</v>
      </c>
      <c r="D42" s="31" t="s">
        <v>164</v>
      </c>
      <c r="E42" s="31" t="s">
        <v>165</v>
      </c>
      <c r="F42" s="31" t="s">
        <v>166</v>
      </c>
      <c r="G42" s="51" t="s">
        <v>103</v>
      </c>
      <c r="H42" s="31" t="s">
        <v>114</v>
      </c>
      <c r="I42" s="50" t="s">
        <v>151</v>
      </c>
      <c r="J42" s="58" t="s">
        <v>152</v>
      </c>
      <c r="K42" s="58" t="s">
        <v>153</v>
      </c>
      <c r="L42" s="31" t="s">
        <v>107</v>
      </c>
      <c r="M42" s="62" t="s">
        <v>108</v>
      </c>
      <c r="N42" s="63">
        <v>4560</v>
      </c>
      <c r="O42" s="59">
        <v>4020</v>
      </c>
      <c r="P42" s="31" t="s">
        <v>345</v>
      </c>
      <c r="Q42" s="32" t="s">
        <v>154</v>
      </c>
      <c r="R42" s="31" t="s">
        <v>167</v>
      </c>
    </row>
    <row r="43" spans="1:18" ht="114">
      <c r="A43" s="55"/>
      <c r="B43" s="48"/>
      <c r="C43" s="49" t="s">
        <v>168</v>
      </c>
      <c r="D43" s="31" t="s">
        <v>169</v>
      </c>
      <c r="E43" s="31" t="s">
        <v>170</v>
      </c>
      <c r="F43" s="31" t="s">
        <v>171</v>
      </c>
      <c r="G43" s="51" t="s">
        <v>103</v>
      </c>
      <c r="H43" s="31" t="s">
        <v>114</v>
      </c>
      <c r="I43" s="31" t="s">
        <v>172</v>
      </c>
      <c r="J43" s="58" t="s">
        <v>173</v>
      </c>
      <c r="K43" s="58" t="s">
        <v>174</v>
      </c>
      <c r="L43" s="31" t="s">
        <v>107</v>
      </c>
      <c r="M43" s="62" t="s">
        <v>108</v>
      </c>
      <c r="N43" s="63">
        <v>7997</v>
      </c>
      <c r="O43" s="59">
        <v>6000</v>
      </c>
      <c r="P43" s="31" t="s">
        <v>346</v>
      </c>
      <c r="Q43" s="31" t="s">
        <v>175</v>
      </c>
      <c r="R43" s="31" t="s">
        <v>176</v>
      </c>
    </row>
    <row r="44" spans="1:18" ht="128.25">
      <c r="A44" s="55"/>
      <c r="B44" s="48"/>
      <c r="C44" s="49" t="s">
        <v>177</v>
      </c>
      <c r="D44" s="31" t="s">
        <v>178</v>
      </c>
      <c r="E44" s="31" t="s">
        <v>179</v>
      </c>
      <c r="F44" s="31" t="s">
        <v>180</v>
      </c>
      <c r="G44" s="31" t="s">
        <v>103</v>
      </c>
      <c r="H44" s="31" t="s">
        <v>114</v>
      </c>
      <c r="I44" s="31" t="s">
        <v>181</v>
      </c>
      <c r="J44" s="31" t="s">
        <v>182</v>
      </c>
      <c r="K44" s="31">
        <v>4</v>
      </c>
      <c r="L44" s="31" t="s">
        <v>183</v>
      </c>
      <c r="M44" s="31" t="s">
        <v>184</v>
      </c>
      <c r="N44" s="31">
        <v>2676</v>
      </c>
      <c r="O44" s="33">
        <v>2550</v>
      </c>
      <c r="P44" s="31">
        <v>1781.3</v>
      </c>
      <c r="Q44" s="31" t="s">
        <v>185</v>
      </c>
      <c r="R44" s="31" t="s">
        <v>186</v>
      </c>
    </row>
    <row r="45" spans="1:18" ht="128.25">
      <c r="A45" s="55"/>
      <c r="B45" s="48"/>
      <c r="C45" s="49" t="s">
        <v>187</v>
      </c>
      <c r="D45" s="31" t="s">
        <v>188</v>
      </c>
      <c r="E45" s="31" t="s">
        <v>189</v>
      </c>
      <c r="F45" s="31" t="s">
        <v>190</v>
      </c>
      <c r="G45" s="31" t="s">
        <v>103</v>
      </c>
      <c r="H45" s="31" t="s">
        <v>114</v>
      </c>
      <c r="I45" s="31" t="s">
        <v>191</v>
      </c>
      <c r="J45" s="31" t="s">
        <v>192</v>
      </c>
      <c r="K45" s="31" t="s">
        <v>193</v>
      </c>
      <c r="L45" s="31" t="s">
        <v>107</v>
      </c>
      <c r="M45" s="31" t="s">
        <v>108</v>
      </c>
      <c r="N45" s="31" t="s">
        <v>85</v>
      </c>
      <c r="O45" s="33">
        <v>15000</v>
      </c>
      <c r="P45" s="31" t="s">
        <v>347</v>
      </c>
      <c r="Q45" s="31" t="s">
        <v>185</v>
      </c>
      <c r="R45" s="31" t="s">
        <v>186</v>
      </c>
    </row>
    <row r="46" spans="1:18" ht="128.25">
      <c r="A46" s="55"/>
      <c r="B46" s="48"/>
      <c r="C46" s="49" t="s">
        <v>194</v>
      </c>
      <c r="D46" s="31" t="s">
        <v>195</v>
      </c>
      <c r="E46" s="31" t="s">
        <v>196</v>
      </c>
      <c r="F46" s="31" t="s">
        <v>197</v>
      </c>
      <c r="G46" s="51" t="s">
        <v>103</v>
      </c>
      <c r="H46" s="31" t="s">
        <v>114</v>
      </c>
      <c r="I46" s="50" t="s">
        <v>198</v>
      </c>
      <c r="J46" s="58" t="s">
        <v>199</v>
      </c>
      <c r="K46" s="58" t="s">
        <v>200</v>
      </c>
      <c r="L46" s="31" t="s">
        <v>107</v>
      </c>
      <c r="M46" s="62" t="s">
        <v>108</v>
      </c>
      <c r="N46" s="63">
        <v>28995</v>
      </c>
      <c r="O46" s="59">
        <v>29000</v>
      </c>
      <c r="P46" s="31" t="s">
        <v>348</v>
      </c>
      <c r="Q46" s="32" t="s">
        <v>201</v>
      </c>
      <c r="R46" s="31" t="s">
        <v>202</v>
      </c>
    </row>
    <row r="47" spans="1:18" ht="171">
      <c r="A47" s="55"/>
      <c r="B47" s="48"/>
      <c r="C47" s="49" t="s">
        <v>203</v>
      </c>
      <c r="D47" s="31" t="s">
        <v>204</v>
      </c>
      <c r="E47" s="31" t="s">
        <v>205</v>
      </c>
      <c r="F47" s="31" t="s">
        <v>206</v>
      </c>
      <c r="G47" s="51" t="s">
        <v>103</v>
      </c>
      <c r="H47" s="31" t="s">
        <v>114</v>
      </c>
      <c r="I47" s="31" t="s">
        <v>207</v>
      </c>
      <c r="J47" s="58" t="s">
        <v>208</v>
      </c>
      <c r="K47" s="58">
        <v>4</v>
      </c>
      <c r="L47" s="31" t="s">
        <v>183</v>
      </c>
      <c r="M47" s="62" t="s">
        <v>184</v>
      </c>
      <c r="N47" s="31" t="s">
        <v>85</v>
      </c>
      <c r="O47" s="57">
        <v>1500</v>
      </c>
      <c r="P47" s="31">
        <v>1194.8</v>
      </c>
      <c r="Q47" s="32" t="s">
        <v>118</v>
      </c>
      <c r="R47" s="31" t="s">
        <v>209</v>
      </c>
    </row>
    <row r="48" spans="1:18" ht="171">
      <c r="A48" s="55"/>
      <c r="B48" s="48"/>
      <c r="C48" s="49" t="s">
        <v>210</v>
      </c>
      <c r="D48" s="31" t="s">
        <v>211</v>
      </c>
      <c r="E48" s="31" t="s">
        <v>212</v>
      </c>
      <c r="F48" s="31" t="s">
        <v>213</v>
      </c>
      <c r="G48" s="51" t="s">
        <v>103</v>
      </c>
      <c r="H48" s="31" t="s">
        <v>114</v>
      </c>
      <c r="I48" s="50" t="s">
        <v>214</v>
      </c>
      <c r="J48" s="58" t="s">
        <v>215</v>
      </c>
      <c r="K48" s="58" t="s">
        <v>216</v>
      </c>
      <c r="L48" s="31" t="s">
        <v>107</v>
      </c>
      <c r="M48" s="62" t="s">
        <v>108</v>
      </c>
      <c r="N48" s="63">
        <v>203457</v>
      </c>
      <c r="O48" s="57">
        <v>224400</v>
      </c>
      <c r="P48" s="31" t="s">
        <v>349</v>
      </c>
      <c r="Q48" s="32" t="s">
        <v>118</v>
      </c>
      <c r="R48" s="31" t="s">
        <v>209</v>
      </c>
    </row>
    <row r="49" spans="1:18" ht="114">
      <c r="A49" s="55"/>
      <c r="B49" s="48"/>
      <c r="C49" s="49" t="s">
        <v>217</v>
      </c>
      <c r="D49" s="64" t="s">
        <v>218</v>
      </c>
      <c r="E49" s="64" t="s">
        <v>219</v>
      </c>
      <c r="F49" s="64" t="s">
        <v>220</v>
      </c>
      <c r="G49" s="65" t="s">
        <v>103</v>
      </c>
      <c r="H49" s="64" t="s">
        <v>114</v>
      </c>
      <c r="I49" s="64" t="s">
        <v>221</v>
      </c>
      <c r="J49" s="66" t="s">
        <v>222</v>
      </c>
      <c r="K49" s="66">
        <v>4</v>
      </c>
      <c r="L49" s="31" t="s">
        <v>183</v>
      </c>
      <c r="M49" s="67" t="s">
        <v>184</v>
      </c>
      <c r="N49" s="68" t="s">
        <v>85</v>
      </c>
      <c r="O49" s="69">
        <v>4500</v>
      </c>
      <c r="P49" s="31">
        <v>3579.5</v>
      </c>
      <c r="Q49" s="31" t="s">
        <v>223</v>
      </c>
      <c r="R49" s="31" t="s">
        <v>224</v>
      </c>
    </row>
    <row r="50" spans="1:18" ht="114">
      <c r="A50" s="55"/>
      <c r="B50" s="48"/>
      <c r="C50" s="49" t="s">
        <v>225</v>
      </c>
      <c r="D50" s="31" t="s">
        <v>226</v>
      </c>
      <c r="E50" s="31" t="s">
        <v>227</v>
      </c>
      <c r="F50" s="31" t="s">
        <v>228</v>
      </c>
      <c r="G50" s="51" t="s">
        <v>103</v>
      </c>
      <c r="H50" s="31" t="s">
        <v>114</v>
      </c>
      <c r="I50" s="31" t="s">
        <v>229</v>
      </c>
      <c r="J50" s="58" t="s">
        <v>230</v>
      </c>
      <c r="K50" s="58">
        <v>4</v>
      </c>
      <c r="L50" s="31" t="s">
        <v>183</v>
      </c>
      <c r="M50" s="62" t="s">
        <v>184</v>
      </c>
      <c r="N50" s="36"/>
      <c r="O50" s="57">
        <v>780</v>
      </c>
      <c r="P50" s="31">
        <v>574.29999999999995</v>
      </c>
      <c r="Q50" s="31" t="s">
        <v>231</v>
      </c>
      <c r="R50" s="31" t="s">
        <v>232</v>
      </c>
    </row>
    <row r="51" spans="1:18" ht="99.75">
      <c r="A51" s="55"/>
      <c r="B51" s="48"/>
      <c r="C51" s="49" t="s">
        <v>233</v>
      </c>
      <c r="D51" s="31" t="s">
        <v>234</v>
      </c>
      <c r="E51" s="31" t="s">
        <v>235</v>
      </c>
      <c r="F51" s="31" t="s">
        <v>236</v>
      </c>
      <c r="G51" s="51" t="s">
        <v>103</v>
      </c>
      <c r="H51" s="31" t="s">
        <v>114</v>
      </c>
      <c r="I51" s="50" t="s">
        <v>237</v>
      </c>
      <c r="J51" s="58" t="s">
        <v>238</v>
      </c>
      <c r="K51" s="58" t="s">
        <v>239</v>
      </c>
      <c r="L51" s="31" t="s">
        <v>107</v>
      </c>
      <c r="M51" s="62" t="s">
        <v>108</v>
      </c>
      <c r="N51" s="63">
        <v>2037</v>
      </c>
      <c r="O51" s="57">
        <v>2030</v>
      </c>
      <c r="P51" s="31" t="s">
        <v>350</v>
      </c>
      <c r="Q51" s="32" t="s">
        <v>240</v>
      </c>
      <c r="R51" s="31" t="s">
        <v>241</v>
      </c>
    </row>
    <row r="52" spans="1:18" ht="99.75">
      <c r="A52" s="71"/>
      <c r="B52" s="48"/>
      <c r="C52" s="49" t="s">
        <v>242</v>
      </c>
      <c r="D52" s="31" t="s">
        <v>243</v>
      </c>
      <c r="E52" s="31" t="s">
        <v>244</v>
      </c>
      <c r="F52" s="31" t="s">
        <v>245</v>
      </c>
      <c r="G52" s="51" t="s">
        <v>103</v>
      </c>
      <c r="H52" s="31" t="s">
        <v>114</v>
      </c>
      <c r="I52" s="50" t="s">
        <v>246</v>
      </c>
      <c r="J52" s="58" t="s">
        <v>247</v>
      </c>
      <c r="K52" s="58" t="s">
        <v>248</v>
      </c>
      <c r="L52" s="31" t="s">
        <v>107</v>
      </c>
      <c r="M52" s="62" t="s">
        <v>108</v>
      </c>
      <c r="N52" s="31" t="s">
        <v>85</v>
      </c>
      <c r="O52" s="57">
        <v>1188</v>
      </c>
      <c r="P52" s="31" t="s">
        <v>351</v>
      </c>
      <c r="Q52" s="32" t="s">
        <v>249</v>
      </c>
      <c r="R52" s="31" t="s">
        <v>241</v>
      </c>
    </row>
    <row r="53" spans="1:18" ht="99.75">
      <c r="B53" s="72" t="s">
        <v>98</v>
      </c>
      <c r="C53" s="73" t="s">
        <v>250</v>
      </c>
      <c r="D53" s="31" t="s">
        <v>251</v>
      </c>
      <c r="E53" s="31" t="s">
        <v>352</v>
      </c>
      <c r="F53" s="31" t="s">
        <v>113</v>
      </c>
      <c r="G53" s="31" t="s">
        <v>103</v>
      </c>
      <c r="H53" s="31" t="s">
        <v>79</v>
      </c>
      <c r="I53" s="31" t="s">
        <v>252</v>
      </c>
      <c r="J53" s="58" t="s">
        <v>253</v>
      </c>
      <c r="K53" s="58" t="s">
        <v>254</v>
      </c>
      <c r="L53" s="31" t="s">
        <v>107</v>
      </c>
      <c r="M53" s="31" t="s">
        <v>108</v>
      </c>
      <c r="N53" s="31">
        <v>4431</v>
      </c>
      <c r="O53" s="33">
        <v>5000</v>
      </c>
      <c r="P53" s="31" t="s">
        <v>353</v>
      </c>
      <c r="Q53" s="31" t="s">
        <v>255</v>
      </c>
      <c r="R53" s="31" t="s">
        <v>256</v>
      </c>
    </row>
    <row r="54" spans="1:18" ht="199.5">
      <c r="A54" s="48"/>
      <c r="B54" s="48"/>
      <c r="C54" s="74" t="s">
        <v>257</v>
      </c>
      <c r="D54" s="31" t="s">
        <v>258</v>
      </c>
      <c r="E54" s="31" t="s">
        <v>259</v>
      </c>
      <c r="F54" s="31" t="s">
        <v>260</v>
      </c>
      <c r="G54" s="31" t="s">
        <v>103</v>
      </c>
      <c r="H54" s="31" t="s">
        <v>114</v>
      </c>
      <c r="I54" s="31" t="s">
        <v>261</v>
      </c>
      <c r="J54" s="58" t="s">
        <v>262</v>
      </c>
      <c r="K54" s="58" t="s">
        <v>263</v>
      </c>
      <c r="L54" s="31" t="s">
        <v>107</v>
      </c>
      <c r="M54" s="31" t="s">
        <v>108</v>
      </c>
      <c r="N54" s="31">
        <v>17</v>
      </c>
      <c r="O54" s="33">
        <v>7</v>
      </c>
      <c r="P54" s="31" t="s">
        <v>354</v>
      </c>
      <c r="Q54" s="31" t="s">
        <v>264</v>
      </c>
      <c r="R54" s="31" t="s">
        <v>265</v>
      </c>
    </row>
    <row r="55" spans="1:18" ht="128.25">
      <c r="B55" s="75" t="s">
        <v>98</v>
      </c>
      <c r="C55" s="44" t="s">
        <v>266</v>
      </c>
      <c r="D55" s="31" t="s">
        <v>267</v>
      </c>
      <c r="E55" s="31" t="s">
        <v>268</v>
      </c>
      <c r="F55" s="31" t="s">
        <v>269</v>
      </c>
      <c r="G55" s="31" t="s">
        <v>103</v>
      </c>
      <c r="H55" s="31" t="s">
        <v>79</v>
      </c>
      <c r="I55" s="31" t="s">
        <v>270</v>
      </c>
      <c r="J55" s="76" t="s">
        <v>271</v>
      </c>
      <c r="K55" s="77" t="s">
        <v>272</v>
      </c>
      <c r="L55" s="31" t="s">
        <v>107</v>
      </c>
      <c r="M55" s="31" t="s">
        <v>108</v>
      </c>
      <c r="N55" s="78" t="s">
        <v>85</v>
      </c>
      <c r="O55" s="33">
        <v>1100</v>
      </c>
      <c r="P55" s="31" t="s">
        <v>355</v>
      </c>
      <c r="Q55" s="31" t="s">
        <v>273</v>
      </c>
      <c r="R55" s="31" t="s">
        <v>274</v>
      </c>
    </row>
    <row r="56" spans="1:18" ht="156.75">
      <c r="A56" s="47"/>
      <c r="B56" s="79"/>
      <c r="C56" s="49" t="s">
        <v>275</v>
      </c>
      <c r="D56" s="31" t="s">
        <v>276</v>
      </c>
      <c r="E56" s="31" t="s">
        <v>277</v>
      </c>
      <c r="F56" s="31" t="s">
        <v>278</v>
      </c>
      <c r="G56" s="31" t="s">
        <v>103</v>
      </c>
      <c r="H56" s="31" t="s">
        <v>114</v>
      </c>
      <c r="I56" s="31" t="s">
        <v>279</v>
      </c>
      <c r="J56" s="58" t="s">
        <v>280</v>
      </c>
      <c r="K56" s="58" t="s">
        <v>281</v>
      </c>
      <c r="L56" s="31" t="s">
        <v>107</v>
      </c>
      <c r="M56" s="31" t="s">
        <v>108</v>
      </c>
      <c r="N56" s="78" t="s">
        <v>85</v>
      </c>
      <c r="O56" s="33">
        <v>700</v>
      </c>
      <c r="P56" s="31" t="s">
        <v>356</v>
      </c>
      <c r="Q56" s="31" t="s">
        <v>282</v>
      </c>
      <c r="R56" s="31" t="s">
        <v>283</v>
      </c>
    </row>
    <row r="57" spans="1:18" ht="114">
      <c r="A57" s="71"/>
      <c r="B57" s="79"/>
      <c r="C57" s="49" t="s">
        <v>284</v>
      </c>
      <c r="D57" s="31" t="s">
        <v>285</v>
      </c>
      <c r="E57" s="31" t="s">
        <v>286</v>
      </c>
      <c r="F57" s="31" t="s">
        <v>287</v>
      </c>
      <c r="G57" s="31" t="s">
        <v>103</v>
      </c>
      <c r="H57" s="31" t="s">
        <v>114</v>
      </c>
      <c r="I57" s="31" t="s">
        <v>288</v>
      </c>
      <c r="J57" s="58" t="s">
        <v>289</v>
      </c>
      <c r="K57" s="58" t="s">
        <v>290</v>
      </c>
      <c r="L57" s="31" t="s">
        <v>107</v>
      </c>
      <c r="M57" s="31" t="s">
        <v>108</v>
      </c>
      <c r="N57" s="78" t="s">
        <v>85</v>
      </c>
      <c r="O57" s="33">
        <v>400</v>
      </c>
      <c r="P57" s="31" t="s">
        <v>357</v>
      </c>
      <c r="Q57" s="31" t="s">
        <v>291</v>
      </c>
      <c r="R57" s="31" t="s">
        <v>292</v>
      </c>
    </row>
    <row r="58" spans="1:18" ht="128.25">
      <c r="B58" s="72" t="s">
        <v>293</v>
      </c>
      <c r="C58" s="44" t="s">
        <v>294</v>
      </c>
      <c r="D58" s="31" t="s">
        <v>295</v>
      </c>
      <c r="E58" s="31" t="s">
        <v>296</v>
      </c>
      <c r="F58" s="31" t="s">
        <v>297</v>
      </c>
      <c r="G58" s="31" t="s">
        <v>103</v>
      </c>
      <c r="H58" s="31" t="s">
        <v>79</v>
      </c>
      <c r="I58" s="31" t="s">
        <v>298</v>
      </c>
      <c r="J58" s="58" t="s">
        <v>299</v>
      </c>
      <c r="K58" s="58" t="s">
        <v>300</v>
      </c>
      <c r="L58" s="31" t="s">
        <v>107</v>
      </c>
      <c r="M58" s="31" t="s">
        <v>108</v>
      </c>
      <c r="N58" s="81">
        <v>12</v>
      </c>
      <c r="O58" s="33">
        <v>12</v>
      </c>
      <c r="P58" s="31" t="s">
        <v>358</v>
      </c>
      <c r="Q58" s="31" t="s">
        <v>301</v>
      </c>
      <c r="R58" s="31" t="s">
        <v>302</v>
      </c>
    </row>
    <row r="59" spans="1:18" ht="128.25">
      <c r="A59" s="48"/>
      <c r="B59" s="48"/>
      <c r="C59" s="49" t="s">
        <v>303</v>
      </c>
      <c r="D59" s="31" t="s">
        <v>304</v>
      </c>
      <c r="E59" s="31" t="s">
        <v>305</v>
      </c>
      <c r="F59" s="32" t="s">
        <v>306</v>
      </c>
      <c r="G59" s="31" t="s">
        <v>103</v>
      </c>
      <c r="H59" s="31" t="s">
        <v>114</v>
      </c>
      <c r="I59" s="31" t="s">
        <v>307</v>
      </c>
      <c r="J59" s="58" t="s">
        <v>308</v>
      </c>
      <c r="K59" s="58">
        <v>4</v>
      </c>
      <c r="L59" s="31" t="s">
        <v>183</v>
      </c>
      <c r="M59" s="31" t="s">
        <v>184</v>
      </c>
      <c r="N59" s="78" t="s">
        <v>85</v>
      </c>
      <c r="O59" s="33">
        <v>330</v>
      </c>
      <c r="P59" s="31">
        <v>249.5</v>
      </c>
      <c r="Q59" s="31" t="s">
        <v>309</v>
      </c>
      <c r="R59" s="31" t="s">
        <v>310</v>
      </c>
    </row>
    <row r="60" spans="1:18" ht="171.75">
      <c r="A60" s="48"/>
      <c r="B60" s="48"/>
      <c r="C60" s="49" t="s">
        <v>311</v>
      </c>
      <c r="D60" s="82" t="s">
        <v>312</v>
      </c>
      <c r="E60" s="83" t="s">
        <v>313</v>
      </c>
      <c r="F60" s="84" t="s">
        <v>314</v>
      </c>
      <c r="G60" s="83" t="s">
        <v>103</v>
      </c>
      <c r="H60" s="83" t="s">
        <v>114</v>
      </c>
      <c r="I60" s="84" t="s">
        <v>315</v>
      </c>
      <c r="J60" s="85" t="s">
        <v>316</v>
      </c>
      <c r="K60" s="86" t="s">
        <v>317</v>
      </c>
      <c r="L60" s="84" t="s">
        <v>107</v>
      </c>
      <c r="M60" s="84" t="s">
        <v>108</v>
      </c>
      <c r="N60" s="87" t="s">
        <v>85</v>
      </c>
      <c r="O60" s="88">
        <v>1800</v>
      </c>
      <c r="P60" s="31" t="s">
        <v>359</v>
      </c>
      <c r="Q60" s="83" t="s">
        <v>318</v>
      </c>
      <c r="R60" s="83" t="s">
        <v>310</v>
      </c>
    </row>
    <row r="61" spans="1:18" ht="15.75">
      <c r="A61" s="90"/>
      <c r="B61" s="91"/>
    </row>
    <row r="62" spans="1:18" ht="15.75">
      <c r="D62" s="92"/>
      <c r="E62" s="92"/>
      <c r="F62" s="92"/>
      <c r="G62" s="92"/>
      <c r="H62" s="92"/>
    </row>
    <row r="63" spans="1:18" ht="15.75">
      <c r="D63" s="92"/>
      <c r="E63" s="92"/>
      <c r="F63" s="92"/>
      <c r="G63" s="92"/>
      <c r="H63" s="92"/>
    </row>
    <row r="64" spans="1:18" ht="15.75">
      <c r="D64" s="92"/>
      <c r="E64" s="92"/>
      <c r="F64" s="92"/>
      <c r="G64" s="92"/>
      <c r="H64" s="92"/>
    </row>
    <row r="65" spans="4:8" ht="15.75">
      <c r="D65" s="92"/>
      <c r="E65" s="92"/>
      <c r="F65" s="92"/>
      <c r="G65" s="92"/>
      <c r="H65" s="92"/>
    </row>
    <row r="66" spans="4:8" ht="15.75">
      <c r="D66" s="92"/>
      <c r="E66" s="92"/>
      <c r="F66" s="92"/>
      <c r="G66" s="92"/>
      <c r="H66" s="92"/>
    </row>
    <row r="67" spans="4:8" ht="15.75">
      <c r="D67" s="92"/>
      <c r="E67" s="92"/>
      <c r="F67" s="92"/>
      <c r="G67" s="92"/>
      <c r="H67" s="92"/>
    </row>
    <row r="68" spans="4:8" ht="15.75">
      <c r="D68" s="92"/>
      <c r="E68" s="92"/>
      <c r="F68" s="92"/>
      <c r="G68" s="92"/>
      <c r="H68" s="92"/>
    </row>
    <row r="69" spans="4:8" ht="15.75">
      <c r="D69" s="92"/>
      <c r="E69" s="92"/>
      <c r="F69" s="92"/>
      <c r="G69" s="92"/>
      <c r="H69" s="92"/>
    </row>
    <row r="70" spans="4:8" ht="15.75">
      <c r="D70" s="92"/>
      <c r="E70" s="92"/>
      <c r="F70" s="92"/>
      <c r="G70" s="92"/>
      <c r="H70" s="92"/>
    </row>
    <row r="71" spans="4:8" ht="15.75">
      <c r="D71" s="92"/>
      <c r="E71" s="92"/>
      <c r="F71" s="92"/>
      <c r="G71" s="92"/>
      <c r="H71" s="92"/>
    </row>
    <row r="72" spans="4:8" ht="15.75">
      <c r="D72" s="92"/>
      <c r="E72" s="92"/>
      <c r="F72" s="92"/>
      <c r="G72" s="92"/>
      <c r="H72" s="92"/>
    </row>
    <row r="73" spans="4:8" ht="15.75">
      <c r="D73" s="92"/>
      <c r="E73" s="92"/>
      <c r="F73" s="92"/>
      <c r="G73" s="92"/>
      <c r="H73" s="92"/>
    </row>
    <row r="74" spans="4:8" ht="15.75">
      <c r="D74" s="92"/>
      <c r="E74" s="92"/>
      <c r="F74" s="92"/>
      <c r="G74" s="92"/>
      <c r="H74" s="92"/>
    </row>
    <row r="75" spans="4:8" ht="15.75">
      <c r="D75" s="92"/>
      <c r="E75" s="92"/>
      <c r="F75" s="92"/>
      <c r="G75" s="92"/>
      <c r="H75" s="92"/>
    </row>
    <row r="76" spans="4:8" ht="15.75">
      <c r="D76" s="92"/>
      <c r="E76" s="92"/>
      <c r="F76" s="92"/>
      <c r="G76" s="92"/>
      <c r="H76" s="92"/>
    </row>
    <row r="77" spans="4:8" ht="15.75">
      <c r="D77" s="92"/>
      <c r="E77" s="92"/>
      <c r="F77" s="92"/>
      <c r="G77" s="92"/>
      <c r="H77" s="92"/>
    </row>
    <row r="78" spans="4:8" ht="15.75">
      <c r="D78" s="92"/>
      <c r="E78" s="92"/>
      <c r="F78" s="92"/>
      <c r="G78" s="92"/>
      <c r="H78" s="92"/>
    </row>
    <row r="79" spans="4:8" ht="15.75">
      <c r="D79" s="92"/>
      <c r="E79" s="92"/>
      <c r="F79" s="92"/>
      <c r="G79" s="92"/>
      <c r="H79" s="92"/>
    </row>
    <row r="80" spans="4:8" ht="15.75">
      <c r="D80" s="92"/>
      <c r="E80" s="92"/>
      <c r="F80" s="92"/>
      <c r="G80" s="92"/>
      <c r="H80" s="92"/>
    </row>
    <row r="81" spans="4:8" ht="15.75">
      <c r="D81" s="92"/>
      <c r="E81" s="92"/>
      <c r="F81" s="92"/>
      <c r="G81" s="92"/>
      <c r="H81" s="92"/>
    </row>
    <row r="82" spans="4:8" ht="15.75">
      <c r="D82" s="92"/>
      <c r="E82" s="92"/>
      <c r="F82" s="92"/>
      <c r="G82" s="92"/>
      <c r="H82" s="92"/>
    </row>
    <row r="83" spans="4:8" ht="15.75">
      <c r="D83" s="92"/>
      <c r="E83" s="92"/>
      <c r="F83" s="92"/>
      <c r="G83" s="92"/>
      <c r="H83" s="92"/>
    </row>
    <row r="84" spans="4:8" ht="15.75">
      <c r="D84" s="92"/>
      <c r="E84" s="92"/>
      <c r="F84" s="92"/>
      <c r="G84" s="92"/>
      <c r="H84" s="92"/>
    </row>
    <row r="85" spans="4:8" ht="15.75">
      <c r="D85" s="92"/>
      <c r="E85" s="92"/>
      <c r="F85" s="92"/>
      <c r="G85" s="92"/>
      <c r="H85" s="92"/>
    </row>
    <row r="86" spans="4:8" ht="15.75">
      <c r="D86" s="92"/>
      <c r="E86" s="92"/>
      <c r="F86" s="92"/>
      <c r="G86" s="92"/>
      <c r="H86" s="92"/>
    </row>
    <row r="87" spans="4:8" ht="15.75">
      <c r="D87" s="92"/>
      <c r="E87" s="92"/>
      <c r="F87" s="92"/>
      <c r="G87" s="92"/>
      <c r="H87" s="92"/>
    </row>
    <row r="88" spans="4:8" ht="15.75">
      <c r="D88" s="92"/>
      <c r="E88" s="92"/>
      <c r="F88" s="92"/>
      <c r="G88" s="92"/>
      <c r="H88" s="92"/>
    </row>
    <row r="89" spans="4:8" ht="15.75">
      <c r="D89" s="92"/>
      <c r="E89" s="92"/>
      <c r="F89" s="92"/>
      <c r="G89" s="92"/>
      <c r="H89" s="92"/>
    </row>
    <row r="90" spans="4:8" ht="15.75">
      <c r="D90" s="92"/>
      <c r="E90" s="92"/>
      <c r="F90" s="92"/>
      <c r="G90" s="92"/>
      <c r="H90" s="92"/>
    </row>
    <row r="91" spans="4:8" ht="15.75">
      <c r="D91" s="92"/>
      <c r="E91" s="92"/>
      <c r="F91" s="92"/>
      <c r="G91" s="92"/>
      <c r="H91" s="92"/>
    </row>
    <row r="92" spans="4:8" ht="15.75">
      <c r="D92" s="92"/>
      <c r="E92" s="92"/>
      <c r="F92" s="92"/>
      <c r="G92" s="92"/>
      <c r="H92" s="92"/>
    </row>
    <row r="93" spans="4:8" ht="15.75">
      <c r="D93" s="92"/>
      <c r="E93" s="92"/>
      <c r="F93" s="92"/>
      <c r="G93" s="92"/>
      <c r="H93" s="92"/>
    </row>
    <row r="94" spans="4:8" ht="15.75">
      <c r="D94" s="92"/>
      <c r="E94" s="92"/>
      <c r="F94" s="92"/>
      <c r="G94" s="92"/>
      <c r="H94" s="92"/>
    </row>
    <row r="95" spans="4:8" ht="15.75">
      <c r="D95" s="92"/>
      <c r="E95" s="92"/>
      <c r="F95" s="92"/>
      <c r="G95" s="92"/>
      <c r="H95" s="92"/>
    </row>
    <row r="96" spans="4:8" ht="15.75">
      <c r="D96" s="92"/>
      <c r="E96" s="92"/>
      <c r="F96" s="92"/>
      <c r="G96" s="92"/>
      <c r="H96" s="92"/>
    </row>
    <row r="97" spans="4:8" ht="15.75">
      <c r="D97" s="92"/>
      <c r="E97" s="92"/>
      <c r="F97" s="92"/>
      <c r="G97" s="92"/>
      <c r="H97" s="92"/>
    </row>
    <row r="98" spans="4:8" ht="15.75">
      <c r="D98" s="92"/>
      <c r="E98" s="92"/>
      <c r="F98" s="92"/>
      <c r="G98" s="92"/>
      <c r="H98" s="92"/>
    </row>
    <row r="99" spans="4:8" ht="15.75">
      <c r="D99" s="92"/>
      <c r="E99" s="92"/>
      <c r="F99" s="92"/>
      <c r="G99" s="92"/>
      <c r="H99" s="92"/>
    </row>
    <row r="100" spans="4:8" ht="15.75">
      <c r="D100" s="92"/>
      <c r="E100" s="92"/>
      <c r="F100" s="92"/>
      <c r="G100" s="92"/>
      <c r="H100" s="92"/>
    </row>
    <row r="101" spans="4:8" ht="15.75">
      <c r="D101" s="92"/>
      <c r="E101" s="92"/>
      <c r="F101" s="92"/>
      <c r="G101" s="92"/>
      <c r="H101" s="92"/>
    </row>
    <row r="102" spans="4:8" ht="15.75">
      <c r="D102" s="92"/>
      <c r="E102" s="92"/>
      <c r="F102" s="92"/>
      <c r="G102" s="92"/>
      <c r="H102" s="92"/>
    </row>
    <row r="103" spans="4:8" ht="15.75">
      <c r="D103" s="92"/>
      <c r="E103" s="92"/>
      <c r="F103" s="92"/>
      <c r="G103" s="92"/>
      <c r="H103" s="92"/>
    </row>
    <row r="104" spans="4:8" ht="15.75">
      <c r="D104" s="92"/>
      <c r="E104" s="92"/>
      <c r="F104" s="92"/>
      <c r="G104" s="92"/>
      <c r="H104" s="92"/>
    </row>
    <row r="105" spans="4:8" ht="15.75">
      <c r="D105" s="92"/>
      <c r="E105" s="92"/>
      <c r="F105" s="92"/>
      <c r="G105" s="92"/>
      <c r="H105" s="92"/>
    </row>
    <row r="106" spans="4:8" ht="15.75">
      <c r="D106" s="92"/>
      <c r="E106" s="92"/>
      <c r="F106" s="92"/>
      <c r="G106" s="92"/>
      <c r="H106" s="92"/>
    </row>
    <row r="107" spans="4:8" ht="15.75">
      <c r="D107" s="92"/>
      <c r="E107" s="92"/>
      <c r="F107" s="92"/>
      <c r="G107" s="92"/>
      <c r="H107" s="92"/>
    </row>
    <row r="108" spans="4:8" ht="15.75">
      <c r="D108" s="92"/>
      <c r="E108" s="92"/>
      <c r="F108" s="92"/>
      <c r="G108" s="92"/>
      <c r="H108" s="92"/>
    </row>
    <row r="109" spans="4:8" ht="15.75">
      <c r="D109" s="92"/>
      <c r="E109" s="92"/>
      <c r="F109" s="92"/>
      <c r="G109" s="92"/>
      <c r="H109" s="92"/>
    </row>
    <row r="110" spans="4:8" ht="15.75">
      <c r="D110" s="92"/>
      <c r="E110" s="92"/>
      <c r="F110" s="92"/>
      <c r="G110" s="92"/>
      <c r="H110" s="92"/>
    </row>
    <row r="111" spans="4:8" ht="15.75">
      <c r="D111" s="92"/>
      <c r="E111" s="92"/>
      <c r="F111" s="92"/>
      <c r="G111" s="92"/>
      <c r="H111" s="92"/>
    </row>
    <row r="112" spans="4:8" ht="15.75">
      <c r="D112" s="92"/>
      <c r="E112" s="92"/>
      <c r="F112" s="92"/>
      <c r="G112" s="92"/>
      <c r="H112" s="92"/>
    </row>
    <row r="113" spans="3:18" ht="15.75">
      <c r="D113" s="92"/>
      <c r="E113" s="92"/>
      <c r="F113" s="92"/>
      <c r="G113" s="92"/>
      <c r="H113" s="92"/>
    </row>
    <row r="114" spans="3:18" ht="15.75">
      <c r="D114" s="92"/>
      <c r="E114" s="92"/>
      <c r="F114" s="92"/>
      <c r="G114" s="92"/>
      <c r="H114" s="92"/>
    </row>
    <row r="115" spans="3:18" ht="15.75">
      <c r="D115" s="92"/>
      <c r="E115" s="92"/>
      <c r="F115" s="92"/>
      <c r="G115" s="92"/>
      <c r="H115" s="92"/>
    </row>
    <row r="116" spans="3:18" ht="15.75">
      <c r="D116" s="92"/>
      <c r="E116" s="92"/>
      <c r="F116" s="92"/>
      <c r="G116" s="92"/>
      <c r="H116" s="92"/>
    </row>
    <row r="117" spans="3:18" ht="15.75">
      <c r="D117" s="92"/>
      <c r="E117" s="92"/>
      <c r="F117" s="92"/>
      <c r="G117" s="92"/>
      <c r="H117" s="92"/>
    </row>
    <row r="118" spans="3:18" ht="15.75">
      <c r="D118" s="92"/>
      <c r="E118" s="92"/>
      <c r="F118" s="92"/>
      <c r="G118" s="92"/>
      <c r="H118" s="92"/>
    </row>
    <row r="119" spans="3:18" ht="15.75">
      <c r="D119" s="92"/>
      <c r="E119" s="92"/>
      <c r="F119" s="92"/>
      <c r="G119" s="92"/>
      <c r="H119" s="92"/>
    </row>
    <row r="120" spans="3:18" ht="15.75">
      <c r="D120" s="92"/>
      <c r="E120" s="92"/>
      <c r="F120" s="92"/>
      <c r="G120" s="92"/>
      <c r="H120" s="92"/>
    </row>
    <row r="121" spans="3:18" ht="15.75">
      <c r="D121" s="92"/>
      <c r="E121" s="92"/>
      <c r="F121" s="92"/>
      <c r="G121" s="92"/>
      <c r="H121" s="92"/>
    </row>
    <row r="122" spans="3:18" ht="15.75">
      <c r="D122" s="92"/>
      <c r="E122" s="92"/>
      <c r="F122" s="92"/>
      <c r="G122" s="92"/>
      <c r="H122" s="92"/>
    </row>
    <row r="123" spans="3:18" ht="15.75">
      <c r="D123" s="92"/>
      <c r="E123" s="92"/>
      <c r="F123" s="92"/>
      <c r="G123" s="92"/>
      <c r="H123" s="92"/>
    </row>
    <row r="124" spans="3:18" ht="15.75">
      <c r="D124" s="92"/>
      <c r="E124" s="92"/>
      <c r="F124" s="92"/>
      <c r="G124" s="92"/>
      <c r="H124" s="92"/>
    </row>
    <row r="125" spans="3:18" ht="15.75">
      <c r="D125" s="92"/>
      <c r="E125" s="92"/>
      <c r="F125" s="92"/>
      <c r="G125" s="92"/>
      <c r="H125" s="92"/>
    </row>
    <row r="126" spans="3:18" ht="15.75">
      <c r="D126" s="92"/>
      <c r="E126" s="92"/>
      <c r="F126" s="92"/>
      <c r="G126" s="92"/>
      <c r="H126" s="92"/>
    </row>
    <row r="127" spans="3:18" ht="15.75">
      <c r="C127" s="93" t="s">
        <v>319</v>
      </c>
      <c r="D127" s="166"/>
      <c r="E127" s="167"/>
      <c r="F127" s="167"/>
      <c r="G127" s="168"/>
      <c r="H127" s="12" t="s">
        <v>7</v>
      </c>
      <c r="I127" s="156" t="s">
        <v>320</v>
      </c>
      <c r="J127" s="157"/>
      <c r="K127" s="157"/>
      <c r="L127" s="157"/>
      <c r="M127" s="157"/>
      <c r="N127" s="157"/>
      <c r="O127" s="157"/>
      <c r="P127" s="157"/>
      <c r="Q127" s="157"/>
      <c r="R127" s="158"/>
    </row>
    <row r="128" spans="3:18" ht="15.75">
      <c r="C128" s="10" t="s">
        <v>321</v>
      </c>
      <c r="D128" s="159"/>
      <c r="E128" s="157"/>
      <c r="F128" s="157"/>
      <c r="G128" s="158"/>
      <c r="H128" s="12" t="s">
        <v>7</v>
      </c>
      <c r="I128" s="94" t="s">
        <v>322</v>
      </c>
      <c r="J128" s="95" t="s">
        <v>323</v>
      </c>
      <c r="K128" s="95" t="s">
        <v>324</v>
      </c>
      <c r="L128" s="95" t="s">
        <v>325</v>
      </c>
      <c r="M128" s="95" t="s">
        <v>326</v>
      </c>
      <c r="N128" s="95" t="s">
        <v>327</v>
      </c>
      <c r="O128" s="95" t="s">
        <v>328</v>
      </c>
      <c r="P128" s="95" t="s">
        <v>329</v>
      </c>
      <c r="Q128" s="95" t="s">
        <v>330</v>
      </c>
      <c r="R128" s="95" t="s">
        <v>331</v>
      </c>
    </row>
    <row r="129" spans="3:18" ht="15.75">
      <c r="C129" s="10" t="s">
        <v>334</v>
      </c>
      <c r="D129" s="159"/>
      <c r="E129" s="157"/>
      <c r="F129" s="157"/>
      <c r="G129" s="158"/>
      <c r="H129" s="12" t="s">
        <v>7</v>
      </c>
      <c r="I129" s="37"/>
      <c r="J129" s="37"/>
      <c r="K129" s="37"/>
      <c r="L129" s="37"/>
      <c r="M129" s="37"/>
      <c r="N129" s="37"/>
      <c r="O129" s="37"/>
      <c r="P129" s="37"/>
      <c r="Q129" s="37"/>
      <c r="R129" s="37"/>
    </row>
    <row r="130" spans="3:18" ht="15.75">
      <c r="C130" s="49" t="s">
        <v>335</v>
      </c>
      <c r="D130" s="160"/>
      <c r="E130" s="157"/>
      <c r="F130" s="157"/>
      <c r="G130" s="158"/>
      <c r="H130" s="92"/>
      <c r="I130" s="9"/>
      <c r="J130" s="9"/>
      <c r="K130" s="9"/>
      <c r="L130" s="9"/>
      <c r="M130" s="9"/>
      <c r="N130" s="9"/>
      <c r="O130" s="9"/>
      <c r="P130" s="9"/>
      <c r="Q130" s="9"/>
      <c r="R130" s="9"/>
    </row>
    <row r="131" spans="3:18" ht="15.75">
      <c r="C131" s="10" t="s">
        <v>336</v>
      </c>
      <c r="D131" s="161"/>
      <c r="E131" s="157"/>
      <c r="F131" s="157"/>
      <c r="G131" s="158"/>
      <c r="H131" s="12" t="s">
        <v>7</v>
      </c>
      <c r="I131" s="9"/>
      <c r="J131" s="9"/>
      <c r="K131" s="9"/>
      <c r="L131" s="9"/>
      <c r="M131" s="9"/>
      <c r="N131" s="9"/>
      <c r="O131" s="9"/>
      <c r="P131" s="9"/>
      <c r="Q131" s="9"/>
      <c r="R131" s="9"/>
    </row>
    <row r="132" spans="3:18" ht="31.5">
      <c r="C132" s="10" t="s">
        <v>337</v>
      </c>
      <c r="D132" s="159"/>
      <c r="E132" s="157"/>
      <c r="F132" s="157"/>
      <c r="G132" s="158"/>
      <c r="H132" s="92"/>
      <c r="I132" s="9"/>
      <c r="J132" s="9"/>
      <c r="K132" s="9"/>
      <c r="L132" s="9"/>
      <c r="M132" s="9"/>
      <c r="N132" s="9"/>
      <c r="O132" s="9"/>
      <c r="P132" s="9"/>
      <c r="Q132" s="9"/>
      <c r="R132" s="9"/>
    </row>
    <row r="133" spans="3:18" ht="31.5">
      <c r="C133" s="10" t="s">
        <v>338</v>
      </c>
      <c r="D133" s="164"/>
      <c r="E133" s="157"/>
      <c r="F133" s="157"/>
      <c r="G133" s="158"/>
      <c r="H133" s="92"/>
      <c r="I133" s="9"/>
      <c r="J133" s="9"/>
      <c r="K133" s="9"/>
      <c r="L133" s="9"/>
      <c r="M133" s="9"/>
      <c r="N133" s="9"/>
      <c r="O133" s="9"/>
      <c r="P133" s="9"/>
      <c r="Q133" s="9"/>
      <c r="R133" s="9"/>
    </row>
    <row r="134" spans="3:18" ht="15.75">
      <c r="D134" s="92"/>
      <c r="E134" s="92"/>
      <c r="F134" s="92"/>
      <c r="G134" s="92"/>
      <c r="H134" s="92"/>
    </row>
    <row r="135" spans="3:18" ht="15.75">
      <c r="D135" s="92"/>
      <c r="E135" s="92"/>
      <c r="F135" s="92"/>
      <c r="G135" s="92"/>
      <c r="H135" s="92"/>
    </row>
    <row r="136" spans="3:18" ht="15.75">
      <c r="D136" s="92"/>
      <c r="E136" s="92"/>
      <c r="F136" s="92"/>
      <c r="G136" s="92"/>
      <c r="H136" s="92"/>
    </row>
    <row r="137" spans="3:18" ht="15.75">
      <c r="D137" s="92"/>
      <c r="E137" s="92"/>
      <c r="F137" s="92"/>
      <c r="G137" s="92"/>
      <c r="H137" s="92"/>
    </row>
    <row r="138" spans="3:18" ht="15.75">
      <c r="D138" s="92"/>
      <c r="E138" s="92"/>
      <c r="F138" s="92"/>
      <c r="G138" s="92"/>
      <c r="H138" s="92"/>
    </row>
    <row r="139" spans="3:18" ht="15.75">
      <c r="D139" s="92"/>
      <c r="E139" s="92"/>
      <c r="F139" s="92"/>
      <c r="G139" s="92"/>
      <c r="H139" s="92"/>
    </row>
    <row r="140" spans="3:18" ht="15.75">
      <c r="D140" s="92"/>
      <c r="E140" s="92"/>
      <c r="F140" s="92"/>
      <c r="G140" s="92"/>
      <c r="H140" s="92"/>
    </row>
    <row r="141" spans="3:18" ht="15.75">
      <c r="D141" s="92"/>
      <c r="E141" s="92"/>
      <c r="F141" s="92"/>
      <c r="G141" s="92"/>
      <c r="H141" s="92"/>
    </row>
    <row r="142" spans="3:18" ht="15.75">
      <c r="D142" s="92"/>
      <c r="E142" s="92"/>
      <c r="F142" s="92"/>
      <c r="G142" s="92"/>
      <c r="H142" s="92"/>
    </row>
    <row r="143" spans="3:18" ht="15.75">
      <c r="D143" s="92"/>
      <c r="E143" s="92"/>
      <c r="F143" s="92"/>
      <c r="G143" s="92"/>
      <c r="H143" s="92"/>
    </row>
    <row r="144" spans="3:18" ht="15.75">
      <c r="D144" s="92"/>
      <c r="E144" s="92"/>
      <c r="F144" s="92"/>
      <c r="G144" s="92"/>
      <c r="H144" s="92"/>
    </row>
    <row r="145" spans="4:8" ht="15.75">
      <c r="D145" s="92"/>
      <c r="E145" s="92"/>
      <c r="F145" s="92"/>
      <c r="G145" s="92"/>
      <c r="H145" s="92"/>
    </row>
    <row r="146" spans="4:8" ht="15.75">
      <c r="D146" s="92"/>
      <c r="E146" s="92"/>
      <c r="F146" s="92"/>
      <c r="G146" s="92"/>
      <c r="H146" s="92"/>
    </row>
    <row r="147" spans="4:8" ht="15.75">
      <c r="D147" s="92"/>
      <c r="E147" s="92"/>
      <c r="F147" s="92"/>
      <c r="G147" s="92"/>
      <c r="H147" s="92"/>
    </row>
    <row r="148" spans="4:8" ht="15.75">
      <c r="D148" s="92"/>
      <c r="E148" s="92"/>
      <c r="F148" s="92"/>
      <c r="G148" s="92"/>
      <c r="H148" s="92"/>
    </row>
    <row r="149" spans="4:8" ht="15.75">
      <c r="D149" s="92"/>
      <c r="E149" s="92"/>
      <c r="F149" s="92"/>
      <c r="G149" s="92"/>
      <c r="H149" s="92"/>
    </row>
    <row r="150" spans="4:8" ht="15.75">
      <c r="D150" s="92"/>
      <c r="E150" s="92"/>
      <c r="F150" s="92"/>
      <c r="G150" s="92"/>
      <c r="H150" s="92"/>
    </row>
    <row r="151" spans="4:8" ht="15.75">
      <c r="D151" s="92"/>
      <c r="E151" s="92"/>
      <c r="F151" s="92"/>
      <c r="G151" s="92"/>
      <c r="H151" s="92"/>
    </row>
    <row r="152" spans="4:8" ht="15.75">
      <c r="D152" s="92"/>
      <c r="E152" s="92"/>
      <c r="F152" s="92"/>
      <c r="G152" s="92"/>
      <c r="H152" s="92"/>
    </row>
    <row r="153" spans="4:8" ht="15.75">
      <c r="D153" s="92"/>
      <c r="E153" s="92"/>
      <c r="F153" s="92"/>
      <c r="G153" s="92"/>
      <c r="H153" s="92"/>
    </row>
    <row r="154" spans="4:8" ht="15.75">
      <c r="D154" s="92"/>
      <c r="E154" s="92"/>
      <c r="F154" s="92"/>
      <c r="G154" s="92"/>
      <c r="H154" s="92"/>
    </row>
    <row r="155" spans="4:8" ht="15.75">
      <c r="D155" s="92"/>
      <c r="E155" s="92"/>
      <c r="F155" s="92"/>
      <c r="G155" s="92"/>
      <c r="H155" s="92"/>
    </row>
    <row r="156" spans="4:8" ht="15.75">
      <c r="D156" s="92"/>
      <c r="E156" s="92"/>
      <c r="F156" s="92"/>
      <c r="G156" s="92"/>
      <c r="H156" s="92"/>
    </row>
    <row r="157" spans="4:8" ht="15.75">
      <c r="D157" s="92"/>
      <c r="E157" s="92"/>
      <c r="F157" s="92"/>
      <c r="G157" s="92"/>
      <c r="H157" s="92"/>
    </row>
    <row r="158" spans="4:8" ht="15.75">
      <c r="D158" s="92"/>
      <c r="E158" s="92"/>
      <c r="F158" s="92"/>
      <c r="G158" s="92"/>
      <c r="H158" s="92"/>
    </row>
    <row r="159" spans="4:8" ht="15.75">
      <c r="D159" s="92"/>
      <c r="E159" s="92"/>
      <c r="F159" s="92"/>
      <c r="G159" s="92"/>
      <c r="H159" s="92"/>
    </row>
    <row r="160" spans="4:8" ht="15.75">
      <c r="D160" s="92"/>
      <c r="E160" s="92"/>
      <c r="F160" s="92"/>
      <c r="G160" s="92"/>
      <c r="H160" s="92"/>
    </row>
    <row r="161" spans="4:8" ht="15.75">
      <c r="D161" s="92"/>
      <c r="E161" s="92"/>
      <c r="F161" s="92"/>
      <c r="G161" s="92"/>
      <c r="H161" s="92"/>
    </row>
    <row r="162" spans="4:8" ht="15.75">
      <c r="D162" s="92"/>
      <c r="E162" s="92"/>
      <c r="F162" s="92"/>
      <c r="G162" s="92"/>
      <c r="H162" s="92"/>
    </row>
    <row r="163" spans="4:8" ht="15.75">
      <c r="D163" s="92"/>
      <c r="E163" s="92"/>
      <c r="F163" s="92"/>
      <c r="G163" s="92"/>
      <c r="H163" s="92"/>
    </row>
    <row r="164" spans="4:8" ht="15.75">
      <c r="D164" s="92"/>
      <c r="E164" s="92"/>
      <c r="F164" s="92"/>
      <c r="G164" s="92"/>
      <c r="H164" s="92"/>
    </row>
    <row r="165" spans="4:8" ht="15.75">
      <c r="D165" s="92"/>
      <c r="E165" s="92"/>
      <c r="F165" s="92"/>
      <c r="G165" s="92"/>
      <c r="H165" s="92"/>
    </row>
    <row r="166" spans="4:8" ht="15.75">
      <c r="D166" s="92"/>
      <c r="E166" s="92"/>
      <c r="F166" s="92"/>
      <c r="G166" s="92"/>
      <c r="H166" s="92"/>
    </row>
    <row r="167" spans="4:8" ht="15.75">
      <c r="D167" s="92"/>
      <c r="E167" s="92"/>
      <c r="F167" s="92"/>
      <c r="G167" s="92"/>
      <c r="H167" s="92"/>
    </row>
    <row r="168" spans="4:8" ht="15.75">
      <c r="D168" s="92"/>
      <c r="E168" s="92"/>
      <c r="F168" s="92"/>
      <c r="G168" s="92"/>
      <c r="H168" s="92"/>
    </row>
    <row r="169" spans="4:8" ht="15.75">
      <c r="D169" s="92"/>
      <c r="E169" s="92"/>
      <c r="F169" s="92"/>
      <c r="G169" s="92"/>
      <c r="H169" s="92"/>
    </row>
    <row r="170" spans="4:8" ht="15.75">
      <c r="D170" s="92"/>
      <c r="E170" s="92"/>
      <c r="F170" s="92"/>
      <c r="G170" s="92"/>
      <c r="H170" s="92"/>
    </row>
    <row r="171" spans="4:8" ht="15.75">
      <c r="D171" s="92"/>
      <c r="E171" s="92"/>
      <c r="F171" s="92"/>
      <c r="G171" s="92"/>
      <c r="H171" s="92"/>
    </row>
    <row r="172" spans="4:8" ht="15.75">
      <c r="D172" s="92"/>
      <c r="E172" s="92"/>
      <c r="F172" s="92"/>
      <c r="G172" s="92"/>
      <c r="H172" s="92"/>
    </row>
    <row r="173" spans="4:8" ht="15.75">
      <c r="D173" s="92"/>
      <c r="E173" s="92"/>
      <c r="F173" s="92"/>
      <c r="G173" s="92"/>
      <c r="H173" s="92"/>
    </row>
    <row r="174" spans="4:8" ht="15.75">
      <c r="D174" s="92"/>
      <c r="E174" s="92"/>
      <c r="F174" s="92"/>
      <c r="G174" s="92"/>
      <c r="H174" s="92"/>
    </row>
    <row r="175" spans="4:8" ht="15.75">
      <c r="D175" s="92"/>
      <c r="E175" s="92"/>
      <c r="F175" s="92"/>
      <c r="G175" s="92"/>
      <c r="H175" s="92"/>
    </row>
    <row r="176" spans="4:8" ht="15.75">
      <c r="D176" s="92"/>
      <c r="E176" s="92"/>
      <c r="F176" s="92"/>
      <c r="G176" s="92"/>
      <c r="H176" s="92"/>
    </row>
    <row r="177" spans="4:8" ht="15.75">
      <c r="D177" s="92"/>
      <c r="E177" s="92"/>
      <c r="F177" s="92"/>
      <c r="G177" s="92"/>
      <c r="H177" s="92"/>
    </row>
    <row r="178" spans="4:8" ht="15.75">
      <c r="D178" s="92"/>
      <c r="E178" s="92"/>
      <c r="F178" s="92"/>
      <c r="G178" s="92"/>
      <c r="H178" s="92"/>
    </row>
    <row r="179" spans="4:8" ht="15.75">
      <c r="D179" s="92"/>
      <c r="E179" s="92"/>
      <c r="F179" s="92"/>
      <c r="G179" s="92"/>
      <c r="H179" s="92"/>
    </row>
    <row r="180" spans="4:8" ht="15.75">
      <c r="D180" s="92"/>
      <c r="E180" s="92"/>
      <c r="F180" s="92"/>
      <c r="G180" s="92"/>
      <c r="H180" s="92"/>
    </row>
    <row r="181" spans="4:8" ht="15.75">
      <c r="D181" s="92"/>
      <c r="E181" s="92"/>
      <c r="F181" s="92"/>
      <c r="G181" s="92"/>
      <c r="H181" s="92"/>
    </row>
    <row r="182" spans="4:8" ht="15.75">
      <c r="D182" s="92"/>
      <c r="E182" s="92"/>
      <c r="F182" s="92"/>
      <c r="G182" s="92"/>
      <c r="H182" s="92"/>
    </row>
    <row r="183" spans="4:8" ht="15.75">
      <c r="D183" s="92"/>
      <c r="E183" s="92"/>
      <c r="F183" s="92"/>
      <c r="G183" s="92"/>
      <c r="H183" s="92"/>
    </row>
    <row r="184" spans="4:8" ht="15.75">
      <c r="D184" s="92"/>
      <c r="E184" s="92"/>
      <c r="F184" s="92"/>
      <c r="G184" s="92"/>
      <c r="H184" s="92"/>
    </row>
    <row r="185" spans="4:8" ht="15.75">
      <c r="D185" s="92"/>
      <c r="E185" s="92"/>
      <c r="F185" s="92"/>
      <c r="G185" s="92"/>
      <c r="H185" s="92"/>
    </row>
    <row r="186" spans="4:8" ht="15.75">
      <c r="D186" s="92"/>
      <c r="E186" s="92"/>
      <c r="F186" s="92"/>
      <c r="G186" s="92"/>
      <c r="H186" s="92"/>
    </row>
    <row r="187" spans="4:8" ht="15.75">
      <c r="D187" s="92"/>
      <c r="E187" s="92"/>
      <c r="F187" s="92"/>
      <c r="G187" s="92"/>
      <c r="H187" s="92"/>
    </row>
    <row r="188" spans="4:8" ht="15.75">
      <c r="D188" s="92"/>
      <c r="E188" s="92"/>
      <c r="F188" s="92"/>
      <c r="G188" s="92"/>
      <c r="H188" s="92"/>
    </row>
    <row r="189" spans="4:8" ht="15.75">
      <c r="D189" s="92"/>
      <c r="E189" s="92"/>
      <c r="F189" s="92"/>
      <c r="G189" s="92"/>
      <c r="H189" s="92"/>
    </row>
    <row r="190" spans="4:8" ht="15.75">
      <c r="D190" s="92"/>
      <c r="E190" s="92"/>
      <c r="F190" s="92"/>
      <c r="G190" s="92"/>
      <c r="H190" s="92"/>
    </row>
    <row r="191" spans="4:8" ht="15.75">
      <c r="D191" s="92"/>
      <c r="E191" s="92"/>
      <c r="F191" s="92"/>
      <c r="G191" s="92"/>
      <c r="H191" s="92"/>
    </row>
    <row r="192" spans="4:8" ht="15.75">
      <c r="D192" s="92"/>
      <c r="E192" s="92"/>
      <c r="F192" s="92"/>
      <c r="G192" s="92"/>
      <c r="H192" s="92"/>
    </row>
    <row r="193" spans="4:8" ht="15.75">
      <c r="D193" s="92"/>
      <c r="E193" s="92"/>
      <c r="F193" s="92"/>
      <c r="G193" s="92"/>
      <c r="H193" s="92"/>
    </row>
    <row r="194" spans="4:8" ht="15.75">
      <c r="D194" s="92"/>
      <c r="E194" s="92"/>
      <c r="F194" s="92"/>
      <c r="G194" s="92"/>
      <c r="H194" s="92"/>
    </row>
    <row r="195" spans="4:8" ht="15.75">
      <c r="D195" s="92"/>
      <c r="E195" s="92"/>
      <c r="F195" s="92"/>
      <c r="G195" s="92"/>
      <c r="H195" s="92"/>
    </row>
    <row r="196" spans="4:8" ht="15.75">
      <c r="D196" s="92"/>
      <c r="E196" s="92"/>
      <c r="F196" s="92"/>
      <c r="G196" s="92"/>
      <c r="H196" s="92"/>
    </row>
    <row r="197" spans="4:8" ht="15.75">
      <c r="D197" s="92"/>
      <c r="E197" s="92"/>
      <c r="F197" s="92"/>
      <c r="G197" s="92"/>
      <c r="H197" s="92"/>
    </row>
    <row r="198" spans="4:8" ht="15.75">
      <c r="D198" s="92"/>
      <c r="E198" s="92"/>
      <c r="F198" s="92"/>
      <c r="G198" s="92"/>
      <c r="H198" s="92"/>
    </row>
    <row r="199" spans="4:8" ht="15.75">
      <c r="D199" s="92"/>
      <c r="E199" s="92"/>
      <c r="F199" s="92"/>
      <c r="G199" s="92"/>
      <c r="H199" s="92"/>
    </row>
    <row r="200" spans="4:8" ht="15.75">
      <c r="D200" s="92"/>
      <c r="E200" s="92"/>
      <c r="F200" s="92"/>
      <c r="G200" s="92"/>
      <c r="H200" s="92"/>
    </row>
    <row r="201" spans="4:8" ht="15.75">
      <c r="D201" s="92"/>
      <c r="E201" s="92"/>
      <c r="F201" s="92"/>
      <c r="G201" s="92"/>
      <c r="H201" s="92"/>
    </row>
    <row r="202" spans="4:8" ht="15.75">
      <c r="D202" s="92"/>
      <c r="E202" s="92"/>
      <c r="F202" s="92"/>
      <c r="G202" s="92"/>
      <c r="H202" s="92"/>
    </row>
    <row r="203" spans="4:8" ht="15.75">
      <c r="D203" s="92"/>
      <c r="E203" s="92"/>
      <c r="F203" s="92"/>
      <c r="G203" s="92"/>
      <c r="H203" s="92"/>
    </row>
    <row r="204" spans="4:8" ht="15.75">
      <c r="D204" s="92"/>
      <c r="E204" s="92"/>
      <c r="F204" s="92"/>
      <c r="G204" s="92"/>
      <c r="H204" s="92"/>
    </row>
    <row r="205" spans="4:8" ht="15.75">
      <c r="D205" s="92"/>
      <c r="E205" s="92"/>
      <c r="F205" s="92"/>
      <c r="G205" s="92"/>
      <c r="H205" s="92"/>
    </row>
    <row r="206" spans="4:8" ht="15.75">
      <c r="D206" s="92"/>
      <c r="E206" s="92"/>
      <c r="F206" s="92"/>
      <c r="G206" s="92"/>
      <c r="H206" s="92"/>
    </row>
    <row r="207" spans="4:8" ht="15.75">
      <c r="D207" s="92"/>
      <c r="E207" s="92"/>
      <c r="F207" s="92"/>
      <c r="G207" s="92"/>
      <c r="H207" s="92"/>
    </row>
    <row r="208" spans="4:8" ht="15.75">
      <c r="D208" s="92"/>
      <c r="E208" s="92"/>
      <c r="F208" s="92"/>
      <c r="G208" s="92"/>
      <c r="H208" s="92"/>
    </row>
    <row r="209" spans="4:8" ht="15.75">
      <c r="D209" s="92"/>
      <c r="E209" s="92"/>
      <c r="F209" s="92"/>
      <c r="G209" s="92"/>
      <c r="H209" s="92"/>
    </row>
    <row r="210" spans="4:8" ht="15.75">
      <c r="D210" s="92"/>
      <c r="E210" s="92"/>
      <c r="F210" s="92"/>
      <c r="G210" s="92"/>
      <c r="H210" s="92"/>
    </row>
    <row r="211" spans="4:8" ht="15.75">
      <c r="D211" s="92"/>
      <c r="E211" s="92"/>
      <c r="F211" s="92"/>
      <c r="G211" s="92"/>
      <c r="H211" s="92"/>
    </row>
    <row r="212" spans="4:8" ht="15.75">
      <c r="D212" s="92"/>
      <c r="E212" s="92"/>
      <c r="F212" s="92"/>
      <c r="G212" s="92"/>
      <c r="H212" s="92"/>
    </row>
    <row r="213" spans="4:8" ht="15.75">
      <c r="D213" s="92"/>
      <c r="E213" s="92"/>
      <c r="F213" s="92"/>
      <c r="G213" s="92"/>
      <c r="H213" s="92"/>
    </row>
    <row r="214" spans="4:8" ht="15.75">
      <c r="D214" s="92"/>
      <c r="E214" s="92"/>
      <c r="F214" s="92"/>
      <c r="G214" s="92"/>
      <c r="H214" s="92"/>
    </row>
    <row r="215" spans="4:8" ht="15.75">
      <c r="D215" s="92"/>
      <c r="E215" s="92"/>
      <c r="F215" s="92"/>
      <c r="G215" s="92"/>
      <c r="H215" s="92"/>
    </row>
    <row r="216" spans="4:8" ht="15.75">
      <c r="D216" s="92"/>
      <c r="E216" s="92"/>
      <c r="F216" s="92"/>
      <c r="G216" s="92"/>
      <c r="H216" s="92"/>
    </row>
    <row r="217" spans="4:8" ht="15.75">
      <c r="D217" s="92"/>
      <c r="E217" s="92"/>
      <c r="F217" s="92"/>
      <c r="G217" s="92"/>
      <c r="H217" s="92"/>
    </row>
    <row r="218" spans="4:8" ht="15.75">
      <c r="D218" s="92"/>
      <c r="E218" s="92"/>
      <c r="F218" s="92"/>
      <c r="G218" s="92"/>
      <c r="H218" s="92"/>
    </row>
    <row r="219" spans="4:8" ht="15.75">
      <c r="D219" s="92"/>
      <c r="E219" s="92"/>
      <c r="F219" s="92"/>
      <c r="G219" s="92"/>
      <c r="H219" s="92"/>
    </row>
    <row r="220" spans="4:8" ht="15.75">
      <c r="D220" s="92"/>
      <c r="E220" s="92"/>
      <c r="F220" s="92"/>
      <c r="G220" s="92"/>
      <c r="H220" s="92"/>
    </row>
    <row r="221" spans="4:8" ht="15.75">
      <c r="D221" s="92"/>
      <c r="E221" s="92"/>
      <c r="F221" s="92"/>
      <c r="G221" s="92"/>
      <c r="H221" s="92"/>
    </row>
    <row r="222" spans="4:8" ht="15.75">
      <c r="D222" s="92"/>
      <c r="E222" s="92"/>
      <c r="F222" s="92"/>
      <c r="G222" s="92"/>
      <c r="H222" s="92"/>
    </row>
    <row r="223" spans="4:8" ht="15.75">
      <c r="D223" s="92"/>
      <c r="E223" s="92"/>
      <c r="F223" s="92"/>
      <c r="G223" s="92"/>
      <c r="H223" s="92"/>
    </row>
    <row r="224" spans="4:8" ht="15.75">
      <c r="D224" s="92"/>
      <c r="E224" s="92"/>
      <c r="F224" s="92"/>
      <c r="G224" s="92"/>
      <c r="H224" s="92"/>
    </row>
    <row r="225" spans="4:8" ht="15.75">
      <c r="D225" s="92"/>
      <c r="E225" s="92"/>
      <c r="F225" s="92"/>
      <c r="G225" s="92"/>
      <c r="H225" s="92"/>
    </row>
    <row r="226" spans="4:8" ht="15.75">
      <c r="D226" s="92"/>
      <c r="E226" s="92"/>
      <c r="F226" s="92"/>
      <c r="G226" s="92"/>
      <c r="H226" s="92"/>
    </row>
    <row r="227" spans="4:8" ht="15.75">
      <c r="D227" s="92"/>
      <c r="E227" s="92"/>
      <c r="F227" s="92"/>
      <c r="G227" s="92"/>
      <c r="H227" s="92"/>
    </row>
    <row r="228" spans="4:8" ht="15.75">
      <c r="D228" s="92"/>
      <c r="E228" s="92"/>
      <c r="F228" s="92"/>
      <c r="G228" s="92"/>
      <c r="H228" s="92"/>
    </row>
    <row r="229" spans="4:8" ht="15.75">
      <c r="D229" s="92"/>
      <c r="E229" s="92"/>
      <c r="F229" s="92"/>
      <c r="G229" s="92"/>
      <c r="H229" s="92"/>
    </row>
    <row r="230" spans="4:8" ht="15.75">
      <c r="D230" s="92"/>
      <c r="E230" s="92"/>
      <c r="F230" s="92"/>
      <c r="G230" s="92"/>
      <c r="H230" s="92"/>
    </row>
    <row r="231" spans="4:8" ht="15.75">
      <c r="D231" s="92"/>
      <c r="E231" s="92"/>
      <c r="F231" s="92"/>
      <c r="G231" s="92"/>
      <c r="H231" s="92"/>
    </row>
    <row r="232" spans="4:8" ht="15.75">
      <c r="D232" s="92"/>
      <c r="E232" s="92"/>
      <c r="F232" s="92"/>
      <c r="G232" s="92"/>
      <c r="H232" s="92"/>
    </row>
    <row r="233" spans="4:8" ht="15.75">
      <c r="D233" s="92"/>
      <c r="E233" s="92"/>
      <c r="F233" s="92"/>
      <c r="G233" s="92"/>
      <c r="H233" s="92"/>
    </row>
    <row r="234" spans="4:8" ht="15.75">
      <c r="D234" s="92"/>
      <c r="E234" s="92"/>
      <c r="F234" s="92"/>
      <c r="G234" s="92"/>
      <c r="H234" s="92"/>
    </row>
    <row r="235" spans="4:8" ht="15.75">
      <c r="D235" s="92"/>
      <c r="E235" s="92"/>
      <c r="F235" s="92"/>
      <c r="G235" s="92"/>
      <c r="H235" s="92"/>
    </row>
    <row r="236" spans="4:8" ht="15.75">
      <c r="D236" s="92"/>
      <c r="E236" s="92"/>
      <c r="F236" s="92"/>
      <c r="G236" s="92"/>
      <c r="H236" s="92"/>
    </row>
    <row r="237" spans="4:8" ht="15.75">
      <c r="D237" s="92"/>
      <c r="E237" s="92"/>
      <c r="F237" s="92"/>
      <c r="G237" s="92"/>
      <c r="H237" s="92"/>
    </row>
    <row r="238" spans="4:8" ht="15.75">
      <c r="D238" s="92"/>
      <c r="E238" s="92"/>
      <c r="F238" s="92"/>
      <c r="G238" s="92"/>
      <c r="H238" s="92"/>
    </row>
    <row r="239" spans="4:8" ht="15.75">
      <c r="D239" s="92"/>
      <c r="E239" s="92"/>
      <c r="F239" s="92"/>
      <c r="G239" s="92"/>
      <c r="H239" s="92"/>
    </row>
    <row r="240" spans="4:8" ht="15.75">
      <c r="D240" s="92"/>
      <c r="E240" s="92"/>
      <c r="F240" s="92"/>
      <c r="G240" s="92"/>
      <c r="H240" s="92"/>
    </row>
    <row r="241" spans="4:8" ht="15.75">
      <c r="D241" s="92"/>
      <c r="E241" s="92"/>
      <c r="F241" s="92"/>
      <c r="G241" s="92"/>
      <c r="H241" s="92"/>
    </row>
    <row r="242" spans="4:8" ht="15.75">
      <c r="D242" s="92"/>
      <c r="E242" s="92"/>
      <c r="F242" s="92"/>
      <c r="G242" s="92"/>
      <c r="H242" s="92"/>
    </row>
    <row r="243" spans="4:8" ht="15.75">
      <c r="D243" s="92"/>
      <c r="E243" s="92"/>
      <c r="F243" s="92"/>
      <c r="G243" s="92"/>
      <c r="H243" s="92"/>
    </row>
    <row r="244" spans="4:8" ht="15.75">
      <c r="D244" s="92"/>
      <c r="E244" s="92"/>
      <c r="F244" s="92"/>
      <c r="G244" s="92"/>
      <c r="H244" s="92"/>
    </row>
    <row r="245" spans="4:8" ht="15.75">
      <c r="D245" s="92"/>
      <c r="E245" s="92"/>
      <c r="F245" s="92"/>
      <c r="G245" s="92"/>
      <c r="H245" s="92"/>
    </row>
    <row r="246" spans="4:8" ht="15.75">
      <c r="D246" s="92"/>
      <c r="E246" s="92"/>
      <c r="F246" s="92"/>
      <c r="G246" s="92"/>
      <c r="H246" s="92"/>
    </row>
    <row r="247" spans="4:8" ht="15.75">
      <c r="D247" s="92"/>
      <c r="E247" s="92"/>
      <c r="F247" s="92"/>
      <c r="G247" s="92"/>
      <c r="H247" s="92"/>
    </row>
    <row r="248" spans="4:8" ht="15.75">
      <c r="D248" s="92"/>
      <c r="E248" s="92"/>
      <c r="F248" s="92"/>
      <c r="G248" s="92"/>
      <c r="H248" s="92"/>
    </row>
    <row r="249" spans="4:8" ht="15.75">
      <c r="D249" s="92"/>
      <c r="E249" s="92"/>
      <c r="F249" s="92"/>
      <c r="G249" s="92"/>
      <c r="H249" s="92"/>
    </row>
    <row r="250" spans="4:8" ht="15.75">
      <c r="D250" s="92"/>
      <c r="E250" s="92"/>
      <c r="F250" s="92"/>
      <c r="G250" s="92"/>
      <c r="H250" s="92"/>
    </row>
    <row r="251" spans="4:8" ht="15.75">
      <c r="D251" s="92"/>
      <c r="E251" s="92"/>
      <c r="F251" s="92"/>
      <c r="G251" s="92"/>
      <c r="H251" s="92"/>
    </row>
    <row r="252" spans="4:8" ht="15.75">
      <c r="D252" s="92"/>
      <c r="E252" s="92"/>
      <c r="F252" s="92"/>
      <c r="G252" s="92"/>
      <c r="H252" s="92"/>
    </row>
    <row r="253" spans="4:8" ht="15.75">
      <c r="D253" s="92"/>
      <c r="E253" s="92"/>
      <c r="F253" s="92"/>
      <c r="G253" s="92"/>
      <c r="H253" s="92"/>
    </row>
    <row r="254" spans="4:8" ht="15.75">
      <c r="D254" s="92"/>
      <c r="E254" s="92"/>
      <c r="F254" s="92"/>
      <c r="G254" s="92"/>
      <c r="H254" s="92"/>
    </row>
    <row r="255" spans="4:8" ht="15.75">
      <c r="D255" s="92"/>
      <c r="E255" s="92"/>
      <c r="F255" s="92"/>
      <c r="G255" s="92"/>
      <c r="H255" s="92"/>
    </row>
    <row r="256" spans="4:8" ht="15.75">
      <c r="D256" s="92"/>
      <c r="E256" s="92"/>
      <c r="F256" s="92"/>
      <c r="G256" s="92"/>
      <c r="H256" s="92"/>
    </row>
    <row r="257" spans="4:8" ht="15.75">
      <c r="D257" s="92"/>
      <c r="E257" s="92"/>
      <c r="F257" s="92"/>
      <c r="G257" s="92"/>
      <c r="H257" s="92"/>
    </row>
    <row r="258" spans="4:8" ht="15.75">
      <c r="D258" s="92"/>
      <c r="E258" s="92"/>
      <c r="F258" s="92"/>
      <c r="G258" s="92"/>
      <c r="H258" s="92"/>
    </row>
    <row r="259" spans="4:8" ht="15.75">
      <c r="D259" s="92"/>
      <c r="E259" s="92"/>
      <c r="F259" s="92"/>
      <c r="G259" s="92"/>
      <c r="H259" s="92"/>
    </row>
    <row r="260" spans="4:8" ht="15.75">
      <c r="D260" s="92"/>
      <c r="E260" s="92"/>
      <c r="F260" s="92"/>
      <c r="G260" s="92"/>
      <c r="H260" s="92"/>
    </row>
    <row r="261" spans="4:8" ht="15.75">
      <c r="D261" s="92"/>
      <c r="E261" s="92"/>
      <c r="F261" s="92"/>
      <c r="G261" s="92"/>
      <c r="H261" s="92"/>
    </row>
    <row r="262" spans="4:8" ht="15.75">
      <c r="D262" s="92"/>
      <c r="E262" s="92"/>
      <c r="F262" s="92"/>
      <c r="G262" s="92"/>
      <c r="H262" s="92"/>
    </row>
    <row r="263" spans="4:8" ht="15.75">
      <c r="D263" s="92"/>
      <c r="E263" s="92"/>
      <c r="F263" s="92"/>
      <c r="G263" s="92"/>
      <c r="H263" s="92"/>
    </row>
    <row r="264" spans="4:8" ht="15.75">
      <c r="D264" s="92"/>
      <c r="E264" s="92"/>
      <c r="F264" s="92"/>
      <c r="G264" s="92"/>
      <c r="H264" s="92"/>
    </row>
    <row r="265" spans="4:8" ht="15.75">
      <c r="D265" s="92"/>
      <c r="E265" s="92"/>
      <c r="F265" s="92"/>
      <c r="G265" s="92"/>
      <c r="H265" s="92"/>
    </row>
    <row r="266" spans="4:8" ht="15.75">
      <c r="D266" s="92"/>
      <c r="E266" s="92"/>
      <c r="F266" s="92"/>
      <c r="G266" s="92"/>
      <c r="H266" s="92"/>
    </row>
    <row r="267" spans="4:8" ht="15.75">
      <c r="D267" s="92"/>
      <c r="E267" s="92"/>
      <c r="F267" s="92"/>
      <c r="G267" s="92"/>
      <c r="H267" s="92"/>
    </row>
    <row r="268" spans="4:8" ht="15.75">
      <c r="D268" s="92"/>
      <c r="E268" s="92"/>
      <c r="F268" s="92"/>
      <c r="G268" s="92"/>
      <c r="H268" s="92"/>
    </row>
    <row r="269" spans="4:8" ht="15.75">
      <c r="D269" s="92"/>
      <c r="E269" s="92"/>
      <c r="F269" s="92"/>
      <c r="G269" s="92"/>
      <c r="H269" s="92"/>
    </row>
    <row r="270" spans="4:8" ht="15.75">
      <c r="D270" s="92"/>
      <c r="E270" s="92"/>
      <c r="F270" s="92"/>
      <c r="G270" s="92"/>
      <c r="H270" s="92"/>
    </row>
    <row r="271" spans="4:8" ht="15.75">
      <c r="D271" s="92"/>
      <c r="E271" s="92"/>
      <c r="F271" s="92"/>
      <c r="G271" s="92"/>
      <c r="H271" s="92"/>
    </row>
    <row r="272" spans="4:8" ht="15.75">
      <c r="D272" s="92"/>
      <c r="E272" s="92"/>
      <c r="F272" s="92"/>
      <c r="G272" s="92"/>
      <c r="H272" s="92"/>
    </row>
    <row r="273" spans="4:8" ht="15.75">
      <c r="D273" s="92"/>
      <c r="E273" s="92"/>
      <c r="F273" s="92"/>
      <c r="G273" s="92"/>
      <c r="H273" s="92"/>
    </row>
    <row r="274" spans="4:8" ht="15.75">
      <c r="D274" s="92"/>
      <c r="E274" s="92"/>
      <c r="F274" s="92"/>
      <c r="G274" s="92"/>
      <c r="H274" s="92"/>
    </row>
    <row r="275" spans="4:8" ht="15.75">
      <c r="D275" s="92"/>
      <c r="E275" s="92"/>
      <c r="F275" s="92"/>
      <c r="G275" s="92"/>
      <c r="H275" s="92"/>
    </row>
    <row r="276" spans="4:8" ht="15.75">
      <c r="D276" s="92"/>
      <c r="E276" s="92"/>
      <c r="F276" s="92"/>
      <c r="G276" s="92"/>
      <c r="H276" s="92"/>
    </row>
    <row r="277" spans="4:8" ht="15.75">
      <c r="D277" s="92"/>
      <c r="E277" s="92"/>
      <c r="F277" s="92"/>
      <c r="G277" s="92"/>
      <c r="H277" s="92"/>
    </row>
    <row r="278" spans="4:8" ht="15.75">
      <c r="D278" s="92"/>
      <c r="E278" s="92"/>
      <c r="F278" s="92"/>
      <c r="G278" s="92"/>
      <c r="H278" s="92"/>
    </row>
    <row r="279" spans="4:8" ht="15.75">
      <c r="D279" s="92"/>
      <c r="E279" s="92"/>
      <c r="F279" s="92"/>
      <c r="G279" s="92"/>
      <c r="H279" s="92"/>
    </row>
    <row r="280" spans="4:8" ht="15.75">
      <c r="D280" s="92"/>
      <c r="E280" s="92"/>
      <c r="F280" s="92"/>
      <c r="G280" s="92"/>
      <c r="H280" s="92"/>
    </row>
    <row r="281" spans="4:8" ht="15.75">
      <c r="D281" s="92"/>
      <c r="E281" s="92"/>
      <c r="F281" s="92"/>
      <c r="G281" s="92"/>
      <c r="H281" s="92"/>
    </row>
    <row r="282" spans="4:8" ht="15.75">
      <c r="D282" s="92"/>
      <c r="E282" s="92"/>
      <c r="F282" s="92"/>
      <c r="G282" s="92"/>
      <c r="H282" s="92"/>
    </row>
    <row r="283" spans="4:8" ht="15.75">
      <c r="D283" s="92"/>
      <c r="E283" s="92"/>
      <c r="F283" s="92"/>
      <c r="G283" s="92"/>
      <c r="H283" s="92"/>
    </row>
    <row r="284" spans="4:8" ht="15.75">
      <c r="D284" s="92"/>
      <c r="E284" s="92"/>
      <c r="F284" s="92"/>
      <c r="G284" s="92"/>
      <c r="H284" s="92"/>
    </row>
    <row r="285" spans="4:8" ht="15.75">
      <c r="D285" s="92"/>
      <c r="E285" s="92"/>
      <c r="F285" s="92"/>
      <c r="G285" s="92"/>
      <c r="H285" s="92"/>
    </row>
    <row r="286" spans="4:8" ht="15.75">
      <c r="D286" s="92"/>
      <c r="E286" s="92"/>
      <c r="F286" s="92"/>
      <c r="G286" s="92"/>
      <c r="H286" s="92"/>
    </row>
    <row r="287" spans="4:8" ht="15.75">
      <c r="D287" s="92"/>
      <c r="E287" s="92"/>
      <c r="F287" s="92"/>
      <c r="G287" s="92"/>
      <c r="H287" s="92"/>
    </row>
    <row r="288" spans="4:8" ht="15.75">
      <c r="D288" s="92"/>
      <c r="E288" s="92"/>
      <c r="F288" s="92"/>
      <c r="G288" s="92"/>
      <c r="H288" s="92"/>
    </row>
    <row r="289" spans="4:8" ht="15.75">
      <c r="D289" s="92"/>
      <c r="E289" s="92"/>
      <c r="F289" s="92"/>
      <c r="G289" s="92"/>
      <c r="H289" s="92"/>
    </row>
    <row r="290" spans="4:8" ht="15.75">
      <c r="D290" s="92"/>
      <c r="E290" s="92"/>
      <c r="F290" s="92"/>
      <c r="G290" s="92"/>
      <c r="H290" s="92"/>
    </row>
    <row r="291" spans="4:8" ht="15.75">
      <c r="D291" s="92"/>
      <c r="E291" s="92"/>
      <c r="F291" s="92"/>
      <c r="G291" s="92"/>
      <c r="H291" s="92"/>
    </row>
    <row r="292" spans="4:8" ht="15.75">
      <c r="D292" s="92"/>
      <c r="E292" s="92"/>
      <c r="F292" s="92"/>
      <c r="G292" s="92"/>
      <c r="H292" s="92"/>
    </row>
    <row r="293" spans="4:8" ht="15.75">
      <c r="D293" s="92"/>
      <c r="E293" s="92"/>
      <c r="F293" s="92"/>
      <c r="G293" s="92"/>
      <c r="H293" s="92"/>
    </row>
    <row r="294" spans="4:8" ht="15.75">
      <c r="D294" s="92"/>
      <c r="E294" s="92"/>
      <c r="F294" s="92"/>
      <c r="G294" s="92"/>
      <c r="H294" s="92"/>
    </row>
    <row r="295" spans="4:8" ht="15.75">
      <c r="D295" s="92"/>
      <c r="E295" s="92"/>
      <c r="F295" s="92"/>
      <c r="G295" s="92"/>
      <c r="H295" s="92"/>
    </row>
    <row r="296" spans="4:8" ht="15.75">
      <c r="D296" s="92"/>
      <c r="E296" s="92"/>
      <c r="F296" s="92"/>
      <c r="G296" s="92"/>
      <c r="H296" s="92"/>
    </row>
    <row r="297" spans="4:8" ht="15.75">
      <c r="D297" s="92"/>
      <c r="E297" s="92"/>
      <c r="F297" s="92"/>
      <c r="G297" s="92"/>
      <c r="H297" s="92"/>
    </row>
    <row r="298" spans="4:8" ht="15.75">
      <c r="D298" s="92"/>
      <c r="E298" s="92"/>
      <c r="F298" s="92"/>
      <c r="G298" s="92"/>
      <c r="H298" s="92"/>
    </row>
    <row r="299" spans="4:8" ht="15.75">
      <c r="D299" s="92"/>
      <c r="E299" s="92"/>
      <c r="F299" s="92"/>
      <c r="G299" s="92"/>
      <c r="H299" s="92"/>
    </row>
    <row r="300" spans="4:8" ht="15.75">
      <c r="D300" s="92"/>
      <c r="E300" s="92"/>
      <c r="F300" s="92"/>
      <c r="G300" s="92"/>
      <c r="H300" s="92"/>
    </row>
    <row r="301" spans="4:8" ht="15.75">
      <c r="D301" s="92"/>
      <c r="E301" s="92"/>
      <c r="F301" s="92"/>
      <c r="G301" s="92"/>
      <c r="H301" s="92"/>
    </row>
    <row r="302" spans="4:8" ht="15.75">
      <c r="D302" s="92"/>
      <c r="E302" s="92"/>
      <c r="F302" s="92"/>
      <c r="G302" s="92"/>
      <c r="H302" s="92"/>
    </row>
    <row r="303" spans="4:8" ht="15.75">
      <c r="D303" s="92"/>
      <c r="E303" s="92"/>
      <c r="F303" s="92"/>
      <c r="G303" s="92"/>
      <c r="H303" s="92"/>
    </row>
    <row r="304" spans="4:8" ht="15.75">
      <c r="D304" s="92"/>
      <c r="E304" s="92"/>
      <c r="F304" s="92"/>
      <c r="G304" s="92"/>
      <c r="H304" s="92"/>
    </row>
    <row r="305" spans="4:8" ht="15.75">
      <c r="D305" s="92"/>
      <c r="E305" s="92"/>
      <c r="F305" s="92"/>
      <c r="G305" s="92"/>
      <c r="H305" s="92"/>
    </row>
    <row r="306" spans="4:8" ht="15.75">
      <c r="D306" s="92"/>
      <c r="E306" s="92"/>
      <c r="F306" s="92"/>
      <c r="G306" s="92"/>
      <c r="H306" s="92"/>
    </row>
    <row r="307" spans="4:8" ht="15.75">
      <c r="D307" s="92"/>
      <c r="E307" s="92"/>
      <c r="F307" s="92"/>
      <c r="G307" s="92"/>
      <c r="H307" s="92"/>
    </row>
    <row r="308" spans="4:8" ht="15.75">
      <c r="D308" s="92"/>
      <c r="E308" s="92"/>
      <c r="F308" s="92"/>
      <c r="G308" s="92"/>
      <c r="H308" s="92"/>
    </row>
    <row r="309" spans="4:8" ht="15.75">
      <c r="D309" s="92"/>
      <c r="E309" s="92"/>
      <c r="F309" s="92"/>
      <c r="G309" s="92"/>
      <c r="H309" s="92"/>
    </row>
    <row r="310" spans="4:8" ht="15.75">
      <c r="D310" s="92"/>
      <c r="E310" s="92"/>
      <c r="F310" s="92"/>
      <c r="G310" s="92"/>
      <c r="H310" s="92"/>
    </row>
    <row r="311" spans="4:8" ht="15.75">
      <c r="D311" s="92"/>
      <c r="E311" s="92"/>
      <c r="F311" s="92"/>
      <c r="G311" s="92"/>
      <c r="H311" s="92"/>
    </row>
    <row r="312" spans="4:8" ht="15.75">
      <c r="D312" s="92"/>
      <c r="E312" s="92"/>
      <c r="F312" s="92"/>
      <c r="G312" s="92"/>
      <c r="H312" s="92"/>
    </row>
    <row r="313" spans="4:8" ht="15.75">
      <c r="D313" s="92"/>
      <c r="E313" s="92"/>
      <c r="F313" s="92"/>
      <c r="G313" s="92"/>
      <c r="H313" s="92"/>
    </row>
    <row r="314" spans="4:8" ht="15.75">
      <c r="D314" s="92"/>
      <c r="E314" s="92"/>
      <c r="F314" s="92"/>
      <c r="G314" s="92"/>
      <c r="H314" s="92"/>
    </row>
    <row r="315" spans="4:8" ht="15.75">
      <c r="D315" s="92"/>
      <c r="E315" s="92"/>
      <c r="F315" s="92"/>
      <c r="G315" s="92"/>
      <c r="H315" s="92"/>
    </row>
    <row r="316" spans="4:8" ht="15.75">
      <c r="D316" s="92"/>
      <c r="E316" s="92"/>
      <c r="F316" s="92"/>
      <c r="G316" s="92"/>
      <c r="H316" s="92"/>
    </row>
    <row r="317" spans="4:8" ht="15.75">
      <c r="D317" s="92"/>
      <c r="E317" s="92"/>
      <c r="F317" s="92"/>
      <c r="G317" s="92"/>
      <c r="H317" s="92"/>
    </row>
    <row r="318" spans="4:8" ht="15.75">
      <c r="D318" s="92"/>
      <c r="E318" s="92"/>
      <c r="F318" s="92"/>
      <c r="G318" s="92"/>
      <c r="H318" s="92"/>
    </row>
    <row r="319" spans="4:8" ht="15.75">
      <c r="D319" s="92"/>
      <c r="E319" s="92"/>
      <c r="F319" s="92"/>
      <c r="G319" s="92"/>
      <c r="H319" s="92"/>
    </row>
    <row r="320" spans="4:8" ht="15.75">
      <c r="D320" s="92"/>
      <c r="E320" s="92"/>
      <c r="F320" s="92"/>
      <c r="G320" s="92"/>
      <c r="H320" s="92"/>
    </row>
    <row r="321" spans="4:8" ht="15.75">
      <c r="D321" s="92"/>
      <c r="E321" s="92"/>
      <c r="F321" s="92"/>
      <c r="G321" s="92"/>
      <c r="H321" s="92"/>
    </row>
    <row r="322" spans="4:8" ht="15.75">
      <c r="D322" s="92"/>
      <c r="E322" s="92"/>
      <c r="F322" s="92"/>
      <c r="G322" s="92"/>
      <c r="H322" s="92"/>
    </row>
    <row r="323" spans="4:8" ht="15.75">
      <c r="D323" s="92"/>
      <c r="E323" s="92"/>
      <c r="F323" s="92"/>
      <c r="G323" s="92"/>
      <c r="H323" s="92"/>
    </row>
    <row r="324" spans="4:8" ht="15.75">
      <c r="D324" s="92"/>
      <c r="E324" s="92"/>
      <c r="F324" s="92"/>
      <c r="G324" s="92"/>
      <c r="H324" s="92"/>
    </row>
    <row r="325" spans="4:8" ht="15.75">
      <c r="D325" s="92"/>
      <c r="E325" s="92"/>
      <c r="F325" s="92"/>
      <c r="G325" s="92"/>
      <c r="H325" s="92"/>
    </row>
    <row r="326" spans="4:8" ht="15.75">
      <c r="D326" s="92"/>
      <c r="E326" s="92"/>
      <c r="F326" s="92"/>
      <c r="G326" s="92"/>
      <c r="H326" s="92"/>
    </row>
    <row r="327" spans="4:8" ht="15.75">
      <c r="D327" s="92"/>
      <c r="E327" s="92"/>
      <c r="F327" s="92"/>
      <c r="G327" s="92"/>
      <c r="H327" s="92"/>
    </row>
    <row r="328" spans="4:8" ht="15.75">
      <c r="D328" s="92"/>
      <c r="E328" s="92"/>
      <c r="F328" s="92"/>
      <c r="G328" s="92"/>
      <c r="H328" s="92"/>
    </row>
    <row r="329" spans="4:8" ht="15.75">
      <c r="D329" s="92"/>
      <c r="E329" s="92"/>
      <c r="F329" s="92"/>
      <c r="G329" s="92"/>
      <c r="H329" s="92"/>
    </row>
    <row r="330" spans="4:8" ht="15.75">
      <c r="D330" s="92"/>
      <c r="E330" s="92"/>
      <c r="F330" s="92"/>
      <c r="G330" s="92"/>
      <c r="H330" s="92"/>
    </row>
    <row r="331" spans="4:8" ht="15.75">
      <c r="D331" s="92"/>
      <c r="E331" s="92"/>
      <c r="F331" s="92"/>
      <c r="G331" s="92"/>
      <c r="H331" s="92"/>
    </row>
    <row r="332" spans="4:8" ht="15.75">
      <c r="D332" s="92"/>
      <c r="E332" s="92"/>
      <c r="F332" s="92"/>
      <c r="G332" s="92"/>
      <c r="H332" s="92"/>
    </row>
    <row r="333" spans="4:8" ht="15.75">
      <c r="D333" s="92"/>
      <c r="E333" s="92"/>
      <c r="F333" s="92"/>
      <c r="G333" s="92"/>
      <c r="H333" s="92"/>
    </row>
    <row r="334" spans="4:8" ht="15.75">
      <c r="D334" s="92"/>
      <c r="E334" s="92"/>
      <c r="F334" s="92"/>
      <c r="G334" s="92"/>
      <c r="H334" s="92"/>
    </row>
    <row r="335" spans="4:8" ht="15.75">
      <c r="D335" s="92"/>
      <c r="E335" s="92"/>
      <c r="F335" s="92"/>
      <c r="G335" s="92"/>
      <c r="H335" s="92"/>
    </row>
    <row r="336" spans="4:8" ht="15.75">
      <c r="D336" s="92"/>
      <c r="E336" s="92"/>
      <c r="F336" s="92"/>
      <c r="G336" s="92"/>
      <c r="H336" s="92"/>
    </row>
    <row r="337" spans="4:8" ht="15.75">
      <c r="D337" s="92"/>
      <c r="E337" s="92"/>
      <c r="F337" s="92"/>
      <c r="G337" s="92"/>
      <c r="H337" s="92"/>
    </row>
    <row r="338" spans="4:8" ht="15.75">
      <c r="D338" s="92"/>
      <c r="E338" s="92"/>
      <c r="F338" s="92"/>
      <c r="G338" s="92"/>
      <c r="H338" s="92"/>
    </row>
    <row r="339" spans="4:8" ht="15.75">
      <c r="D339" s="92"/>
      <c r="E339" s="92"/>
      <c r="F339" s="92"/>
      <c r="G339" s="92"/>
      <c r="H339" s="92"/>
    </row>
    <row r="340" spans="4:8" ht="15.75">
      <c r="D340" s="92"/>
      <c r="E340" s="92"/>
      <c r="F340" s="92"/>
      <c r="G340" s="92"/>
      <c r="H340" s="92"/>
    </row>
    <row r="341" spans="4:8" ht="15.75">
      <c r="D341" s="92"/>
      <c r="E341" s="92"/>
      <c r="F341" s="92"/>
      <c r="G341" s="92"/>
      <c r="H341" s="92"/>
    </row>
    <row r="342" spans="4:8" ht="15.75">
      <c r="D342" s="92"/>
      <c r="E342" s="92"/>
      <c r="F342" s="92"/>
      <c r="G342" s="92"/>
      <c r="H342" s="92"/>
    </row>
    <row r="343" spans="4:8" ht="15.75">
      <c r="D343" s="92"/>
      <c r="E343" s="92"/>
      <c r="F343" s="92"/>
      <c r="G343" s="92"/>
      <c r="H343" s="92"/>
    </row>
    <row r="344" spans="4:8" ht="15.75">
      <c r="D344" s="92"/>
      <c r="E344" s="92"/>
      <c r="F344" s="92"/>
      <c r="G344" s="92"/>
      <c r="H344" s="92"/>
    </row>
    <row r="345" spans="4:8" ht="15.75">
      <c r="D345" s="92"/>
      <c r="E345" s="92"/>
      <c r="F345" s="92"/>
      <c r="G345" s="92"/>
      <c r="H345" s="92"/>
    </row>
    <row r="346" spans="4:8" ht="15.75">
      <c r="D346" s="92"/>
      <c r="E346" s="92"/>
      <c r="F346" s="92"/>
      <c r="G346" s="92"/>
      <c r="H346" s="92"/>
    </row>
    <row r="347" spans="4:8" ht="15.75">
      <c r="D347" s="92"/>
      <c r="E347" s="92"/>
      <c r="F347" s="92"/>
      <c r="G347" s="92"/>
      <c r="H347" s="92"/>
    </row>
    <row r="348" spans="4:8" ht="15.75">
      <c r="D348" s="92"/>
      <c r="E348" s="92"/>
      <c r="F348" s="92"/>
      <c r="G348" s="92"/>
      <c r="H348" s="92"/>
    </row>
    <row r="349" spans="4:8" ht="15.75">
      <c r="D349" s="92"/>
      <c r="E349" s="92"/>
      <c r="F349" s="92"/>
      <c r="G349" s="92"/>
      <c r="H349" s="92"/>
    </row>
    <row r="350" spans="4:8" ht="15.75">
      <c r="D350" s="92"/>
      <c r="E350" s="92"/>
      <c r="F350" s="92"/>
      <c r="G350" s="92"/>
      <c r="H350" s="92"/>
    </row>
    <row r="351" spans="4:8" ht="15.75">
      <c r="D351" s="92"/>
      <c r="E351" s="92"/>
      <c r="F351" s="92"/>
      <c r="G351" s="92"/>
      <c r="H351" s="92"/>
    </row>
    <row r="352" spans="4:8" ht="15.75">
      <c r="D352" s="92"/>
      <c r="E352" s="92"/>
      <c r="F352" s="92"/>
      <c r="G352" s="92"/>
      <c r="H352" s="92"/>
    </row>
    <row r="353" spans="4:8" ht="15.75">
      <c r="D353" s="92"/>
      <c r="E353" s="92"/>
      <c r="F353" s="92"/>
      <c r="G353" s="92"/>
      <c r="H353" s="92"/>
    </row>
    <row r="354" spans="4:8" ht="15.75">
      <c r="D354" s="92"/>
      <c r="E354" s="92"/>
      <c r="F354" s="92"/>
      <c r="G354" s="92"/>
      <c r="H354" s="92"/>
    </row>
    <row r="355" spans="4:8" ht="15.75">
      <c r="D355" s="92"/>
      <c r="E355" s="92"/>
      <c r="F355" s="92"/>
      <c r="G355" s="92"/>
      <c r="H355" s="92"/>
    </row>
    <row r="356" spans="4:8" ht="15.75">
      <c r="D356" s="92"/>
      <c r="E356" s="92"/>
      <c r="F356" s="92"/>
      <c r="G356" s="92"/>
      <c r="H356" s="92"/>
    </row>
    <row r="357" spans="4:8" ht="15.75">
      <c r="D357" s="92"/>
      <c r="E357" s="92"/>
      <c r="F357" s="92"/>
      <c r="G357" s="92"/>
      <c r="H357" s="92"/>
    </row>
    <row r="358" spans="4:8" ht="15.75">
      <c r="D358" s="92"/>
      <c r="E358" s="92"/>
      <c r="F358" s="92"/>
      <c r="G358" s="92"/>
      <c r="H358" s="92"/>
    </row>
    <row r="359" spans="4:8" ht="15.75">
      <c r="D359" s="92"/>
      <c r="E359" s="92"/>
      <c r="F359" s="92"/>
      <c r="G359" s="92"/>
      <c r="H359" s="92"/>
    </row>
    <row r="360" spans="4:8" ht="15.75">
      <c r="D360" s="92"/>
      <c r="E360" s="92"/>
      <c r="F360" s="92"/>
      <c r="G360" s="92"/>
      <c r="H360" s="92"/>
    </row>
    <row r="361" spans="4:8" ht="15.75">
      <c r="D361" s="92"/>
      <c r="E361" s="92"/>
      <c r="F361" s="92"/>
      <c r="G361" s="92"/>
      <c r="H361" s="92"/>
    </row>
    <row r="362" spans="4:8" ht="15.75">
      <c r="D362" s="92"/>
      <c r="E362" s="92"/>
      <c r="F362" s="92"/>
      <c r="G362" s="92"/>
      <c r="H362" s="92"/>
    </row>
    <row r="363" spans="4:8" ht="15.75">
      <c r="D363" s="92"/>
      <c r="E363" s="92"/>
      <c r="F363" s="92"/>
      <c r="G363" s="92"/>
      <c r="H363" s="92"/>
    </row>
    <row r="364" spans="4:8" ht="15.75">
      <c r="D364" s="92"/>
      <c r="E364" s="92"/>
      <c r="F364" s="92"/>
      <c r="G364" s="92"/>
      <c r="H364" s="92"/>
    </row>
    <row r="365" spans="4:8" ht="15.75">
      <c r="D365" s="92"/>
      <c r="E365" s="92"/>
      <c r="F365" s="92"/>
      <c r="G365" s="92"/>
      <c r="H365" s="92"/>
    </row>
    <row r="366" spans="4:8" ht="15.75">
      <c r="D366" s="92"/>
      <c r="E366" s="92"/>
      <c r="F366" s="92"/>
      <c r="G366" s="92"/>
      <c r="H366" s="92"/>
    </row>
    <row r="367" spans="4:8" ht="15.75">
      <c r="D367" s="92"/>
      <c r="E367" s="92"/>
      <c r="F367" s="92"/>
      <c r="G367" s="92"/>
      <c r="H367" s="92"/>
    </row>
    <row r="368" spans="4:8" ht="15.75">
      <c r="D368" s="92"/>
      <c r="E368" s="92"/>
      <c r="F368" s="92"/>
      <c r="G368" s="92"/>
      <c r="H368" s="92"/>
    </row>
    <row r="369" spans="4:8" ht="15.75">
      <c r="D369" s="92"/>
      <c r="E369" s="92"/>
      <c r="F369" s="92"/>
      <c r="G369" s="92"/>
      <c r="H369" s="92"/>
    </row>
    <row r="370" spans="4:8" ht="15.75">
      <c r="D370" s="92"/>
      <c r="E370" s="92"/>
      <c r="F370" s="92"/>
      <c r="G370" s="92"/>
      <c r="H370" s="92"/>
    </row>
    <row r="371" spans="4:8" ht="15.75">
      <c r="D371" s="92"/>
      <c r="E371" s="92"/>
      <c r="F371" s="92"/>
      <c r="G371" s="92"/>
      <c r="H371" s="92"/>
    </row>
    <row r="372" spans="4:8" ht="15.75">
      <c r="D372" s="92"/>
      <c r="E372" s="92"/>
      <c r="F372" s="92"/>
      <c r="G372" s="92"/>
      <c r="H372" s="92"/>
    </row>
    <row r="373" spans="4:8" ht="15.75">
      <c r="D373" s="92"/>
      <c r="E373" s="92"/>
      <c r="F373" s="92"/>
      <c r="G373" s="92"/>
      <c r="H373" s="92"/>
    </row>
    <row r="374" spans="4:8" ht="15.75">
      <c r="D374" s="92"/>
      <c r="E374" s="92"/>
      <c r="F374" s="92"/>
      <c r="G374" s="92"/>
      <c r="H374" s="92"/>
    </row>
    <row r="375" spans="4:8" ht="15.75">
      <c r="D375" s="92"/>
      <c r="E375" s="92"/>
      <c r="F375" s="92"/>
      <c r="G375" s="92"/>
      <c r="H375" s="92"/>
    </row>
    <row r="376" spans="4:8" ht="15.75">
      <c r="D376" s="92"/>
      <c r="E376" s="92"/>
      <c r="F376" s="92"/>
      <c r="G376" s="92"/>
      <c r="H376" s="92"/>
    </row>
    <row r="377" spans="4:8" ht="15.75">
      <c r="D377" s="92"/>
      <c r="E377" s="92"/>
      <c r="F377" s="92"/>
      <c r="G377" s="92"/>
      <c r="H377" s="92"/>
    </row>
    <row r="378" spans="4:8" ht="15.75">
      <c r="D378" s="92"/>
      <c r="E378" s="92"/>
      <c r="F378" s="92"/>
      <c r="G378" s="92"/>
      <c r="H378" s="92"/>
    </row>
    <row r="379" spans="4:8" ht="15.75">
      <c r="D379" s="92"/>
      <c r="E379" s="92"/>
      <c r="F379" s="92"/>
      <c r="G379" s="92"/>
      <c r="H379" s="92"/>
    </row>
    <row r="380" spans="4:8" ht="15.75">
      <c r="D380" s="92"/>
      <c r="E380" s="92"/>
      <c r="F380" s="92"/>
      <c r="G380" s="92"/>
      <c r="H380" s="92"/>
    </row>
    <row r="381" spans="4:8" ht="15.75">
      <c r="D381" s="92"/>
      <c r="E381" s="92"/>
      <c r="F381" s="92"/>
      <c r="G381" s="92"/>
      <c r="H381" s="92"/>
    </row>
    <row r="382" spans="4:8" ht="15.75">
      <c r="D382" s="92"/>
      <c r="E382" s="92"/>
      <c r="F382" s="92"/>
      <c r="G382" s="92"/>
      <c r="H382" s="92"/>
    </row>
    <row r="383" spans="4:8" ht="15.75">
      <c r="D383" s="92"/>
      <c r="E383" s="92"/>
      <c r="F383" s="92"/>
      <c r="G383" s="92"/>
      <c r="H383" s="92"/>
    </row>
    <row r="384" spans="4:8" ht="15.75">
      <c r="D384" s="92"/>
      <c r="E384" s="92"/>
      <c r="F384" s="92"/>
      <c r="G384" s="92"/>
      <c r="H384" s="92"/>
    </row>
    <row r="385" spans="4:8" ht="15.75">
      <c r="D385" s="92"/>
      <c r="E385" s="92"/>
      <c r="F385" s="92"/>
      <c r="G385" s="92"/>
      <c r="H385" s="92"/>
    </row>
    <row r="386" spans="4:8" ht="15.75">
      <c r="D386" s="92"/>
      <c r="E386" s="92"/>
      <c r="F386" s="92"/>
      <c r="G386" s="92"/>
      <c r="H386" s="92"/>
    </row>
    <row r="387" spans="4:8" ht="15.75">
      <c r="D387" s="92"/>
      <c r="E387" s="92"/>
      <c r="F387" s="92"/>
      <c r="G387" s="92"/>
      <c r="H387" s="92"/>
    </row>
    <row r="388" spans="4:8" ht="15.75">
      <c r="D388" s="92"/>
      <c r="E388" s="92"/>
      <c r="F388" s="92"/>
      <c r="G388" s="92"/>
      <c r="H388" s="92"/>
    </row>
    <row r="389" spans="4:8" ht="15.75">
      <c r="D389" s="92"/>
      <c r="E389" s="92"/>
      <c r="F389" s="92"/>
      <c r="G389" s="92"/>
      <c r="H389" s="92"/>
    </row>
    <row r="390" spans="4:8" ht="15.75">
      <c r="D390" s="92"/>
      <c r="E390" s="92"/>
      <c r="F390" s="92"/>
      <c r="G390" s="92"/>
      <c r="H390" s="92"/>
    </row>
    <row r="391" spans="4:8" ht="15.75">
      <c r="D391" s="92"/>
      <c r="E391" s="92"/>
      <c r="F391" s="92"/>
      <c r="G391" s="92"/>
      <c r="H391" s="92"/>
    </row>
    <row r="392" spans="4:8" ht="15.75">
      <c r="D392" s="92"/>
      <c r="E392" s="92"/>
      <c r="F392" s="92"/>
      <c r="G392" s="92"/>
      <c r="H392" s="92"/>
    </row>
    <row r="393" spans="4:8" ht="15.75">
      <c r="D393" s="92"/>
      <c r="E393" s="92"/>
      <c r="F393" s="92"/>
      <c r="G393" s="92"/>
      <c r="H393" s="92"/>
    </row>
    <row r="394" spans="4:8" ht="15.75">
      <c r="D394" s="92"/>
      <c r="E394" s="92"/>
      <c r="F394" s="92"/>
      <c r="G394" s="92"/>
      <c r="H394" s="92"/>
    </row>
    <row r="395" spans="4:8" ht="15.75">
      <c r="D395" s="92"/>
      <c r="E395" s="92"/>
      <c r="F395" s="92"/>
      <c r="G395" s="92"/>
      <c r="H395" s="92"/>
    </row>
    <row r="396" spans="4:8" ht="15.75">
      <c r="D396" s="92"/>
      <c r="E396" s="92"/>
      <c r="F396" s="92"/>
      <c r="G396" s="92"/>
      <c r="H396" s="92"/>
    </row>
    <row r="397" spans="4:8" ht="15.75">
      <c r="D397" s="92"/>
      <c r="E397" s="92"/>
      <c r="F397" s="92"/>
      <c r="G397" s="92"/>
      <c r="H397" s="92"/>
    </row>
    <row r="398" spans="4:8" ht="15.75">
      <c r="D398" s="92"/>
      <c r="E398" s="92"/>
      <c r="F398" s="92"/>
      <c r="G398" s="92"/>
      <c r="H398" s="92"/>
    </row>
    <row r="399" spans="4:8" ht="15.75">
      <c r="D399" s="92"/>
      <c r="E399" s="92"/>
      <c r="F399" s="92"/>
      <c r="G399" s="92"/>
      <c r="H399" s="92"/>
    </row>
    <row r="400" spans="4:8" ht="15.75">
      <c r="D400" s="92"/>
      <c r="E400" s="92"/>
      <c r="F400" s="92"/>
      <c r="G400" s="92"/>
      <c r="H400" s="92"/>
    </row>
    <row r="401" spans="4:8" ht="15.75">
      <c r="D401" s="92"/>
      <c r="E401" s="92"/>
      <c r="F401" s="92"/>
      <c r="G401" s="92"/>
      <c r="H401" s="92"/>
    </row>
    <row r="402" spans="4:8" ht="15.75">
      <c r="D402" s="92"/>
      <c r="E402" s="92"/>
      <c r="F402" s="92"/>
      <c r="G402" s="92"/>
      <c r="H402" s="92"/>
    </row>
    <row r="403" spans="4:8" ht="15.75">
      <c r="D403" s="92"/>
      <c r="E403" s="92"/>
      <c r="F403" s="92"/>
      <c r="G403" s="92"/>
      <c r="H403" s="92"/>
    </row>
    <row r="404" spans="4:8" ht="15.75">
      <c r="D404" s="92"/>
      <c r="E404" s="92"/>
      <c r="F404" s="92"/>
      <c r="G404" s="92"/>
      <c r="H404" s="92"/>
    </row>
    <row r="405" spans="4:8" ht="15.75">
      <c r="D405" s="92"/>
      <c r="E405" s="92"/>
      <c r="F405" s="92"/>
      <c r="G405" s="92"/>
      <c r="H405" s="92"/>
    </row>
    <row r="406" spans="4:8" ht="15.75">
      <c r="D406" s="92"/>
      <c r="E406" s="92"/>
      <c r="F406" s="92"/>
      <c r="G406" s="92"/>
      <c r="H406" s="92"/>
    </row>
    <row r="407" spans="4:8" ht="15.75">
      <c r="D407" s="92"/>
      <c r="E407" s="92"/>
      <c r="F407" s="92"/>
      <c r="G407" s="92"/>
      <c r="H407" s="92"/>
    </row>
    <row r="408" spans="4:8" ht="15.75">
      <c r="D408" s="92"/>
      <c r="E408" s="92"/>
      <c r="F408" s="92"/>
      <c r="G408" s="92"/>
      <c r="H408" s="92"/>
    </row>
    <row r="409" spans="4:8" ht="15.75">
      <c r="D409" s="92"/>
      <c r="E409" s="92"/>
      <c r="F409" s="92"/>
      <c r="G409" s="92"/>
      <c r="H409" s="92"/>
    </row>
    <row r="410" spans="4:8" ht="15.75">
      <c r="D410" s="92"/>
      <c r="E410" s="92"/>
      <c r="F410" s="92"/>
      <c r="G410" s="92"/>
      <c r="H410" s="92"/>
    </row>
    <row r="411" spans="4:8" ht="15.75">
      <c r="D411" s="92"/>
      <c r="E411" s="92"/>
      <c r="F411" s="92"/>
      <c r="G411" s="92"/>
      <c r="H411" s="92"/>
    </row>
    <row r="412" spans="4:8" ht="15.75">
      <c r="D412" s="92"/>
      <c r="E412" s="92"/>
      <c r="F412" s="92"/>
      <c r="G412" s="92"/>
      <c r="H412" s="92"/>
    </row>
    <row r="413" spans="4:8" ht="15.75">
      <c r="D413" s="92"/>
      <c r="E413" s="92"/>
      <c r="F413" s="92"/>
      <c r="G413" s="92"/>
      <c r="H413" s="92"/>
    </row>
    <row r="414" spans="4:8" ht="15.75">
      <c r="D414" s="92"/>
      <c r="E414" s="92"/>
      <c r="F414" s="92"/>
      <c r="G414" s="92"/>
      <c r="H414" s="92"/>
    </row>
    <row r="415" spans="4:8" ht="15.75">
      <c r="D415" s="92"/>
      <c r="E415" s="92"/>
      <c r="F415" s="92"/>
      <c r="G415" s="92"/>
      <c r="H415" s="92"/>
    </row>
    <row r="416" spans="4:8" ht="15.75">
      <c r="D416" s="92"/>
      <c r="E416" s="92"/>
      <c r="F416" s="92"/>
      <c r="G416" s="92"/>
      <c r="H416" s="92"/>
    </row>
    <row r="417" spans="4:8" ht="15.75">
      <c r="D417" s="92"/>
      <c r="E417" s="92"/>
      <c r="F417" s="92"/>
      <c r="G417" s="92"/>
      <c r="H417" s="92"/>
    </row>
    <row r="418" spans="4:8" ht="15.75">
      <c r="D418" s="92"/>
      <c r="E418" s="92"/>
      <c r="F418" s="92"/>
      <c r="G418" s="92"/>
      <c r="H418" s="92"/>
    </row>
    <row r="419" spans="4:8" ht="15.75">
      <c r="D419" s="92"/>
      <c r="E419" s="92"/>
      <c r="F419" s="92"/>
      <c r="G419" s="92"/>
      <c r="H419" s="92"/>
    </row>
    <row r="420" spans="4:8" ht="15.75">
      <c r="D420" s="92"/>
      <c r="E420" s="92"/>
      <c r="F420" s="92"/>
      <c r="G420" s="92"/>
      <c r="H420" s="92"/>
    </row>
    <row r="421" spans="4:8" ht="15.75">
      <c r="D421" s="92"/>
      <c r="E421" s="92"/>
      <c r="F421" s="92"/>
      <c r="G421" s="92"/>
      <c r="H421" s="92"/>
    </row>
    <row r="422" spans="4:8" ht="15.75">
      <c r="D422" s="92"/>
      <c r="E422" s="92"/>
      <c r="F422" s="92"/>
      <c r="G422" s="92"/>
      <c r="H422" s="92"/>
    </row>
    <row r="423" spans="4:8" ht="15.75">
      <c r="D423" s="92"/>
      <c r="E423" s="92"/>
      <c r="F423" s="92"/>
      <c r="G423" s="92"/>
      <c r="H423" s="92"/>
    </row>
    <row r="424" spans="4:8" ht="15.75">
      <c r="D424" s="92"/>
      <c r="E424" s="92"/>
      <c r="F424" s="92"/>
      <c r="G424" s="92"/>
      <c r="H424" s="92"/>
    </row>
    <row r="425" spans="4:8" ht="15.75">
      <c r="D425" s="92"/>
      <c r="E425" s="92"/>
      <c r="F425" s="92"/>
      <c r="G425" s="92"/>
      <c r="H425" s="92"/>
    </row>
    <row r="426" spans="4:8" ht="15.75">
      <c r="D426" s="92"/>
      <c r="E426" s="92"/>
      <c r="F426" s="92"/>
      <c r="G426" s="92"/>
      <c r="H426" s="92"/>
    </row>
    <row r="427" spans="4:8" ht="15.75">
      <c r="D427" s="92"/>
      <c r="E427" s="92"/>
      <c r="F427" s="92"/>
      <c r="G427" s="92"/>
      <c r="H427" s="92"/>
    </row>
    <row r="428" spans="4:8" ht="15.75">
      <c r="D428" s="92"/>
      <c r="E428" s="92"/>
      <c r="F428" s="92"/>
      <c r="G428" s="92"/>
      <c r="H428" s="92"/>
    </row>
    <row r="429" spans="4:8" ht="15.75">
      <c r="D429" s="92"/>
      <c r="E429" s="92"/>
      <c r="F429" s="92"/>
      <c r="G429" s="92"/>
      <c r="H429" s="92"/>
    </row>
    <row r="430" spans="4:8" ht="15.75">
      <c r="D430" s="92"/>
      <c r="E430" s="92"/>
      <c r="F430" s="92"/>
      <c r="G430" s="92"/>
      <c r="H430" s="92"/>
    </row>
    <row r="431" spans="4:8" ht="15.75">
      <c r="D431" s="92"/>
      <c r="E431" s="92"/>
      <c r="F431" s="92"/>
      <c r="G431" s="92"/>
      <c r="H431" s="92"/>
    </row>
    <row r="432" spans="4:8" ht="15.75">
      <c r="D432" s="92"/>
      <c r="E432" s="92"/>
      <c r="F432" s="92"/>
      <c r="G432" s="92"/>
      <c r="H432" s="92"/>
    </row>
    <row r="433" spans="4:8" ht="15.75">
      <c r="D433" s="92"/>
      <c r="E433" s="92"/>
      <c r="F433" s="92"/>
      <c r="G433" s="92"/>
      <c r="H433" s="92"/>
    </row>
    <row r="434" spans="4:8" ht="15.75">
      <c r="D434" s="92"/>
      <c r="E434" s="92"/>
      <c r="F434" s="92"/>
      <c r="G434" s="92"/>
      <c r="H434" s="92"/>
    </row>
    <row r="435" spans="4:8" ht="15.75">
      <c r="D435" s="92"/>
      <c r="E435" s="92"/>
      <c r="F435" s="92"/>
      <c r="G435" s="92"/>
      <c r="H435" s="92"/>
    </row>
    <row r="436" spans="4:8" ht="15.75">
      <c r="D436" s="92"/>
      <c r="E436" s="92"/>
      <c r="F436" s="92"/>
      <c r="G436" s="92"/>
      <c r="H436" s="92"/>
    </row>
    <row r="437" spans="4:8" ht="15.75">
      <c r="D437" s="92"/>
      <c r="E437" s="92"/>
      <c r="F437" s="92"/>
      <c r="G437" s="92"/>
      <c r="H437" s="92"/>
    </row>
    <row r="438" spans="4:8" ht="15.75">
      <c r="D438" s="92"/>
      <c r="E438" s="92"/>
      <c r="F438" s="92"/>
      <c r="G438" s="92"/>
      <c r="H438" s="92"/>
    </row>
    <row r="439" spans="4:8" ht="15.75">
      <c r="D439" s="92"/>
      <c r="E439" s="92"/>
      <c r="F439" s="92"/>
      <c r="G439" s="92"/>
      <c r="H439" s="92"/>
    </row>
    <row r="440" spans="4:8" ht="15.75">
      <c r="D440" s="92"/>
      <c r="E440" s="92"/>
      <c r="F440" s="92"/>
      <c r="G440" s="92"/>
      <c r="H440" s="92"/>
    </row>
    <row r="441" spans="4:8" ht="15.75">
      <c r="D441" s="92"/>
      <c r="E441" s="92"/>
      <c r="F441" s="92"/>
      <c r="G441" s="92"/>
      <c r="H441" s="92"/>
    </row>
    <row r="442" spans="4:8" ht="15.75">
      <c r="D442" s="92"/>
      <c r="E442" s="92"/>
      <c r="F442" s="92"/>
      <c r="G442" s="92"/>
      <c r="H442" s="92"/>
    </row>
    <row r="443" spans="4:8" ht="15.75">
      <c r="D443" s="92"/>
      <c r="E443" s="92"/>
      <c r="F443" s="92"/>
      <c r="G443" s="92"/>
      <c r="H443" s="92"/>
    </row>
    <row r="444" spans="4:8" ht="15.75">
      <c r="D444" s="92"/>
      <c r="E444" s="92"/>
      <c r="F444" s="92"/>
      <c r="G444" s="92"/>
      <c r="H444" s="92"/>
    </row>
    <row r="445" spans="4:8" ht="15.75">
      <c r="D445" s="92"/>
      <c r="E445" s="92"/>
      <c r="F445" s="92"/>
      <c r="G445" s="92"/>
      <c r="H445" s="92"/>
    </row>
    <row r="446" spans="4:8" ht="15.75">
      <c r="D446" s="92"/>
      <c r="E446" s="92"/>
      <c r="F446" s="92"/>
      <c r="G446" s="92"/>
      <c r="H446" s="92"/>
    </row>
    <row r="447" spans="4:8" ht="15.75">
      <c r="D447" s="92"/>
      <c r="E447" s="92"/>
      <c r="F447" s="92"/>
      <c r="G447" s="92"/>
      <c r="H447" s="92"/>
    </row>
    <row r="448" spans="4:8" ht="15.75">
      <c r="D448" s="92"/>
      <c r="E448" s="92"/>
      <c r="F448" s="92"/>
      <c r="G448" s="92"/>
      <c r="H448" s="92"/>
    </row>
    <row r="449" spans="4:8" ht="15.75">
      <c r="D449" s="92"/>
      <c r="E449" s="92"/>
      <c r="F449" s="92"/>
      <c r="G449" s="92"/>
      <c r="H449" s="92"/>
    </row>
    <row r="450" spans="4:8" ht="15.75">
      <c r="D450" s="92"/>
      <c r="E450" s="92"/>
      <c r="F450" s="92"/>
      <c r="G450" s="92"/>
      <c r="H450" s="92"/>
    </row>
    <row r="451" spans="4:8" ht="15.75">
      <c r="D451" s="92"/>
      <c r="E451" s="92"/>
      <c r="F451" s="92"/>
      <c r="G451" s="92"/>
      <c r="H451" s="92"/>
    </row>
    <row r="452" spans="4:8" ht="15.75">
      <c r="D452" s="92"/>
      <c r="E452" s="92"/>
      <c r="F452" s="92"/>
      <c r="G452" s="92"/>
      <c r="H452" s="92"/>
    </row>
    <row r="453" spans="4:8" ht="15.75">
      <c r="D453" s="92"/>
      <c r="E453" s="92"/>
      <c r="F453" s="92"/>
      <c r="G453" s="92"/>
      <c r="H453" s="92"/>
    </row>
    <row r="454" spans="4:8" ht="15.75">
      <c r="D454" s="92"/>
      <c r="E454" s="92"/>
      <c r="F454" s="92"/>
      <c r="G454" s="92"/>
      <c r="H454" s="92"/>
    </row>
    <row r="455" spans="4:8" ht="15.75">
      <c r="D455" s="92"/>
      <c r="E455" s="92"/>
      <c r="F455" s="92"/>
      <c r="G455" s="92"/>
      <c r="H455" s="92"/>
    </row>
    <row r="456" spans="4:8" ht="15.75">
      <c r="D456" s="92"/>
      <c r="E456" s="92"/>
      <c r="F456" s="92"/>
      <c r="G456" s="92"/>
      <c r="H456" s="92"/>
    </row>
    <row r="457" spans="4:8" ht="15.75">
      <c r="D457" s="92"/>
      <c r="E457" s="92"/>
      <c r="F457" s="92"/>
      <c r="G457" s="92"/>
      <c r="H457" s="92"/>
    </row>
    <row r="458" spans="4:8" ht="15.75">
      <c r="D458" s="92"/>
      <c r="E458" s="92"/>
      <c r="F458" s="92"/>
      <c r="G458" s="92"/>
      <c r="H458" s="92"/>
    </row>
    <row r="459" spans="4:8" ht="15.75">
      <c r="D459" s="92"/>
      <c r="E459" s="92"/>
      <c r="F459" s="92"/>
      <c r="G459" s="92"/>
      <c r="H459" s="92"/>
    </row>
    <row r="460" spans="4:8" ht="15.75">
      <c r="D460" s="92"/>
      <c r="E460" s="92"/>
      <c r="F460" s="92"/>
      <c r="G460" s="92"/>
      <c r="H460" s="92"/>
    </row>
    <row r="461" spans="4:8" ht="15.75">
      <c r="D461" s="92"/>
      <c r="E461" s="92"/>
      <c r="F461" s="92"/>
      <c r="G461" s="92"/>
      <c r="H461" s="92"/>
    </row>
    <row r="462" spans="4:8" ht="15.75">
      <c r="D462" s="92"/>
      <c r="E462" s="92"/>
      <c r="F462" s="92"/>
      <c r="G462" s="92"/>
      <c r="H462" s="92"/>
    </row>
    <row r="463" spans="4:8" ht="15.75">
      <c r="D463" s="92"/>
      <c r="E463" s="92"/>
      <c r="F463" s="92"/>
      <c r="G463" s="92"/>
      <c r="H463" s="92"/>
    </row>
    <row r="464" spans="4:8" ht="15.75">
      <c r="D464" s="92"/>
      <c r="E464" s="92"/>
      <c r="F464" s="92"/>
      <c r="G464" s="92"/>
      <c r="H464" s="92"/>
    </row>
    <row r="465" spans="4:8" ht="15.75">
      <c r="D465" s="92"/>
      <c r="E465" s="92"/>
      <c r="F465" s="92"/>
      <c r="G465" s="92"/>
      <c r="H465" s="92"/>
    </row>
    <row r="466" spans="4:8" ht="15.75">
      <c r="D466" s="92"/>
      <c r="E466" s="92"/>
      <c r="F466" s="92"/>
      <c r="G466" s="92"/>
      <c r="H466" s="92"/>
    </row>
    <row r="467" spans="4:8" ht="15.75">
      <c r="D467" s="92"/>
      <c r="E467" s="92"/>
      <c r="F467" s="92"/>
      <c r="G467" s="92"/>
      <c r="H467" s="92"/>
    </row>
    <row r="468" spans="4:8" ht="15.75">
      <c r="D468" s="92"/>
      <c r="E468" s="92"/>
      <c r="F468" s="92"/>
      <c r="G468" s="92"/>
      <c r="H468" s="92"/>
    </row>
    <row r="469" spans="4:8" ht="15.75">
      <c r="D469" s="92"/>
      <c r="E469" s="92"/>
      <c r="F469" s="92"/>
      <c r="G469" s="92"/>
      <c r="H469" s="92"/>
    </row>
    <row r="470" spans="4:8" ht="15.75">
      <c r="D470" s="92"/>
      <c r="E470" s="92"/>
      <c r="F470" s="92"/>
      <c r="G470" s="92"/>
      <c r="H470" s="92"/>
    </row>
    <row r="471" spans="4:8" ht="15.75">
      <c r="D471" s="92"/>
      <c r="E471" s="92"/>
      <c r="F471" s="92"/>
      <c r="G471" s="92"/>
      <c r="H471" s="92"/>
    </row>
    <row r="472" spans="4:8" ht="15.75">
      <c r="D472" s="92"/>
      <c r="E472" s="92"/>
      <c r="F472" s="92"/>
      <c r="G472" s="92"/>
      <c r="H472" s="92"/>
    </row>
    <row r="473" spans="4:8" ht="15.75">
      <c r="D473" s="92"/>
      <c r="E473" s="92"/>
      <c r="F473" s="92"/>
      <c r="G473" s="92"/>
      <c r="H473" s="92"/>
    </row>
    <row r="474" spans="4:8" ht="15.75">
      <c r="D474" s="92"/>
      <c r="E474" s="92"/>
      <c r="F474" s="92"/>
      <c r="G474" s="92"/>
      <c r="H474" s="92"/>
    </row>
    <row r="475" spans="4:8" ht="15.75">
      <c r="D475" s="92"/>
      <c r="E475" s="92"/>
      <c r="F475" s="92"/>
      <c r="G475" s="92"/>
      <c r="H475" s="92"/>
    </row>
    <row r="476" spans="4:8" ht="15.75">
      <c r="D476" s="92"/>
      <c r="E476" s="92"/>
      <c r="F476" s="92"/>
      <c r="G476" s="92"/>
      <c r="H476" s="92"/>
    </row>
    <row r="477" spans="4:8" ht="15.75">
      <c r="D477" s="92"/>
      <c r="E477" s="92"/>
      <c r="F477" s="92"/>
      <c r="G477" s="92"/>
      <c r="H477" s="92"/>
    </row>
    <row r="478" spans="4:8" ht="15.75">
      <c r="D478" s="92"/>
      <c r="E478" s="92"/>
      <c r="F478" s="92"/>
      <c r="G478" s="92"/>
      <c r="H478" s="92"/>
    </row>
    <row r="479" spans="4:8" ht="15.75">
      <c r="D479" s="92"/>
      <c r="E479" s="92"/>
      <c r="F479" s="92"/>
      <c r="G479" s="92"/>
      <c r="H479" s="92"/>
    </row>
    <row r="480" spans="4:8" ht="15.75">
      <c r="D480" s="92"/>
      <c r="E480" s="92"/>
      <c r="F480" s="92"/>
      <c r="G480" s="92"/>
      <c r="H480" s="92"/>
    </row>
    <row r="481" spans="4:8" ht="15.75">
      <c r="D481" s="92"/>
      <c r="E481" s="92"/>
      <c r="F481" s="92"/>
      <c r="G481" s="92"/>
      <c r="H481" s="92"/>
    </row>
    <row r="482" spans="4:8" ht="15.75">
      <c r="D482" s="92"/>
      <c r="E482" s="92"/>
      <c r="F482" s="92"/>
      <c r="G482" s="92"/>
      <c r="H482" s="92"/>
    </row>
    <row r="483" spans="4:8" ht="15.75">
      <c r="D483" s="92"/>
      <c r="E483" s="92"/>
      <c r="F483" s="92"/>
      <c r="G483" s="92"/>
      <c r="H483" s="92"/>
    </row>
    <row r="484" spans="4:8" ht="15.75">
      <c r="D484" s="92"/>
      <c r="E484" s="92"/>
      <c r="F484" s="92"/>
      <c r="G484" s="92"/>
      <c r="H484" s="92"/>
    </row>
    <row r="485" spans="4:8" ht="15.75">
      <c r="D485" s="92"/>
      <c r="E485" s="92"/>
      <c r="F485" s="92"/>
      <c r="G485" s="92"/>
      <c r="H485" s="92"/>
    </row>
    <row r="486" spans="4:8" ht="15.75">
      <c r="D486" s="92"/>
      <c r="E486" s="92"/>
      <c r="F486" s="92"/>
      <c r="G486" s="92"/>
      <c r="H486" s="92"/>
    </row>
    <row r="487" spans="4:8" ht="15.75">
      <c r="D487" s="92"/>
      <c r="E487" s="92"/>
      <c r="F487" s="92"/>
      <c r="G487" s="92"/>
      <c r="H487" s="92"/>
    </row>
    <row r="488" spans="4:8" ht="15.75">
      <c r="D488" s="92"/>
      <c r="E488" s="92"/>
      <c r="F488" s="92"/>
      <c r="G488" s="92"/>
      <c r="H488" s="92"/>
    </row>
    <row r="489" spans="4:8" ht="15.75">
      <c r="D489" s="92"/>
      <c r="E489" s="92"/>
      <c r="F489" s="92"/>
      <c r="G489" s="92"/>
      <c r="H489" s="92"/>
    </row>
    <row r="490" spans="4:8" ht="15.75">
      <c r="D490" s="92"/>
      <c r="E490" s="92"/>
      <c r="F490" s="92"/>
      <c r="G490" s="92"/>
      <c r="H490" s="92"/>
    </row>
    <row r="491" spans="4:8" ht="15.75">
      <c r="D491" s="92"/>
      <c r="E491" s="92"/>
      <c r="F491" s="92"/>
      <c r="G491" s="92"/>
      <c r="H491" s="92"/>
    </row>
    <row r="492" spans="4:8" ht="15.75">
      <c r="D492" s="92"/>
      <c r="E492" s="92"/>
      <c r="F492" s="92"/>
      <c r="G492" s="92"/>
      <c r="H492" s="92"/>
    </row>
    <row r="493" spans="4:8" ht="15.75">
      <c r="D493" s="92"/>
      <c r="E493" s="92"/>
      <c r="F493" s="92"/>
      <c r="G493" s="92"/>
      <c r="H493" s="92"/>
    </row>
    <row r="494" spans="4:8" ht="15.75">
      <c r="D494" s="92"/>
      <c r="E494" s="92"/>
      <c r="F494" s="92"/>
      <c r="G494" s="92"/>
      <c r="H494" s="92"/>
    </row>
    <row r="495" spans="4:8" ht="15.75">
      <c r="D495" s="92"/>
      <c r="E495" s="92"/>
      <c r="F495" s="92"/>
      <c r="G495" s="92"/>
      <c r="H495" s="92"/>
    </row>
    <row r="496" spans="4:8" ht="15.75">
      <c r="D496" s="92"/>
      <c r="E496" s="92"/>
      <c r="F496" s="92"/>
      <c r="G496" s="92"/>
      <c r="H496" s="92"/>
    </row>
    <row r="497" spans="4:8" ht="15.75">
      <c r="D497" s="92"/>
      <c r="E497" s="92"/>
      <c r="F497" s="92"/>
      <c r="G497" s="92"/>
      <c r="H497" s="92"/>
    </row>
    <row r="498" spans="4:8" ht="15.75">
      <c r="D498" s="92"/>
      <c r="E498" s="92"/>
      <c r="F498" s="92"/>
      <c r="G498" s="92"/>
      <c r="H498" s="92"/>
    </row>
    <row r="499" spans="4:8" ht="15.75">
      <c r="D499" s="92"/>
      <c r="E499" s="92"/>
      <c r="F499" s="92"/>
      <c r="G499" s="92"/>
      <c r="H499" s="92"/>
    </row>
    <row r="500" spans="4:8" ht="15.75">
      <c r="D500" s="92"/>
      <c r="E500" s="92"/>
      <c r="F500" s="92"/>
      <c r="G500" s="92"/>
      <c r="H500" s="92"/>
    </row>
    <row r="501" spans="4:8" ht="15.75">
      <c r="D501" s="92"/>
      <c r="E501" s="92"/>
      <c r="F501" s="92"/>
      <c r="G501" s="92"/>
      <c r="H501" s="92"/>
    </row>
    <row r="502" spans="4:8" ht="15.75">
      <c r="D502" s="92"/>
      <c r="E502" s="92"/>
      <c r="F502" s="92"/>
      <c r="G502" s="92"/>
      <c r="H502" s="92"/>
    </row>
    <row r="503" spans="4:8" ht="15.75">
      <c r="D503" s="92"/>
      <c r="E503" s="92"/>
      <c r="F503" s="92"/>
      <c r="G503" s="92"/>
      <c r="H503" s="92"/>
    </row>
    <row r="504" spans="4:8" ht="15.75">
      <c r="D504" s="92"/>
      <c r="E504" s="92"/>
      <c r="F504" s="92"/>
      <c r="G504" s="92"/>
      <c r="H504" s="92"/>
    </row>
    <row r="505" spans="4:8" ht="15.75">
      <c r="D505" s="92"/>
      <c r="E505" s="92"/>
      <c r="F505" s="92"/>
      <c r="G505" s="92"/>
      <c r="H505" s="92"/>
    </row>
    <row r="506" spans="4:8" ht="15.75">
      <c r="D506" s="92"/>
      <c r="E506" s="92"/>
      <c r="F506" s="92"/>
      <c r="G506" s="92"/>
      <c r="H506" s="92"/>
    </row>
    <row r="507" spans="4:8" ht="15.75">
      <c r="D507" s="92"/>
      <c r="E507" s="92"/>
      <c r="F507" s="92"/>
      <c r="G507" s="92"/>
      <c r="H507" s="92"/>
    </row>
    <row r="508" spans="4:8" ht="15.75">
      <c r="D508" s="92"/>
      <c r="E508" s="92"/>
      <c r="F508" s="92"/>
      <c r="G508" s="92"/>
      <c r="H508" s="92"/>
    </row>
    <row r="509" spans="4:8" ht="15.75">
      <c r="D509" s="92"/>
      <c r="E509" s="92"/>
      <c r="F509" s="92"/>
      <c r="G509" s="92"/>
      <c r="H509" s="92"/>
    </row>
    <row r="510" spans="4:8" ht="15.75">
      <c r="D510" s="92"/>
      <c r="E510" s="92"/>
      <c r="F510" s="92"/>
      <c r="G510" s="92"/>
      <c r="H510" s="92"/>
    </row>
    <row r="511" spans="4:8" ht="15.75">
      <c r="D511" s="92"/>
      <c r="E511" s="92"/>
      <c r="F511" s="92"/>
      <c r="G511" s="92"/>
      <c r="H511" s="92"/>
    </row>
    <row r="512" spans="4:8" ht="15.75">
      <c r="D512" s="92"/>
      <c r="E512" s="92"/>
      <c r="F512" s="92"/>
      <c r="G512" s="92"/>
      <c r="H512" s="92"/>
    </row>
    <row r="513" spans="4:8" ht="15.75">
      <c r="D513" s="92"/>
      <c r="E513" s="92"/>
      <c r="F513" s="92"/>
      <c r="G513" s="92"/>
      <c r="H513" s="92"/>
    </row>
    <row r="514" spans="4:8" ht="15.75">
      <c r="D514" s="92"/>
      <c r="E514" s="92"/>
      <c r="F514" s="92"/>
      <c r="G514" s="92"/>
      <c r="H514" s="92"/>
    </row>
    <row r="515" spans="4:8" ht="15.75">
      <c r="D515" s="92"/>
      <c r="E515" s="92"/>
      <c r="F515" s="92"/>
      <c r="G515" s="92"/>
      <c r="H515" s="92"/>
    </row>
    <row r="516" spans="4:8" ht="15.75">
      <c r="D516" s="92"/>
      <c r="E516" s="92"/>
      <c r="F516" s="92"/>
      <c r="G516" s="92"/>
      <c r="H516" s="92"/>
    </row>
    <row r="517" spans="4:8" ht="15.75">
      <c r="D517" s="92"/>
      <c r="E517" s="92"/>
      <c r="F517" s="92"/>
      <c r="G517" s="92"/>
      <c r="H517" s="92"/>
    </row>
    <row r="518" spans="4:8" ht="15.75">
      <c r="D518" s="92"/>
      <c r="E518" s="92"/>
      <c r="F518" s="92"/>
      <c r="G518" s="92"/>
      <c r="H518" s="92"/>
    </row>
    <row r="519" spans="4:8" ht="15.75">
      <c r="D519" s="92"/>
      <c r="E519" s="92"/>
      <c r="F519" s="92"/>
      <c r="G519" s="92"/>
      <c r="H519" s="92"/>
    </row>
    <row r="520" spans="4:8" ht="15.75">
      <c r="D520" s="92"/>
      <c r="E520" s="92"/>
      <c r="F520" s="92"/>
      <c r="G520" s="92"/>
      <c r="H520" s="92"/>
    </row>
    <row r="521" spans="4:8" ht="15.75">
      <c r="D521" s="92"/>
      <c r="E521" s="92"/>
      <c r="F521" s="92"/>
      <c r="G521" s="92"/>
      <c r="H521" s="92"/>
    </row>
    <row r="522" spans="4:8" ht="15.75">
      <c r="D522" s="92"/>
      <c r="E522" s="92"/>
      <c r="F522" s="92"/>
      <c r="G522" s="92"/>
      <c r="H522" s="92"/>
    </row>
    <row r="523" spans="4:8" ht="15.75">
      <c r="D523" s="92"/>
      <c r="E523" s="92"/>
      <c r="F523" s="92"/>
      <c r="G523" s="92"/>
      <c r="H523" s="92"/>
    </row>
    <row r="524" spans="4:8" ht="15.75">
      <c r="D524" s="92"/>
      <c r="E524" s="92"/>
      <c r="F524" s="92"/>
      <c r="G524" s="92"/>
      <c r="H524" s="92"/>
    </row>
    <row r="525" spans="4:8" ht="15.75">
      <c r="D525" s="92"/>
      <c r="E525" s="92"/>
      <c r="F525" s="92"/>
      <c r="G525" s="92"/>
      <c r="H525" s="92"/>
    </row>
    <row r="526" spans="4:8" ht="15.75">
      <c r="D526" s="92"/>
      <c r="E526" s="92"/>
      <c r="F526" s="92"/>
      <c r="G526" s="92"/>
      <c r="H526" s="92"/>
    </row>
    <row r="527" spans="4:8" ht="15.75">
      <c r="D527" s="92"/>
      <c r="E527" s="92"/>
      <c r="F527" s="92"/>
      <c r="G527" s="92"/>
      <c r="H527" s="92"/>
    </row>
    <row r="528" spans="4:8" ht="15.75">
      <c r="D528" s="92"/>
      <c r="E528" s="92"/>
      <c r="F528" s="92"/>
      <c r="G528" s="92"/>
      <c r="H528" s="92"/>
    </row>
    <row r="529" spans="4:8" ht="15.75">
      <c r="D529" s="92"/>
      <c r="E529" s="92"/>
      <c r="F529" s="92"/>
      <c r="G529" s="92"/>
      <c r="H529" s="92"/>
    </row>
    <row r="530" spans="4:8" ht="15.75">
      <c r="D530" s="92"/>
      <c r="E530" s="92"/>
      <c r="F530" s="92"/>
      <c r="G530" s="92"/>
      <c r="H530" s="92"/>
    </row>
    <row r="531" spans="4:8" ht="15.75">
      <c r="D531" s="92"/>
      <c r="E531" s="92"/>
      <c r="F531" s="92"/>
      <c r="G531" s="92"/>
      <c r="H531" s="92"/>
    </row>
    <row r="532" spans="4:8" ht="15.75">
      <c r="D532" s="92"/>
      <c r="E532" s="92"/>
      <c r="F532" s="92"/>
      <c r="G532" s="92"/>
      <c r="H532" s="92"/>
    </row>
    <row r="533" spans="4:8" ht="15.75">
      <c r="D533" s="92"/>
      <c r="E533" s="92"/>
      <c r="F533" s="92"/>
      <c r="G533" s="92"/>
      <c r="H533" s="92"/>
    </row>
    <row r="534" spans="4:8" ht="15.75">
      <c r="D534" s="92"/>
      <c r="E534" s="92"/>
      <c r="F534" s="92"/>
      <c r="G534" s="92"/>
      <c r="H534" s="92"/>
    </row>
    <row r="535" spans="4:8" ht="15.75">
      <c r="D535" s="92"/>
      <c r="E535" s="92"/>
      <c r="F535" s="92"/>
      <c r="G535" s="92"/>
      <c r="H535" s="92"/>
    </row>
    <row r="536" spans="4:8" ht="15.75">
      <c r="D536" s="92"/>
      <c r="E536" s="92"/>
      <c r="F536" s="92"/>
      <c r="G536" s="92"/>
      <c r="H536" s="92"/>
    </row>
    <row r="537" spans="4:8" ht="15.75">
      <c r="D537" s="92"/>
      <c r="E537" s="92"/>
      <c r="F537" s="92"/>
      <c r="G537" s="92"/>
      <c r="H537" s="92"/>
    </row>
    <row r="538" spans="4:8" ht="15.75">
      <c r="D538" s="92"/>
      <c r="E538" s="92"/>
      <c r="F538" s="92"/>
      <c r="G538" s="92"/>
      <c r="H538" s="92"/>
    </row>
    <row r="539" spans="4:8" ht="15.75">
      <c r="D539" s="92"/>
      <c r="E539" s="92"/>
      <c r="F539" s="92"/>
      <c r="G539" s="92"/>
      <c r="H539" s="92"/>
    </row>
    <row r="540" spans="4:8" ht="15.75">
      <c r="D540" s="92"/>
      <c r="E540" s="92"/>
      <c r="F540" s="92"/>
      <c r="G540" s="92"/>
      <c r="H540" s="92"/>
    </row>
    <row r="541" spans="4:8" ht="15.75">
      <c r="D541" s="92"/>
      <c r="E541" s="92"/>
      <c r="F541" s="92"/>
      <c r="G541" s="92"/>
      <c r="H541" s="92"/>
    </row>
    <row r="542" spans="4:8" ht="15.75">
      <c r="D542" s="92"/>
      <c r="E542" s="92"/>
      <c r="F542" s="92"/>
      <c r="G542" s="92"/>
      <c r="H542" s="92"/>
    </row>
    <row r="543" spans="4:8" ht="15.75">
      <c r="D543" s="92"/>
      <c r="E543" s="92"/>
      <c r="F543" s="92"/>
      <c r="G543" s="92"/>
      <c r="H543" s="92"/>
    </row>
    <row r="544" spans="4:8" ht="15.75">
      <c r="D544" s="92"/>
      <c r="E544" s="92"/>
      <c r="F544" s="92"/>
      <c r="G544" s="92"/>
      <c r="H544" s="92"/>
    </row>
    <row r="545" spans="4:8" ht="15.75">
      <c r="D545" s="92"/>
      <c r="E545" s="92"/>
      <c r="F545" s="92"/>
      <c r="G545" s="92"/>
      <c r="H545" s="92"/>
    </row>
    <row r="546" spans="4:8" ht="15.75">
      <c r="D546" s="92"/>
      <c r="E546" s="92"/>
      <c r="F546" s="92"/>
      <c r="G546" s="92"/>
      <c r="H546" s="92"/>
    </row>
    <row r="547" spans="4:8" ht="15.75">
      <c r="D547" s="92"/>
      <c r="E547" s="92"/>
      <c r="F547" s="92"/>
      <c r="G547" s="92"/>
      <c r="H547" s="92"/>
    </row>
    <row r="548" spans="4:8" ht="15.75">
      <c r="D548" s="92"/>
      <c r="E548" s="92"/>
      <c r="F548" s="92"/>
      <c r="G548" s="92"/>
      <c r="H548" s="92"/>
    </row>
    <row r="549" spans="4:8" ht="15.75">
      <c r="D549" s="92"/>
      <c r="E549" s="92"/>
      <c r="F549" s="92"/>
      <c r="G549" s="92"/>
      <c r="H549" s="92"/>
    </row>
    <row r="550" spans="4:8" ht="15.75">
      <c r="D550" s="92"/>
      <c r="E550" s="92"/>
      <c r="F550" s="92"/>
      <c r="G550" s="92"/>
      <c r="H550" s="92"/>
    </row>
    <row r="551" spans="4:8" ht="15.75">
      <c r="D551" s="92"/>
      <c r="E551" s="92"/>
      <c r="F551" s="92"/>
      <c r="G551" s="92"/>
      <c r="H551" s="92"/>
    </row>
    <row r="552" spans="4:8" ht="15.75">
      <c r="D552" s="92"/>
      <c r="E552" s="92"/>
      <c r="F552" s="92"/>
      <c r="G552" s="92"/>
      <c r="H552" s="92"/>
    </row>
    <row r="553" spans="4:8" ht="15.75">
      <c r="D553" s="92"/>
      <c r="E553" s="92"/>
      <c r="F553" s="92"/>
      <c r="G553" s="92"/>
      <c r="H553" s="92"/>
    </row>
    <row r="554" spans="4:8" ht="15.75">
      <c r="D554" s="92"/>
      <c r="E554" s="92"/>
      <c r="F554" s="92"/>
      <c r="G554" s="92"/>
      <c r="H554" s="92"/>
    </row>
    <row r="555" spans="4:8" ht="15.75">
      <c r="D555" s="92"/>
      <c r="E555" s="92"/>
      <c r="F555" s="92"/>
      <c r="G555" s="92"/>
      <c r="H555" s="92"/>
    </row>
    <row r="556" spans="4:8" ht="15.75">
      <c r="D556" s="92"/>
      <c r="E556" s="92"/>
      <c r="F556" s="92"/>
      <c r="G556" s="92"/>
      <c r="H556" s="92"/>
    </row>
    <row r="557" spans="4:8" ht="15.75">
      <c r="D557" s="92"/>
      <c r="E557" s="92"/>
      <c r="F557" s="92"/>
      <c r="G557" s="92"/>
      <c r="H557" s="92"/>
    </row>
    <row r="558" spans="4:8" ht="15.75">
      <c r="D558" s="92"/>
      <c r="E558" s="92"/>
      <c r="F558" s="92"/>
      <c r="G558" s="92"/>
      <c r="H558" s="92"/>
    </row>
    <row r="559" spans="4:8" ht="15.75">
      <c r="D559" s="92"/>
      <c r="E559" s="92"/>
      <c r="F559" s="92"/>
      <c r="G559" s="92"/>
      <c r="H559" s="92"/>
    </row>
    <row r="560" spans="4:8" ht="15.75">
      <c r="D560" s="92"/>
      <c r="E560" s="92"/>
      <c r="F560" s="92"/>
      <c r="G560" s="92"/>
      <c r="H560" s="92"/>
    </row>
    <row r="561" spans="4:8" ht="15.75">
      <c r="D561" s="92"/>
      <c r="E561" s="92"/>
      <c r="F561" s="92"/>
      <c r="G561" s="92"/>
      <c r="H561" s="92"/>
    </row>
    <row r="562" spans="4:8" ht="15.75">
      <c r="D562" s="92"/>
      <c r="E562" s="92"/>
      <c r="F562" s="92"/>
      <c r="G562" s="92"/>
      <c r="H562" s="92"/>
    </row>
    <row r="563" spans="4:8" ht="15.75">
      <c r="D563" s="92"/>
      <c r="E563" s="92"/>
      <c r="F563" s="92"/>
      <c r="G563" s="92"/>
      <c r="H563" s="92"/>
    </row>
    <row r="564" spans="4:8" ht="15.75">
      <c r="D564" s="92"/>
      <c r="E564" s="92"/>
      <c r="F564" s="92"/>
      <c r="G564" s="92"/>
      <c r="H564" s="92"/>
    </row>
    <row r="565" spans="4:8" ht="15.75">
      <c r="D565" s="92"/>
      <c r="E565" s="92"/>
      <c r="F565" s="92"/>
      <c r="G565" s="92"/>
      <c r="H565" s="92"/>
    </row>
    <row r="566" spans="4:8" ht="15.75">
      <c r="D566" s="92"/>
      <c r="E566" s="92"/>
      <c r="F566" s="92"/>
      <c r="G566" s="92"/>
      <c r="H566" s="92"/>
    </row>
    <row r="567" spans="4:8" ht="15.75">
      <c r="D567" s="92"/>
      <c r="E567" s="92"/>
      <c r="F567" s="92"/>
      <c r="G567" s="92"/>
      <c r="H567" s="92"/>
    </row>
    <row r="568" spans="4:8" ht="15.75">
      <c r="D568" s="92"/>
      <c r="E568" s="92"/>
      <c r="F568" s="92"/>
      <c r="G568" s="92"/>
      <c r="H568" s="92"/>
    </row>
    <row r="569" spans="4:8" ht="15.75">
      <c r="D569" s="92"/>
      <c r="E569" s="92"/>
      <c r="F569" s="92"/>
      <c r="G569" s="92"/>
      <c r="H569" s="92"/>
    </row>
    <row r="570" spans="4:8" ht="15.75">
      <c r="D570" s="92"/>
      <c r="E570" s="92"/>
      <c r="F570" s="92"/>
      <c r="G570" s="92"/>
      <c r="H570" s="92"/>
    </row>
    <row r="571" spans="4:8" ht="15.75">
      <c r="D571" s="92"/>
      <c r="E571" s="92"/>
      <c r="F571" s="92"/>
      <c r="G571" s="92"/>
      <c r="H571" s="92"/>
    </row>
    <row r="572" spans="4:8" ht="15.75">
      <c r="D572" s="92"/>
      <c r="E572" s="92"/>
      <c r="F572" s="92"/>
      <c r="G572" s="92"/>
      <c r="H572" s="92"/>
    </row>
    <row r="573" spans="4:8" ht="15.75">
      <c r="D573" s="92"/>
      <c r="E573" s="92"/>
      <c r="F573" s="92"/>
      <c r="G573" s="92"/>
      <c r="H573" s="92"/>
    </row>
    <row r="574" spans="4:8" ht="15.75">
      <c r="D574" s="92"/>
      <c r="E574" s="92"/>
      <c r="F574" s="92"/>
      <c r="G574" s="92"/>
      <c r="H574" s="92"/>
    </row>
    <row r="575" spans="4:8" ht="15.75">
      <c r="D575" s="92"/>
      <c r="E575" s="92"/>
      <c r="F575" s="92"/>
      <c r="G575" s="92"/>
      <c r="H575" s="92"/>
    </row>
    <row r="576" spans="4:8" ht="15.75">
      <c r="D576" s="92"/>
      <c r="E576" s="92"/>
      <c r="F576" s="92"/>
      <c r="G576" s="92"/>
      <c r="H576" s="92"/>
    </row>
    <row r="577" spans="4:8" ht="15.75">
      <c r="D577" s="92"/>
      <c r="E577" s="92"/>
      <c r="F577" s="92"/>
      <c r="G577" s="92"/>
      <c r="H577" s="92"/>
    </row>
    <row r="578" spans="4:8" ht="15.75">
      <c r="D578" s="92"/>
      <c r="E578" s="92"/>
      <c r="F578" s="92"/>
      <c r="G578" s="92"/>
      <c r="H578" s="92"/>
    </row>
    <row r="579" spans="4:8" ht="15.75">
      <c r="D579" s="92"/>
      <c r="E579" s="92"/>
      <c r="F579" s="92"/>
      <c r="G579" s="92"/>
      <c r="H579" s="92"/>
    </row>
    <row r="580" spans="4:8" ht="15.75">
      <c r="D580" s="92"/>
      <c r="E580" s="92"/>
      <c r="F580" s="92"/>
      <c r="G580" s="92"/>
      <c r="H580" s="92"/>
    </row>
    <row r="581" spans="4:8" ht="15.75">
      <c r="D581" s="92"/>
      <c r="E581" s="92"/>
      <c r="F581" s="92"/>
      <c r="G581" s="92"/>
      <c r="H581" s="92"/>
    </row>
    <row r="582" spans="4:8" ht="15.75">
      <c r="D582" s="92"/>
      <c r="E582" s="92"/>
      <c r="F582" s="92"/>
      <c r="G582" s="92"/>
      <c r="H582" s="92"/>
    </row>
    <row r="583" spans="4:8" ht="15.75">
      <c r="D583" s="92"/>
      <c r="E583" s="92"/>
      <c r="F583" s="92"/>
      <c r="G583" s="92"/>
      <c r="H583" s="92"/>
    </row>
    <row r="584" spans="4:8" ht="15.75">
      <c r="D584" s="92"/>
      <c r="E584" s="92"/>
      <c r="F584" s="92"/>
      <c r="G584" s="92"/>
      <c r="H584" s="92"/>
    </row>
    <row r="585" spans="4:8" ht="15.75">
      <c r="D585" s="92"/>
      <c r="E585" s="92"/>
      <c r="F585" s="92"/>
      <c r="G585" s="92"/>
      <c r="H585" s="92"/>
    </row>
    <row r="586" spans="4:8" ht="15.75">
      <c r="D586" s="92"/>
      <c r="E586" s="92"/>
      <c r="F586" s="92"/>
      <c r="G586" s="92"/>
      <c r="H586" s="92"/>
    </row>
    <row r="587" spans="4:8" ht="15.75">
      <c r="D587" s="92"/>
      <c r="E587" s="92"/>
      <c r="F587" s="92"/>
      <c r="G587" s="92"/>
      <c r="H587" s="92"/>
    </row>
    <row r="588" spans="4:8" ht="15.75">
      <c r="D588" s="92"/>
      <c r="E588" s="92"/>
      <c r="F588" s="92"/>
      <c r="G588" s="92"/>
      <c r="H588" s="92"/>
    </row>
    <row r="589" spans="4:8" ht="15.75">
      <c r="D589" s="92"/>
      <c r="E589" s="92"/>
      <c r="F589" s="92"/>
      <c r="G589" s="92"/>
      <c r="H589" s="92"/>
    </row>
    <row r="590" spans="4:8" ht="15.75">
      <c r="D590" s="92"/>
      <c r="E590" s="92"/>
      <c r="F590" s="92"/>
      <c r="G590" s="92"/>
      <c r="H590" s="92"/>
    </row>
    <row r="591" spans="4:8" ht="15.75">
      <c r="D591" s="92"/>
      <c r="E591" s="92"/>
      <c r="F591" s="92"/>
      <c r="G591" s="92"/>
      <c r="H591" s="92"/>
    </row>
    <row r="592" spans="4:8" ht="15.75">
      <c r="D592" s="92"/>
      <c r="E592" s="92"/>
      <c r="F592" s="92"/>
      <c r="G592" s="92"/>
      <c r="H592" s="92"/>
    </row>
    <row r="593" spans="4:8" ht="15.75">
      <c r="D593" s="92"/>
      <c r="E593" s="92"/>
      <c r="F593" s="92"/>
      <c r="G593" s="92"/>
      <c r="H593" s="92"/>
    </row>
    <row r="594" spans="4:8" ht="15.75">
      <c r="D594" s="92"/>
      <c r="E594" s="92"/>
      <c r="F594" s="92"/>
      <c r="G594" s="92"/>
      <c r="H594" s="92"/>
    </row>
    <row r="595" spans="4:8" ht="15.75">
      <c r="D595" s="92"/>
      <c r="E595" s="92"/>
      <c r="F595" s="92"/>
      <c r="G595" s="92"/>
      <c r="H595" s="92"/>
    </row>
    <row r="596" spans="4:8" ht="15.75">
      <c r="D596" s="92"/>
      <c r="E596" s="92"/>
      <c r="F596" s="92"/>
      <c r="G596" s="92"/>
      <c r="H596" s="92"/>
    </row>
    <row r="597" spans="4:8" ht="15.75">
      <c r="D597" s="92"/>
      <c r="E597" s="92"/>
      <c r="F597" s="92"/>
      <c r="G597" s="92"/>
      <c r="H597" s="92"/>
    </row>
    <row r="598" spans="4:8" ht="15.75">
      <c r="D598" s="92"/>
      <c r="E598" s="92"/>
      <c r="F598" s="92"/>
      <c r="G598" s="92"/>
      <c r="H598" s="92"/>
    </row>
    <row r="599" spans="4:8" ht="15.75">
      <c r="D599" s="92"/>
      <c r="E599" s="92"/>
      <c r="F599" s="92"/>
      <c r="G599" s="92"/>
      <c r="H599" s="92"/>
    </row>
    <row r="600" spans="4:8" ht="15.75">
      <c r="D600" s="92"/>
      <c r="E600" s="92"/>
      <c r="F600" s="92"/>
      <c r="G600" s="92"/>
      <c r="H600" s="92"/>
    </row>
    <row r="601" spans="4:8" ht="15.75">
      <c r="D601" s="92"/>
      <c r="E601" s="92"/>
      <c r="F601" s="92"/>
      <c r="G601" s="92"/>
      <c r="H601" s="92"/>
    </row>
    <row r="602" spans="4:8" ht="15.75">
      <c r="D602" s="92"/>
      <c r="E602" s="92"/>
      <c r="F602" s="92"/>
      <c r="G602" s="92"/>
      <c r="H602" s="92"/>
    </row>
    <row r="603" spans="4:8" ht="15.75">
      <c r="D603" s="92"/>
      <c r="E603" s="92"/>
      <c r="F603" s="92"/>
      <c r="G603" s="92"/>
      <c r="H603" s="92"/>
    </row>
    <row r="604" spans="4:8" ht="15.75">
      <c r="D604" s="92"/>
      <c r="E604" s="92"/>
      <c r="F604" s="92"/>
      <c r="G604" s="92"/>
      <c r="H604" s="92"/>
    </row>
    <row r="605" spans="4:8" ht="15.75">
      <c r="D605" s="92"/>
      <c r="E605" s="92"/>
      <c r="F605" s="92"/>
      <c r="G605" s="92"/>
      <c r="H605" s="92"/>
    </row>
    <row r="606" spans="4:8" ht="15.75">
      <c r="D606" s="92"/>
      <c r="E606" s="92"/>
      <c r="F606" s="92"/>
      <c r="G606" s="92"/>
      <c r="H606" s="92"/>
    </row>
    <row r="607" spans="4:8" ht="15.75">
      <c r="D607" s="92"/>
      <c r="E607" s="92"/>
      <c r="F607" s="92"/>
      <c r="G607" s="92"/>
      <c r="H607" s="92"/>
    </row>
    <row r="608" spans="4:8" ht="15.75">
      <c r="D608" s="92"/>
      <c r="E608" s="92"/>
      <c r="F608" s="92"/>
      <c r="G608" s="92"/>
      <c r="H608" s="92"/>
    </row>
    <row r="609" spans="4:8" ht="15.75">
      <c r="D609" s="92"/>
      <c r="E609" s="92"/>
      <c r="F609" s="92"/>
      <c r="G609" s="92"/>
      <c r="H609" s="92"/>
    </row>
    <row r="610" spans="4:8" ht="15.75">
      <c r="D610" s="92"/>
      <c r="E610" s="92"/>
      <c r="F610" s="92"/>
      <c r="G610" s="92"/>
      <c r="H610" s="92"/>
    </row>
    <row r="611" spans="4:8" ht="15.75">
      <c r="D611" s="92"/>
      <c r="E611" s="92"/>
      <c r="F611" s="92"/>
      <c r="G611" s="92"/>
      <c r="H611" s="92"/>
    </row>
    <row r="612" spans="4:8" ht="15.75">
      <c r="D612" s="92"/>
      <c r="E612" s="92"/>
      <c r="F612" s="92"/>
      <c r="G612" s="92"/>
      <c r="H612" s="92"/>
    </row>
    <row r="613" spans="4:8" ht="15.75">
      <c r="D613" s="92"/>
      <c r="E613" s="92"/>
      <c r="F613" s="92"/>
      <c r="G613" s="92"/>
      <c r="H613" s="92"/>
    </row>
    <row r="614" spans="4:8" ht="15.75">
      <c r="D614" s="92"/>
      <c r="E614" s="92"/>
      <c r="F614" s="92"/>
      <c r="G614" s="92"/>
      <c r="H614" s="92"/>
    </row>
    <row r="615" spans="4:8" ht="15.75">
      <c r="D615" s="92"/>
      <c r="E615" s="92"/>
      <c r="F615" s="92"/>
      <c r="G615" s="92"/>
      <c r="H615" s="92"/>
    </row>
    <row r="616" spans="4:8" ht="15.75">
      <c r="D616" s="92"/>
      <c r="E616" s="92"/>
      <c r="F616" s="92"/>
      <c r="G616" s="92"/>
      <c r="H616" s="92"/>
    </row>
    <row r="617" spans="4:8" ht="15.75">
      <c r="D617" s="92"/>
      <c r="E617" s="92"/>
      <c r="F617" s="92"/>
      <c r="G617" s="92"/>
      <c r="H617" s="92"/>
    </row>
    <row r="618" spans="4:8" ht="15.75">
      <c r="D618" s="92"/>
      <c r="E618" s="92"/>
      <c r="F618" s="92"/>
      <c r="G618" s="92"/>
      <c r="H618" s="92"/>
    </row>
    <row r="619" spans="4:8" ht="15.75">
      <c r="D619" s="92"/>
      <c r="E619" s="92"/>
      <c r="F619" s="92"/>
      <c r="G619" s="92"/>
      <c r="H619" s="92"/>
    </row>
    <row r="620" spans="4:8" ht="15.75">
      <c r="D620" s="92"/>
      <c r="E620" s="92"/>
      <c r="F620" s="92"/>
      <c r="G620" s="92"/>
      <c r="H620" s="92"/>
    </row>
    <row r="621" spans="4:8" ht="15.75">
      <c r="D621" s="92"/>
      <c r="E621" s="92"/>
      <c r="F621" s="92"/>
      <c r="G621" s="92"/>
      <c r="H621" s="92"/>
    </row>
    <row r="622" spans="4:8" ht="15.75">
      <c r="D622" s="92"/>
      <c r="E622" s="92"/>
      <c r="F622" s="92"/>
      <c r="G622" s="92"/>
      <c r="H622" s="92"/>
    </row>
    <row r="623" spans="4:8" ht="15.75">
      <c r="D623" s="92"/>
      <c r="E623" s="92"/>
      <c r="F623" s="92"/>
      <c r="G623" s="92"/>
      <c r="H623" s="92"/>
    </row>
    <row r="624" spans="4:8" ht="15.75">
      <c r="D624" s="92"/>
      <c r="E624" s="92"/>
      <c r="F624" s="92"/>
      <c r="G624" s="92"/>
      <c r="H624" s="92"/>
    </row>
    <row r="625" spans="4:8" ht="15.75">
      <c r="D625" s="92"/>
      <c r="E625" s="92"/>
      <c r="F625" s="92"/>
      <c r="G625" s="92"/>
      <c r="H625" s="92"/>
    </row>
    <row r="626" spans="4:8" ht="15.75">
      <c r="D626" s="92"/>
      <c r="E626" s="92"/>
      <c r="F626" s="92"/>
      <c r="G626" s="92"/>
      <c r="H626" s="92"/>
    </row>
    <row r="627" spans="4:8" ht="15.75">
      <c r="D627" s="92"/>
      <c r="E627" s="92"/>
      <c r="F627" s="92"/>
      <c r="G627" s="92"/>
      <c r="H627" s="92"/>
    </row>
    <row r="628" spans="4:8" ht="15.75">
      <c r="D628" s="92"/>
      <c r="E628" s="92"/>
      <c r="F628" s="92"/>
      <c r="G628" s="92"/>
      <c r="H628" s="92"/>
    </row>
    <row r="629" spans="4:8" ht="15.75">
      <c r="D629" s="92"/>
      <c r="E629" s="92"/>
      <c r="F629" s="92"/>
      <c r="G629" s="92"/>
      <c r="H629" s="92"/>
    </row>
    <row r="630" spans="4:8" ht="15.75">
      <c r="D630" s="92"/>
      <c r="E630" s="92"/>
      <c r="F630" s="92"/>
      <c r="G630" s="92"/>
      <c r="H630" s="92"/>
    </row>
    <row r="631" spans="4:8" ht="15.75">
      <c r="D631" s="92"/>
      <c r="E631" s="92"/>
      <c r="F631" s="92"/>
      <c r="G631" s="92"/>
      <c r="H631" s="92"/>
    </row>
    <row r="632" spans="4:8" ht="15.75">
      <c r="D632" s="92"/>
      <c r="E632" s="92"/>
      <c r="F632" s="92"/>
      <c r="G632" s="92"/>
      <c r="H632" s="92"/>
    </row>
    <row r="633" spans="4:8" ht="15.75">
      <c r="D633" s="92"/>
      <c r="E633" s="92"/>
      <c r="F633" s="92"/>
      <c r="G633" s="92"/>
      <c r="H633" s="92"/>
    </row>
    <row r="634" spans="4:8" ht="15.75">
      <c r="D634" s="92"/>
      <c r="E634" s="92"/>
      <c r="F634" s="92"/>
      <c r="G634" s="92"/>
      <c r="H634" s="92"/>
    </row>
    <row r="635" spans="4:8" ht="15.75">
      <c r="D635" s="92"/>
      <c r="E635" s="92"/>
      <c r="F635" s="92"/>
      <c r="G635" s="92"/>
      <c r="H635" s="92"/>
    </row>
    <row r="636" spans="4:8" ht="15.75">
      <c r="D636" s="92"/>
      <c r="E636" s="92"/>
      <c r="F636" s="92"/>
      <c r="G636" s="92"/>
      <c r="H636" s="92"/>
    </row>
    <row r="637" spans="4:8" ht="15.75">
      <c r="D637" s="92"/>
      <c r="E637" s="92"/>
      <c r="F637" s="92"/>
      <c r="G637" s="92"/>
      <c r="H637" s="92"/>
    </row>
    <row r="638" spans="4:8" ht="15.75">
      <c r="D638" s="92"/>
      <c r="E638" s="92"/>
      <c r="F638" s="92"/>
      <c r="G638" s="92"/>
      <c r="H638" s="92"/>
    </row>
    <row r="639" spans="4:8" ht="15.75">
      <c r="D639" s="92"/>
      <c r="E639" s="92"/>
      <c r="F639" s="92"/>
      <c r="G639" s="92"/>
      <c r="H639" s="92"/>
    </row>
    <row r="640" spans="4:8" ht="15.75">
      <c r="D640" s="92"/>
      <c r="E640" s="92"/>
      <c r="F640" s="92"/>
      <c r="G640" s="92"/>
      <c r="H640" s="92"/>
    </row>
    <row r="641" spans="4:8" ht="15.75">
      <c r="D641" s="92"/>
      <c r="E641" s="92"/>
      <c r="F641" s="92"/>
      <c r="G641" s="92"/>
      <c r="H641" s="92"/>
    </row>
    <row r="642" spans="4:8" ht="15.75">
      <c r="D642" s="92"/>
      <c r="E642" s="92"/>
      <c r="F642" s="92"/>
      <c r="G642" s="92"/>
      <c r="H642" s="92"/>
    </row>
    <row r="643" spans="4:8" ht="15.75">
      <c r="D643" s="92"/>
      <c r="E643" s="92"/>
      <c r="F643" s="92"/>
      <c r="G643" s="92"/>
      <c r="H643" s="92"/>
    </row>
    <row r="644" spans="4:8" ht="15.75">
      <c r="D644" s="92"/>
      <c r="E644" s="92"/>
      <c r="F644" s="92"/>
      <c r="G644" s="92"/>
      <c r="H644" s="92"/>
    </row>
    <row r="645" spans="4:8" ht="15.75">
      <c r="D645" s="92"/>
      <c r="E645" s="92"/>
      <c r="F645" s="92"/>
      <c r="G645" s="92"/>
      <c r="H645" s="92"/>
    </row>
    <row r="646" spans="4:8" ht="15.75">
      <c r="D646" s="92"/>
      <c r="E646" s="92"/>
      <c r="F646" s="92"/>
      <c r="G646" s="92"/>
      <c r="H646" s="92"/>
    </row>
    <row r="647" spans="4:8" ht="15.75">
      <c r="D647" s="92"/>
      <c r="E647" s="92"/>
      <c r="F647" s="92"/>
      <c r="G647" s="92"/>
      <c r="H647" s="92"/>
    </row>
    <row r="648" spans="4:8" ht="15.75">
      <c r="D648" s="92"/>
      <c r="E648" s="92"/>
      <c r="F648" s="92"/>
      <c r="G648" s="92"/>
      <c r="H648" s="92"/>
    </row>
    <row r="649" spans="4:8" ht="15.75">
      <c r="D649" s="92"/>
      <c r="E649" s="92"/>
      <c r="F649" s="92"/>
      <c r="G649" s="92"/>
      <c r="H649" s="92"/>
    </row>
    <row r="650" spans="4:8" ht="15.75">
      <c r="D650" s="92"/>
      <c r="E650" s="92"/>
      <c r="F650" s="92"/>
      <c r="G650" s="92"/>
      <c r="H650" s="92"/>
    </row>
    <row r="651" spans="4:8" ht="15.75">
      <c r="D651" s="92"/>
      <c r="E651" s="92"/>
      <c r="F651" s="92"/>
      <c r="G651" s="92"/>
      <c r="H651" s="92"/>
    </row>
    <row r="652" spans="4:8" ht="15.75">
      <c r="D652" s="92"/>
      <c r="E652" s="92"/>
      <c r="F652" s="92"/>
      <c r="G652" s="92"/>
      <c r="H652" s="92"/>
    </row>
    <row r="653" spans="4:8" ht="15.75">
      <c r="D653" s="92"/>
      <c r="E653" s="92"/>
      <c r="F653" s="92"/>
      <c r="G653" s="92"/>
      <c r="H653" s="92"/>
    </row>
    <row r="654" spans="4:8" ht="15.75">
      <c r="D654" s="92"/>
      <c r="E654" s="92"/>
      <c r="F654" s="92"/>
      <c r="G654" s="92"/>
      <c r="H654" s="92"/>
    </row>
    <row r="655" spans="4:8" ht="15.75">
      <c r="D655" s="92"/>
      <c r="E655" s="92"/>
      <c r="F655" s="92"/>
      <c r="G655" s="92"/>
      <c r="H655" s="92"/>
    </row>
    <row r="656" spans="4:8" ht="15.75">
      <c r="D656" s="92"/>
      <c r="E656" s="92"/>
      <c r="F656" s="92"/>
      <c r="G656" s="92"/>
      <c r="H656" s="92"/>
    </row>
    <row r="657" spans="4:8" ht="15.75">
      <c r="D657" s="92"/>
      <c r="E657" s="92"/>
      <c r="F657" s="92"/>
      <c r="G657" s="92"/>
      <c r="H657" s="92"/>
    </row>
    <row r="658" spans="4:8" ht="15.75">
      <c r="D658" s="92"/>
      <c r="E658" s="92"/>
      <c r="F658" s="92"/>
      <c r="G658" s="92"/>
      <c r="H658" s="92"/>
    </row>
    <row r="659" spans="4:8" ht="15.75">
      <c r="D659" s="92"/>
      <c r="E659" s="92"/>
      <c r="F659" s="92"/>
      <c r="G659" s="92"/>
      <c r="H659" s="92"/>
    </row>
    <row r="660" spans="4:8" ht="15.75">
      <c r="D660" s="92"/>
      <c r="E660" s="92"/>
      <c r="F660" s="92"/>
      <c r="G660" s="92"/>
      <c r="H660" s="92"/>
    </row>
    <row r="661" spans="4:8" ht="15.75">
      <c r="D661" s="92"/>
      <c r="E661" s="92"/>
      <c r="F661" s="92"/>
      <c r="G661" s="92"/>
      <c r="H661" s="92"/>
    </row>
    <row r="662" spans="4:8" ht="15.75">
      <c r="D662" s="92"/>
      <c r="E662" s="92"/>
      <c r="F662" s="92"/>
      <c r="G662" s="92"/>
      <c r="H662" s="92"/>
    </row>
    <row r="663" spans="4:8" ht="15.75">
      <c r="D663" s="92"/>
      <c r="E663" s="92"/>
      <c r="F663" s="92"/>
      <c r="G663" s="92"/>
      <c r="H663" s="92"/>
    </row>
    <row r="664" spans="4:8" ht="15.75">
      <c r="D664" s="92"/>
      <c r="E664" s="92"/>
      <c r="F664" s="92"/>
      <c r="G664" s="92"/>
      <c r="H664" s="92"/>
    </row>
    <row r="665" spans="4:8" ht="15.75">
      <c r="D665" s="92"/>
      <c r="E665" s="92"/>
      <c r="F665" s="92"/>
      <c r="G665" s="92"/>
      <c r="H665" s="92"/>
    </row>
    <row r="666" spans="4:8" ht="15.75">
      <c r="D666" s="92"/>
      <c r="E666" s="92"/>
      <c r="F666" s="92"/>
      <c r="G666" s="92"/>
      <c r="H666" s="92"/>
    </row>
    <row r="667" spans="4:8" ht="15.75">
      <c r="D667" s="92"/>
      <c r="E667" s="92"/>
      <c r="F667" s="92"/>
      <c r="G667" s="92"/>
      <c r="H667" s="92"/>
    </row>
    <row r="668" spans="4:8" ht="15.75">
      <c r="D668" s="92"/>
      <c r="E668" s="92"/>
      <c r="F668" s="92"/>
      <c r="G668" s="92"/>
      <c r="H668" s="92"/>
    </row>
    <row r="669" spans="4:8" ht="15.75">
      <c r="D669" s="92"/>
      <c r="E669" s="92"/>
      <c r="F669" s="92"/>
      <c r="G669" s="92"/>
      <c r="H669" s="92"/>
    </row>
    <row r="670" spans="4:8" ht="15.75">
      <c r="D670" s="92"/>
      <c r="E670" s="92"/>
      <c r="F670" s="92"/>
      <c r="G670" s="92"/>
      <c r="H670" s="92"/>
    </row>
    <row r="671" spans="4:8" ht="15.75">
      <c r="D671" s="92"/>
      <c r="E671" s="92"/>
      <c r="F671" s="92"/>
      <c r="G671" s="92"/>
      <c r="H671" s="92"/>
    </row>
    <row r="672" spans="4:8" ht="15.75">
      <c r="D672" s="92"/>
      <c r="E672" s="92"/>
      <c r="F672" s="92"/>
      <c r="G672" s="92"/>
      <c r="H672" s="92"/>
    </row>
    <row r="673" spans="4:8" ht="15.75">
      <c r="D673" s="92"/>
      <c r="E673" s="92"/>
      <c r="F673" s="92"/>
      <c r="G673" s="92"/>
      <c r="H673" s="92"/>
    </row>
    <row r="674" spans="4:8" ht="15.75">
      <c r="D674" s="92"/>
      <c r="E674" s="92"/>
      <c r="F674" s="92"/>
      <c r="G674" s="92"/>
      <c r="H674" s="92"/>
    </row>
    <row r="675" spans="4:8" ht="15.75">
      <c r="D675" s="92"/>
      <c r="E675" s="92"/>
      <c r="F675" s="92"/>
      <c r="G675" s="92"/>
      <c r="H675" s="92"/>
    </row>
    <row r="676" spans="4:8" ht="15.75">
      <c r="D676" s="92"/>
      <c r="E676" s="92"/>
      <c r="F676" s="92"/>
      <c r="G676" s="92"/>
      <c r="H676" s="92"/>
    </row>
    <row r="677" spans="4:8" ht="15.75">
      <c r="D677" s="92"/>
      <c r="E677" s="92"/>
      <c r="F677" s="92"/>
      <c r="G677" s="92"/>
      <c r="H677" s="92"/>
    </row>
    <row r="678" spans="4:8" ht="15.75">
      <c r="D678" s="92"/>
      <c r="E678" s="92"/>
      <c r="F678" s="92"/>
      <c r="G678" s="92"/>
      <c r="H678" s="92"/>
    </row>
    <row r="679" spans="4:8" ht="15.75">
      <c r="D679" s="92"/>
      <c r="E679" s="92"/>
      <c r="F679" s="92"/>
      <c r="G679" s="92"/>
      <c r="H679" s="92"/>
    </row>
    <row r="680" spans="4:8" ht="15.75">
      <c r="D680" s="92"/>
      <c r="E680" s="92"/>
      <c r="F680" s="92"/>
      <c r="G680" s="92"/>
      <c r="H680" s="92"/>
    </row>
    <row r="681" spans="4:8" ht="15.75">
      <c r="D681" s="92"/>
      <c r="E681" s="92"/>
      <c r="F681" s="92"/>
      <c r="G681" s="92"/>
      <c r="H681" s="92"/>
    </row>
    <row r="682" spans="4:8" ht="15.75">
      <c r="D682" s="92"/>
      <c r="E682" s="92"/>
      <c r="F682" s="92"/>
      <c r="G682" s="92"/>
      <c r="H682" s="92"/>
    </row>
    <row r="683" spans="4:8" ht="15.75">
      <c r="D683" s="92"/>
      <c r="E683" s="92"/>
      <c r="F683" s="92"/>
      <c r="G683" s="92"/>
      <c r="H683" s="92"/>
    </row>
    <row r="684" spans="4:8" ht="15.75">
      <c r="D684" s="92"/>
      <c r="E684" s="92"/>
      <c r="F684" s="92"/>
      <c r="G684" s="92"/>
      <c r="H684" s="92"/>
    </row>
    <row r="685" spans="4:8" ht="15.75">
      <c r="D685" s="92"/>
      <c r="E685" s="92"/>
      <c r="F685" s="92"/>
      <c r="G685" s="92"/>
      <c r="H685" s="92"/>
    </row>
    <row r="686" spans="4:8" ht="15.75">
      <c r="D686" s="92"/>
      <c r="E686" s="92"/>
      <c r="F686" s="92"/>
      <c r="G686" s="92"/>
      <c r="H686" s="92"/>
    </row>
    <row r="687" spans="4:8" ht="15.75">
      <c r="D687" s="92"/>
      <c r="E687" s="92"/>
      <c r="F687" s="92"/>
      <c r="G687" s="92"/>
      <c r="H687" s="92"/>
    </row>
    <row r="688" spans="4:8" ht="15.75">
      <c r="D688" s="92"/>
      <c r="E688" s="92"/>
      <c r="F688" s="92"/>
      <c r="G688" s="92"/>
      <c r="H688" s="92"/>
    </row>
    <row r="689" spans="4:8" ht="15.75">
      <c r="D689" s="92"/>
      <c r="E689" s="92"/>
      <c r="F689" s="92"/>
      <c r="G689" s="92"/>
      <c r="H689" s="92"/>
    </row>
    <row r="690" spans="4:8" ht="15.75">
      <c r="D690" s="92"/>
      <c r="E690" s="92"/>
      <c r="F690" s="92"/>
      <c r="G690" s="92"/>
      <c r="H690" s="92"/>
    </row>
    <row r="691" spans="4:8" ht="15.75">
      <c r="D691" s="92"/>
      <c r="E691" s="92"/>
      <c r="F691" s="92"/>
      <c r="G691" s="92"/>
      <c r="H691" s="92"/>
    </row>
    <row r="692" spans="4:8" ht="15.75">
      <c r="D692" s="92"/>
      <c r="E692" s="92"/>
      <c r="F692" s="92"/>
      <c r="G692" s="92"/>
      <c r="H692" s="92"/>
    </row>
    <row r="693" spans="4:8" ht="15.75">
      <c r="D693" s="92"/>
      <c r="E693" s="92"/>
      <c r="F693" s="92"/>
      <c r="G693" s="92"/>
      <c r="H693" s="92"/>
    </row>
    <row r="694" spans="4:8" ht="15.75">
      <c r="D694" s="92"/>
      <c r="E694" s="92"/>
      <c r="F694" s="92"/>
      <c r="G694" s="92"/>
      <c r="H694" s="92"/>
    </row>
    <row r="695" spans="4:8" ht="15.75">
      <c r="D695" s="92"/>
      <c r="E695" s="92"/>
      <c r="F695" s="92"/>
      <c r="G695" s="92"/>
      <c r="H695" s="92"/>
    </row>
    <row r="696" spans="4:8" ht="15.75">
      <c r="D696" s="92"/>
      <c r="E696" s="92"/>
      <c r="F696" s="92"/>
      <c r="G696" s="92"/>
      <c r="H696" s="92"/>
    </row>
    <row r="697" spans="4:8" ht="15.75">
      <c r="D697" s="92"/>
      <c r="E697" s="92"/>
      <c r="F697" s="92"/>
      <c r="G697" s="92"/>
      <c r="H697" s="92"/>
    </row>
    <row r="698" spans="4:8" ht="15.75">
      <c r="D698" s="92"/>
      <c r="E698" s="92"/>
      <c r="F698" s="92"/>
      <c r="G698" s="92"/>
      <c r="H698" s="92"/>
    </row>
    <row r="699" spans="4:8" ht="15.75">
      <c r="D699" s="92"/>
      <c r="E699" s="92"/>
      <c r="F699" s="92"/>
      <c r="G699" s="92"/>
      <c r="H699" s="92"/>
    </row>
    <row r="700" spans="4:8" ht="15.75">
      <c r="D700" s="92"/>
      <c r="E700" s="92"/>
      <c r="F700" s="92"/>
      <c r="G700" s="92"/>
      <c r="H700" s="92"/>
    </row>
    <row r="701" spans="4:8" ht="15.75">
      <c r="D701" s="92"/>
      <c r="E701" s="92"/>
      <c r="F701" s="92"/>
      <c r="G701" s="92"/>
      <c r="H701" s="92"/>
    </row>
    <row r="702" spans="4:8" ht="15.75">
      <c r="D702" s="92"/>
      <c r="E702" s="92"/>
      <c r="F702" s="92"/>
      <c r="G702" s="92"/>
      <c r="H702" s="92"/>
    </row>
    <row r="703" spans="4:8" ht="15.75">
      <c r="D703" s="92"/>
      <c r="E703" s="92"/>
      <c r="F703" s="92"/>
      <c r="G703" s="92"/>
      <c r="H703" s="92"/>
    </row>
    <row r="704" spans="4:8" ht="15.75">
      <c r="D704" s="92"/>
      <c r="E704" s="92"/>
      <c r="F704" s="92"/>
      <c r="G704" s="92"/>
      <c r="H704" s="92"/>
    </row>
    <row r="705" spans="4:8" ht="15.75">
      <c r="D705" s="92"/>
      <c r="E705" s="92"/>
      <c r="F705" s="92"/>
      <c r="G705" s="92"/>
      <c r="H705" s="92"/>
    </row>
    <row r="706" spans="4:8" ht="15.75">
      <c r="D706" s="92"/>
      <c r="E706" s="92"/>
      <c r="F706" s="92"/>
      <c r="G706" s="92"/>
      <c r="H706" s="92"/>
    </row>
    <row r="707" spans="4:8" ht="15.75">
      <c r="D707" s="92"/>
      <c r="E707" s="92"/>
      <c r="F707" s="92"/>
      <c r="G707" s="92"/>
      <c r="H707" s="92"/>
    </row>
    <row r="708" spans="4:8" ht="15.75">
      <c r="D708" s="92"/>
      <c r="E708" s="92"/>
      <c r="F708" s="92"/>
      <c r="G708" s="92"/>
      <c r="H708" s="92"/>
    </row>
    <row r="709" spans="4:8" ht="15.75">
      <c r="D709" s="92"/>
      <c r="E709" s="92"/>
      <c r="F709" s="92"/>
      <c r="G709" s="92"/>
      <c r="H709" s="92"/>
    </row>
    <row r="710" spans="4:8" ht="15.75">
      <c r="D710" s="92"/>
      <c r="E710" s="92"/>
      <c r="F710" s="92"/>
      <c r="G710" s="92"/>
      <c r="H710" s="92"/>
    </row>
    <row r="711" spans="4:8" ht="15.75">
      <c r="D711" s="92"/>
      <c r="E711" s="92"/>
      <c r="F711" s="92"/>
      <c r="G711" s="92"/>
      <c r="H711" s="92"/>
    </row>
    <row r="712" spans="4:8" ht="15.75">
      <c r="D712" s="92"/>
      <c r="E712" s="92"/>
      <c r="F712" s="92"/>
      <c r="G712" s="92"/>
      <c r="H712" s="92"/>
    </row>
    <row r="713" spans="4:8" ht="15.75">
      <c r="D713" s="92"/>
      <c r="E713" s="92"/>
      <c r="F713" s="92"/>
      <c r="G713" s="92"/>
      <c r="H713" s="92"/>
    </row>
    <row r="714" spans="4:8" ht="15.75">
      <c r="D714" s="92"/>
      <c r="E714" s="92"/>
      <c r="F714" s="92"/>
      <c r="G714" s="92"/>
      <c r="H714" s="92"/>
    </row>
    <row r="715" spans="4:8" ht="15.75">
      <c r="D715" s="92"/>
      <c r="E715" s="92"/>
      <c r="F715" s="92"/>
      <c r="G715" s="92"/>
      <c r="H715" s="92"/>
    </row>
    <row r="716" spans="4:8" ht="15.75">
      <c r="D716" s="92"/>
      <c r="E716" s="92"/>
      <c r="F716" s="92"/>
      <c r="G716" s="92"/>
      <c r="H716" s="92"/>
    </row>
    <row r="717" spans="4:8" ht="15.75">
      <c r="D717" s="92"/>
      <c r="E717" s="92"/>
      <c r="F717" s="92"/>
      <c r="G717" s="92"/>
      <c r="H717" s="92"/>
    </row>
    <row r="718" spans="4:8" ht="15.75">
      <c r="D718" s="92"/>
      <c r="E718" s="92"/>
      <c r="F718" s="92"/>
      <c r="G718" s="92"/>
      <c r="H718" s="92"/>
    </row>
    <row r="719" spans="4:8" ht="15.75">
      <c r="D719" s="92"/>
      <c r="E719" s="92"/>
      <c r="F719" s="92"/>
      <c r="G719" s="92"/>
      <c r="H719" s="92"/>
    </row>
    <row r="720" spans="4:8" ht="15.75">
      <c r="D720" s="92"/>
      <c r="E720" s="92"/>
      <c r="F720" s="92"/>
      <c r="G720" s="92"/>
      <c r="H720" s="92"/>
    </row>
    <row r="721" spans="4:8" ht="15.75">
      <c r="D721" s="92"/>
      <c r="E721" s="92"/>
      <c r="F721" s="92"/>
      <c r="G721" s="92"/>
      <c r="H721" s="92"/>
    </row>
    <row r="722" spans="4:8" ht="15.75">
      <c r="D722" s="92"/>
      <c r="E722" s="92"/>
      <c r="F722" s="92"/>
      <c r="G722" s="92"/>
      <c r="H722" s="92"/>
    </row>
    <row r="723" spans="4:8" ht="15.75">
      <c r="D723" s="92"/>
      <c r="E723" s="92"/>
      <c r="F723" s="92"/>
      <c r="G723" s="92"/>
      <c r="H723" s="92"/>
    </row>
    <row r="724" spans="4:8" ht="15.75">
      <c r="D724" s="92"/>
      <c r="E724" s="92"/>
      <c r="F724" s="92"/>
      <c r="G724" s="92"/>
      <c r="H724" s="92"/>
    </row>
    <row r="725" spans="4:8" ht="15.75">
      <c r="D725" s="92"/>
      <c r="E725" s="92"/>
      <c r="F725" s="92"/>
      <c r="G725" s="92"/>
      <c r="H725" s="92"/>
    </row>
    <row r="726" spans="4:8" ht="15.75">
      <c r="D726" s="92"/>
      <c r="E726" s="92"/>
      <c r="F726" s="92"/>
      <c r="G726" s="92"/>
      <c r="H726" s="92"/>
    </row>
    <row r="727" spans="4:8" ht="15.75">
      <c r="D727" s="92"/>
      <c r="E727" s="92"/>
      <c r="F727" s="92"/>
      <c r="G727" s="92"/>
      <c r="H727" s="92"/>
    </row>
    <row r="728" spans="4:8" ht="15.75">
      <c r="D728" s="92"/>
      <c r="E728" s="92"/>
      <c r="F728" s="92"/>
      <c r="G728" s="92"/>
      <c r="H728" s="92"/>
    </row>
    <row r="729" spans="4:8" ht="15.75">
      <c r="D729" s="92"/>
      <c r="E729" s="92"/>
      <c r="F729" s="92"/>
      <c r="G729" s="92"/>
      <c r="H729" s="92"/>
    </row>
    <row r="730" spans="4:8" ht="15.75">
      <c r="D730" s="92"/>
      <c r="E730" s="92"/>
      <c r="F730" s="92"/>
      <c r="G730" s="92"/>
      <c r="H730" s="92"/>
    </row>
    <row r="731" spans="4:8" ht="15.75">
      <c r="D731" s="92"/>
      <c r="E731" s="92"/>
      <c r="F731" s="92"/>
      <c r="G731" s="92"/>
      <c r="H731" s="92"/>
    </row>
    <row r="732" spans="4:8" ht="15.75">
      <c r="D732" s="92"/>
      <c r="E732" s="92"/>
      <c r="F732" s="92"/>
      <c r="G732" s="92"/>
      <c r="H732" s="92"/>
    </row>
    <row r="733" spans="4:8" ht="15.75">
      <c r="D733" s="92"/>
      <c r="E733" s="92"/>
      <c r="F733" s="92"/>
      <c r="G733" s="92"/>
      <c r="H733" s="92"/>
    </row>
    <row r="734" spans="4:8" ht="15.75">
      <c r="D734" s="92"/>
      <c r="E734" s="92"/>
      <c r="F734" s="92"/>
      <c r="G734" s="92"/>
      <c r="H734" s="92"/>
    </row>
    <row r="735" spans="4:8" ht="15.75">
      <c r="D735" s="92"/>
      <c r="E735" s="92"/>
      <c r="F735" s="92"/>
      <c r="G735" s="92"/>
      <c r="H735" s="92"/>
    </row>
    <row r="736" spans="4:8" ht="15.75">
      <c r="D736" s="92"/>
      <c r="E736" s="92"/>
      <c r="F736" s="92"/>
      <c r="G736" s="92"/>
      <c r="H736" s="92"/>
    </row>
    <row r="737" spans="4:8" ht="15.75">
      <c r="D737" s="92"/>
      <c r="E737" s="92"/>
      <c r="F737" s="92"/>
      <c r="G737" s="92"/>
      <c r="H737" s="92"/>
    </row>
    <row r="738" spans="4:8" ht="15.75">
      <c r="D738" s="92"/>
      <c r="E738" s="92"/>
      <c r="F738" s="92"/>
      <c r="G738" s="92"/>
      <c r="H738" s="92"/>
    </row>
    <row r="739" spans="4:8" ht="15.75">
      <c r="D739" s="92"/>
      <c r="E739" s="92"/>
      <c r="F739" s="92"/>
      <c r="G739" s="92"/>
      <c r="H739" s="92"/>
    </row>
    <row r="740" spans="4:8" ht="15.75">
      <c r="D740" s="92"/>
      <c r="E740" s="92"/>
      <c r="F740" s="92"/>
      <c r="G740" s="92"/>
      <c r="H740" s="92"/>
    </row>
    <row r="741" spans="4:8" ht="15.75">
      <c r="D741" s="92"/>
      <c r="E741" s="92"/>
      <c r="F741" s="92"/>
      <c r="G741" s="92"/>
      <c r="H741" s="92"/>
    </row>
    <row r="742" spans="4:8" ht="15.75">
      <c r="D742" s="92"/>
      <c r="E742" s="92"/>
      <c r="F742" s="92"/>
      <c r="G742" s="92"/>
      <c r="H742" s="92"/>
    </row>
    <row r="743" spans="4:8" ht="15.75">
      <c r="D743" s="92"/>
      <c r="E743" s="92"/>
      <c r="F743" s="92"/>
      <c r="G743" s="92"/>
      <c r="H743" s="92"/>
    </row>
    <row r="744" spans="4:8" ht="15.75">
      <c r="D744" s="92"/>
      <c r="E744" s="92"/>
      <c r="F744" s="92"/>
      <c r="G744" s="92"/>
      <c r="H744" s="92"/>
    </row>
    <row r="745" spans="4:8" ht="15.75">
      <c r="D745" s="92"/>
      <c r="E745" s="92"/>
      <c r="F745" s="92"/>
      <c r="G745" s="92"/>
      <c r="H745" s="92"/>
    </row>
    <row r="746" spans="4:8" ht="15.75">
      <c r="D746" s="92"/>
      <c r="E746" s="92"/>
      <c r="F746" s="92"/>
      <c r="G746" s="92"/>
      <c r="H746" s="92"/>
    </row>
    <row r="747" spans="4:8" ht="15.75">
      <c r="D747" s="92"/>
      <c r="E747" s="92"/>
      <c r="F747" s="92"/>
      <c r="G747" s="92"/>
      <c r="H747" s="92"/>
    </row>
    <row r="748" spans="4:8" ht="15.75">
      <c r="D748" s="92"/>
      <c r="E748" s="92"/>
      <c r="F748" s="92"/>
      <c r="G748" s="92"/>
      <c r="H748" s="92"/>
    </row>
    <row r="749" spans="4:8" ht="15.75">
      <c r="D749" s="92"/>
      <c r="E749" s="92"/>
      <c r="F749" s="92"/>
      <c r="G749" s="92"/>
      <c r="H749" s="92"/>
    </row>
    <row r="750" spans="4:8" ht="15.75">
      <c r="D750" s="92"/>
      <c r="E750" s="92"/>
      <c r="F750" s="92"/>
      <c r="G750" s="92"/>
      <c r="H750" s="92"/>
    </row>
    <row r="751" spans="4:8" ht="15.75">
      <c r="D751" s="92"/>
      <c r="E751" s="92"/>
      <c r="F751" s="92"/>
      <c r="G751" s="92"/>
      <c r="H751" s="92"/>
    </row>
    <row r="752" spans="4:8" ht="15.75">
      <c r="D752" s="92"/>
      <c r="E752" s="92"/>
      <c r="F752" s="92"/>
      <c r="G752" s="92"/>
      <c r="H752" s="92"/>
    </row>
    <row r="753" spans="4:8" ht="15.75">
      <c r="D753" s="92"/>
      <c r="E753" s="92"/>
      <c r="F753" s="92"/>
      <c r="G753" s="92"/>
      <c r="H753" s="92"/>
    </row>
    <row r="754" spans="4:8" ht="15.75">
      <c r="D754" s="92"/>
      <c r="E754" s="92"/>
      <c r="F754" s="92"/>
      <c r="G754" s="92"/>
      <c r="H754" s="92"/>
    </row>
    <row r="755" spans="4:8" ht="15.75">
      <c r="D755" s="92"/>
      <c r="E755" s="92"/>
      <c r="F755" s="92"/>
      <c r="G755" s="92"/>
      <c r="H755" s="92"/>
    </row>
    <row r="756" spans="4:8" ht="15.75">
      <c r="D756" s="92"/>
      <c r="E756" s="92"/>
      <c r="F756" s="92"/>
      <c r="G756" s="92"/>
      <c r="H756" s="92"/>
    </row>
    <row r="757" spans="4:8" ht="15.75">
      <c r="D757" s="92"/>
      <c r="E757" s="92"/>
      <c r="F757" s="92"/>
      <c r="G757" s="92"/>
      <c r="H757" s="92"/>
    </row>
    <row r="758" spans="4:8" ht="15.75">
      <c r="D758" s="92"/>
      <c r="E758" s="92"/>
      <c r="F758" s="92"/>
      <c r="G758" s="92"/>
      <c r="H758" s="92"/>
    </row>
    <row r="759" spans="4:8" ht="15.75">
      <c r="D759" s="92"/>
      <c r="E759" s="92"/>
      <c r="F759" s="92"/>
      <c r="G759" s="92"/>
      <c r="H759" s="92"/>
    </row>
    <row r="760" spans="4:8" ht="15.75">
      <c r="D760" s="92"/>
      <c r="E760" s="92"/>
      <c r="F760" s="92"/>
      <c r="G760" s="92"/>
      <c r="H760" s="92"/>
    </row>
    <row r="761" spans="4:8" ht="15.75">
      <c r="D761" s="92"/>
      <c r="E761" s="92"/>
      <c r="F761" s="92"/>
      <c r="G761" s="92"/>
      <c r="H761" s="92"/>
    </row>
    <row r="762" spans="4:8" ht="15.75">
      <c r="D762" s="92"/>
      <c r="E762" s="92"/>
      <c r="F762" s="92"/>
      <c r="G762" s="92"/>
      <c r="H762" s="92"/>
    </row>
    <row r="763" spans="4:8" ht="15.75">
      <c r="D763" s="92"/>
      <c r="E763" s="92"/>
      <c r="F763" s="92"/>
      <c r="G763" s="92"/>
      <c r="H763" s="92"/>
    </row>
    <row r="764" spans="4:8" ht="15.75">
      <c r="D764" s="92"/>
      <c r="E764" s="92"/>
      <c r="F764" s="92"/>
      <c r="G764" s="92"/>
      <c r="H764" s="92"/>
    </row>
    <row r="765" spans="4:8" ht="15.75">
      <c r="D765" s="92"/>
      <c r="E765" s="92"/>
      <c r="F765" s="92"/>
      <c r="G765" s="92"/>
      <c r="H765" s="92"/>
    </row>
    <row r="766" spans="4:8" ht="15.75">
      <c r="D766" s="92"/>
      <c r="E766" s="92"/>
      <c r="F766" s="92"/>
      <c r="G766" s="92"/>
      <c r="H766" s="92"/>
    </row>
    <row r="767" spans="4:8" ht="15.75">
      <c r="D767" s="92"/>
      <c r="E767" s="92"/>
      <c r="F767" s="92"/>
      <c r="G767" s="92"/>
      <c r="H767" s="92"/>
    </row>
    <row r="768" spans="4:8" ht="15.75">
      <c r="D768" s="92"/>
      <c r="E768" s="92"/>
      <c r="F768" s="92"/>
      <c r="G768" s="92"/>
      <c r="H768" s="92"/>
    </row>
    <row r="769" spans="4:8" ht="15.75">
      <c r="D769" s="92"/>
      <c r="E769" s="92"/>
      <c r="F769" s="92"/>
      <c r="G769" s="92"/>
      <c r="H769" s="92"/>
    </row>
    <row r="770" spans="4:8" ht="15.75">
      <c r="D770" s="92"/>
      <c r="E770" s="92"/>
      <c r="F770" s="92"/>
      <c r="G770" s="92"/>
      <c r="H770" s="92"/>
    </row>
    <row r="771" spans="4:8" ht="15.75">
      <c r="D771" s="92"/>
      <c r="E771" s="92"/>
      <c r="F771" s="92"/>
      <c r="G771" s="92"/>
      <c r="H771" s="92"/>
    </row>
    <row r="772" spans="4:8" ht="15.75">
      <c r="D772" s="92"/>
      <c r="E772" s="92"/>
      <c r="F772" s="92"/>
      <c r="G772" s="92"/>
      <c r="H772" s="92"/>
    </row>
    <row r="773" spans="4:8" ht="15.75">
      <c r="D773" s="92"/>
      <c r="E773" s="92"/>
      <c r="F773" s="92"/>
      <c r="G773" s="92"/>
      <c r="H773" s="92"/>
    </row>
    <row r="774" spans="4:8" ht="15.75">
      <c r="D774" s="92"/>
      <c r="E774" s="92"/>
      <c r="F774" s="92"/>
      <c r="G774" s="92"/>
      <c r="H774" s="92"/>
    </row>
    <row r="775" spans="4:8" ht="15.75">
      <c r="D775" s="92"/>
      <c r="E775" s="92"/>
      <c r="F775" s="92"/>
      <c r="G775" s="92"/>
      <c r="H775" s="92"/>
    </row>
    <row r="776" spans="4:8" ht="15.75">
      <c r="D776" s="92"/>
      <c r="E776" s="92"/>
      <c r="F776" s="92"/>
      <c r="G776" s="92"/>
      <c r="H776" s="92"/>
    </row>
    <row r="777" spans="4:8" ht="15.75">
      <c r="D777" s="92"/>
      <c r="E777" s="92"/>
      <c r="F777" s="92"/>
      <c r="G777" s="92"/>
      <c r="H777" s="92"/>
    </row>
    <row r="778" spans="4:8" ht="15.75">
      <c r="D778" s="92"/>
      <c r="E778" s="92"/>
      <c r="F778" s="92"/>
      <c r="G778" s="92"/>
      <c r="H778" s="92"/>
    </row>
    <row r="779" spans="4:8" ht="15.75">
      <c r="D779" s="92"/>
      <c r="E779" s="92"/>
      <c r="F779" s="92"/>
      <c r="G779" s="92"/>
      <c r="H779" s="92"/>
    </row>
    <row r="780" spans="4:8" ht="15.75">
      <c r="D780" s="92"/>
      <c r="E780" s="92"/>
      <c r="F780" s="92"/>
      <c r="G780" s="92"/>
      <c r="H780" s="92"/>
    </row>
    <row r="781" spans="4:8" ht="15.75">
      <c r="D781" s="92"/>
      <c r="E781" s="92"/>
      <c r="F781" s="92"/>
      <c r="G781" s="92"/>
      <c r="H781" s="92"/>
    </row>
    <row r="782" spans="4:8" ht="15.75">
      <c r="D782" s="92"/>
      <c r="E782" s="92"/>
      <c r="F782" s="92"/>
      <c r="G782" s="92"/>
      <c r="H782" s="92"/>
    </row>
    <row r="783" spans="4:8" ht="15.75">
      <c r="D783" s="92"/>
      <c r="E783" s="92"/>
      <c r="F783" s="92"/>
      <c r="G783" s="92"/>
      <c r="H783" s="92"/>
    </row>
    <row r="784" spans="4:8" ht="15.75">
      <c r="D784" s="92"/>
      <c r="E784" s="92"/>
      <c r="F784" s="92"/>
      <c r="G784" s="92"/>
      <c r="H784" s="92"/>
    </row>
    <row r="785" spans="4:8" ht="15.75">
      <c r="D785" s="92"/>
      <c r="E785" s="92"/>
      <c r="F785" s="92"/>
      <c r="G785" s="92"/>
      <c r="H785" s="92"/>
    </row>
    <row r="786" spans="4:8" ht="15.75">
      <c r="D786" s="92"/>
      <c r="E786" s="92"/>
      <c r="F786" s="92"/>
      <c r="G786" s="92"/>
      <c r="H786" s="92"/>
    </row>
    <row r="787" spans="4:8" ht="15.75">
      <c r="D787" s="92"/>
      <c r="E787" s="92"/>
      <c r="F787" s="92"/>
      <c r="G787" s="92"/>
      <c r="H787" s="92"/>
    </row>
    <row r="788" spans="4:8" ht="15.75">
      <c r="D788" s="92"/>
      <c r="E788" s="92"/>
      <c r="F788" s="92"/>
      <c r="G788" s="92"/>
      <c r="H788" s="92"/>
    </row>
    <row r="789" spans="4:8" ht="15.75">
      <c r="D789" s="92"/>
      <c r="E789" s="92"/>
      <c r="F789" s="92"/>
      <c r="G789" s="92"/>
      <c r="H789" s="92"/>
    </row>
    <row r="790" spans="4:8" ht="15.75">
      <c r="D790" s="92"/>
      <c r="E790" s="92"/>
      <c r="F790" s="92"/>
      <c r="G790" s="92"/>
      <c r="H790" s="92"/>
    </row>
    <row r="791" spans="4:8" ht="15.75">
      <c r="D791" s="92"/>
      <c r="E791" s="92"/>
      <c r="F791" s="92"/>
      <c r="G791" s="92"/>
      <c r="H791" s="92"/>
    </row>
    <row r="792" spans="4:8" ht="15.75">
      <c r="D792" s="92"/>
      <c r="E792" s="92"/>
      <c r="F792" s="92"/>
      <c r="G792" s="92"/>
      <c r="H792" s="92"/>
    </row>
    <row r="793" spans="4:8" ht="15.75">
      <c r="D793" s="92"/>
      <c r="E793" s="92"/>
      <c r="F793" s="92"/>
      <c r="G793" s="92"/>
      <c r="H793" s="92"/>
    </row>
    <row r="794" spans="4:8" ht="15.75">
      <c r="D794" s="92"/>
      <c r="E794" s="92"/>
      <c r="F794" s="92"/>
      <c r="G794" s="92"/>
      <c r="H794" s="92"/>
    </row>
    <row r="795" spans="4:8" ht="15.75">
      <c r="D795" s="92"/>
      <c r="E795" s="92"/>
      <c r="F795" s="92"/>
      <c r="G795" s="92"/>
      <c r="H795" s="92"/>
    </row>
    <row r="796" spans="4:8" ht="15.75">
      <c r="D796" s="92"/>
      <c r="E796" s="92"/>
      <c r="F796" s="92"/>
      <c r="G796" s="92"/>
      <c r="H796" s="92"/>
    </row>
    <row r="797" spans="4:8" ht="15.75">
      <c r="D797" s="92"/>
      <c r="E797" s="92"/>
      <c r="F797" s="92"/>
      <c r="G797" s="92"/>
      <c r="H797" s="92"/>
    </row>
    <row r="798" spans="4:8" ht="15.75">
      <c r="D798" s="92"/>
      <c r="E798" s="92"/>
      <c r="F798" s="92"/>
      <c r="G798" s="92"/>
      <c r="H798" s="92"/>
    </row>
    <row r="799" spans="4:8" ht="15.75">
      <c r="D799" s="92"/>
      <c r="E799" s="92"/>
      <c r="F799" s="92"/>
      <c r="G799" s="92"/>
      <c r="H799" s="92"/>
    </row>
    <row r="800" spans="4:8" ht="15.75">
      <c r="D800" s="92"/>
      <c r="E800" s="92"/>
      <c r="F800" s="92"/>
      <c r="G800" s="92"/>
      <c r="H800" s="92"/>
    </row>
    <row r="801" spans="4:8" ht="15.75">
      <c r="D801" s="92"/>
      <c r="E801" s="92"/>
      <c r="F801" s="92"/>
      <c r="G801" s="92"/>
      <c r="H801" s="92"/>
    </row>
    <row r="802" spans="4:8" ht="15.75">
      <c r="D802" s="92"/>
      <c r="E802" s="92"/>
      <c r="F802" s="92"/>
      <c r="G802" s="92"/>
      <c r="H802" s="92"/>
    </row>
    <row r="803" spans="4:8" ht="15.75">
      <c r="D803" s="92"/>
      <c r="E803" s="92"/>
      <c r="F803" s="92"/>
      <c r="G803" s="92"/>
      <c r="H803" s="92"/>
    </row>
    <row r="804" spans="4:8" ht="15.75">
      <c r="D804" s="92"/>
      <c r="E804" s="92"/>
      <c r="F804" s="92"/>
      <c r="G804" s="92"/>
      <c r="H804" s="92"/>
    </row>
    <row r="805" spans="4:8" ht="15.75">
      <c r="D805" s="92"/>
      <c r="E805" s="92"/>
      <c r="F805" s="92"/>
      <c r="G805" s="92"/>
      <c r="H805" s="92"/>
    </row>
    <row r="806" spans="4:8" ht="15.75">
      <c r="D806" s="92"/>
      <c r="E806" s="92"/>
      <c r="F806" s="92"/>
      <c r="G806" s="92"/>
      <c r="H806" s="92"/>
    </row>
    <row r="807" spans="4:8" ht="15.75">
      <c r="D807" s="92"/>
      <c r="E807" s="92"/>
      <c r="F807" s="92"/>
      <c r="G807" s="92"/>
      <c r="H807" s="92"/>
    </row>
    <row r="808" spans="4:8" ht="15.75">
      <c r="D808" s="92"/>
      <c r="E808" s="92"/>
      <c r="F808" s="92"/>
      <c r="G808" s="92"/>
      <c r="H808" s="92"/>
    </row>
    <row r="809" spans="4:8" ht="15.75">
      <c r="D809" s="92"/>
      <c r="E809" s="92"/>
      <c r="F809" s="92"/>
      <c r="G809" s="92"/>
      <c r="H809" s="92"/>
    </row>
    <row r="810" spans="4:8" ht="15.75">
      <c r="D810" s="92"/>
      <c r="E810" s="92"/>
      <c r="F810" s="92"/>
      <c r="G810" s="92"/>
      <c r="H810" s="92"/>
    </row>
    <row r="811" spans="4:8" ht="15.75">
      <c r="D811" s="92"/>
      <c r="E811" s="92"/>
      <c r="F811" s="92"/>
      <c r="G811" s="92"/>
      <c r="H811" s="92"/>
    </row>
    <row r="812" spans="4:8" ht="15.75">
      <c r="D812" s="92"/>
      <c r="E812" s="92"/>
      <c r="F812" s="92"/>
      <c r="G812" s="92"/>
      <c r="H812" s="92"/>
    </row>
    <row r="813" spans="4:8" ht="15.75">
      <c r="D813" s="92"/>
      <c r="E813" s="92"/>
      <c r="F813" s="92"/>
      <c r="G813" s="92"/>
      <c r="H813" s="92"/>
    </row>
    <row r="814" spans="4:8" ht="15.75">
      <c r="D814" s="92"/>
      <c r="E814" s="92"/>
      <c r="F814" s="92"/>
      <c r="G814" s="92"/>
      <c r="H814" s="92"/>
    </row>
    <row r="815" spans="4:8" ht="15.75">
      <c r="D815" s="92"/>
      <c r="E815" s="92"/>
      <c r="F815" s="92"/>
      <c r="G815" s="92"/>
      <c r="H815" s="92"/>
    </row>
    <row r="816" spans="4:8" ht="15.75">
      <c r="D816" s="92"/>
      <c r="E816" s="92"/>
      <c r="F816" s="92"/>
      <c r="G816" s="92"/>
      <c r="H816" s="92"/>
    </row>
    <row r="817" spans="4:8" ht="15.75">
      <c r="D817" s="92"/>
      <c r="E817" s="92"/>
      <c r="F817" s="92"/>
      <c r="G817" s="92"/>
      <c r="H817" s="92"/>
    </row>
    <row r="818" spans="4:8" ht="15.75">
      <c r="D818" s="92"/>
      <c r="E818" s="92"/>
      <c r="F818" s="92"/>
      <c r="G818" s="92"/>
      <c r="H818" s="92"/>
    </row>
    <row r="819" spans="4:8" ht="15.75">
      <c r="D819" s="92"/>
      <c r="E819" s="92"/>
      <c r="F819" s="92"/>
      <c r="G819" s="92"/>
      <c r="H819" s="92"/>
    </row>
    <row r="820" spans="4:8" ht="15.75">
      <c r="D820" s="92"/>
      <c r="E820" s="92"/>
      <c r="F820" s="92"/>
      <c r="G820" s="92"/>
      <c r="H820" s="92"/>
    </row>
    <row r="821" spans="4:8" ht="15.75">
      <c r="D821" s="92"/>
      <c r="E821" s="92"/>
      <c r="F821" s="92"/>
      <c r="G821" s="92"/>
      <c r="H821" s="92"/>
    </row>
    <row r="822" spans="4:8" ht="15.75">
      <c r="D822" s="92"/>
      <c r="E822" s="92"/>
      <c r="F822" s="92"/>
      <c r="G822" s="92"/>
      <c r="H822" s="92"/>
    </row>
    <row r="823" spans="4:8" ht="15.75">
      <c r="D823" s="92"/>
      <c r="E823" s="92"/>
      <c r="F823" s="92"/>
      <c r="G823" s="92"/>
      <c r="H823" s="92"/>
    </row>
    <row r="824" spans="4:8" ht="15.75">
      <c r="D824" s="92"/>
      <c r="E824" s="92"/>
      <c r="F824" s="92"/>
      <c r="G824" s="92"/>
      <c r="H824" s="92"/>
    </row>
    <row r="825" spans="4:8" ht="15.75">
      <c r="D825" s="92"/>
      <c r="E825" s="92"/>
      <c r="F825" s="92"/>
      <c r="G825" s="92"/>
      <c r="H825" s="92"/>
    </row>
    <row r="826" spans="4:8" ht="15.75">
      <c r="D826" s="92"/>
      <c r="E826" s="92"/>
      <c r="F826" s="92"/>
      <c r="G826" s="92"/>
      <c r="H826" s="92"/>
    </row>
    <row r="827" spans="4:8" ht="15.75">
      <c r="D827" s="92"/>
      <c r="E827" s="92"/>
      <c r="F827" s="92"/>
      <c r="G827" s="92"/>
      <c r="H827" s="92"/>
    </row>
    <row r="828" spans="4:8" ht="15.75">
      <c r="D828" s="92"/>
      <c r="E828" s="92"/>
      <c r="F828" s="92"/>
      <c r="G828" s="92"/>
      <c r="H828" s="92"/>
    </row>
    <row r="829" spans="4:8" ht="15.75">
      <c r="D829" s="92"/>
      <c r="E829" s="92"/>
      <c r="F829" s="92"/>
      <c r="G829" s="92"/>
      <c r="H829" s="92"/>
    </row>
    <row r="830" spans="4:8" ht="15.75">
      <c r="D830" s="92"/>
      <c r="E830" s="92"/>
      <c r="F830" s="92"/>
      <c r="G830" s="92"/>
      <c r="H830" s="92"/>
    </row>
    <row r="831" spans="4:8" ht="15.75">
      <c r="D831" s="92"/>
      <c r="E831" s="92"/>
      <c r="F831" s="92"/>
      <c r="G831" s="92"/>
      <c r="H831" s="92"/>
    </row>
    <row r="832" spans="4:8" ht="15.75">
      <c r="D832" s="92"/>
      <c r="E832" s="92"/>
      <c r="F832" s="92"/>
      <c r="G832" s="92"/>
      <c r="H832" s="92"/>
    </row>
    <row r="833" spans="4:8" ht="15.75">
      <c r="D833" s="92"/>
      <c r="E833" s="92"/>
      <c r="F833" s="92"/>
      <c r="G833" s="92"/>
      <c r="H833" s="92"/>
    </row>
    <row r="834" spans="4:8" ht="15.75">
      <c r="D834" s="92"/>
      <c r="E834" s="92"/>
      <c r="F834" s="92"/>
      <c r="G834" s="92"/>
      <c r="H834" s="92"/>
    </row>
    <row r="835" spans="4:8" ht="15.75">
      <c r="D835" s="92"/>
      <c r="E835" s="92"/>
      <c r="F835" s="92"/>
      <c r="G835" s="92"/>
      <c r="H835" s="92"/>
    </row>
    <row r="836" spans="4:8" ht="15.75">
      <c r="D836" s="92"/>
      <c r="E836" s="92"/>
      <c r="F836" s="92"/>
      <c r="G836" s="92"/>
      <c r="H836" s="92"/>
    </row>
    <row r="837" spans="4:8" ht="15.75">
      <c r="D837" s="92"/>
      <c r="E837" s="92"/>
      <c r="F837" s="92"/>
      <c r="G837" s="92"/>
      <c r="H837" s="92"/>
    </row>
    <row r="838" spans="4:8" ht="15.75">
      <c r="D838" s="92"/>
      <c r="E838" s="92"/>
      <c r="F838" s="92"/>
      <c r="G838" s="92"/>
      <c r="H838" s="92"/>
    </row>
    <row r="839" spans="4:8" ht="15.75">
      <c r="D839" s="92"/>
      <c r="E839" s="92"/>
      <c r="F839" s="92"/>
      <c r="G839" s="92"/>
      <c r="H839" s="92"/>
    </row>
    <row r="840" spans="4:8" ht="15.75">
      <c r="D840" s="92"/>
      <c r="E840" s="92"/>
      <c r="F840" s="92"/>
      <c r="G840" s="92"/>
      <c r="H840" s="92"/>
    </row>
    <row r="841" spans="4:8" ht="15.75">
      <c r="D841" s="92"/>
      <c r="E841" s="92"/>
      <c r="F841" s="92"/>
      <c r="G841" s="92"/>
      <c r="H841" s="92"/>
    </row>
    <row r="842" spans="4:8" ht="15.75">
      <c r="D842" s="92"/>
      <c r="E842" s="92"/>
      <c r="F842" s="92"/>
      <c r="G842" s="92"/>
      <c r="H842" s="92"/>
    </row>
    <row r="843" spans="4:8" ht="15.75">
      <c r="D843" s="92"/>
      <c r="E843" s="92"/>
      <c r="F843" s="92"/>
      <c r="G843" s="92"/>
      <c r="H843" s="92"/>
    </row>
    <row r="844" spans="4:8" ht="15.75">
      <c r="D844" s="92"/>
      <c r="E844" s="92"/>
      <c r="F844" s="92"/>
      <c r="G844" s="92"/>
      <c r="H844" s="92"/>
    </row>
    <row r="845" spans="4:8" ht="15.75">
      <c r="D845" s="92"/>
      <c r="E845" s="92"/>
      <c r="F845" s="92"/>
      <c r="G845" s="92"/>
      <c r="H845" s="92"/>
    </row>
    <row r="846" spans="4:8" ht="15.75">
      <c r="D846" s="92"/>
      <c r="E846" s="92"/>
      <c r="F846" s="92"/>
      <c r="G846" s="92"/>
      <c r="H846" s="92"/>
    </row>
    <row r="847" spans="4:8" ht="15.75">
      <c r="D847" s="92"/>
      <c r="E847" s="92"/>
      <c r="F847" s="92"/>
      <c r="G847" s="92"/>
      <c r="H847" s="92"/>
    </row>
    <row r="848" spans="4:8" ht="15.75">
      <c r="D848" s="92"/>
      <c r="E848" s="92"/>
      <c r="F848" s="92"/>
      <c r="G848" s="92"/>
      <c r="H848" s="92"/>
    </row>
    <row r="849" spans="4:8" ht="15.75">
      <c r="D849" s="92"/>
      <c r="E849" s="92"/>
      <c r="F849" s="92"/>
      <c r="G849" s="92"/>
      <c r="H849" s="92"/>
    </row>
    <row r="850" spans="4:8" ht="15.75">
      <c r="D850" s="92"/>
      <c r="E850" s="92"/>
      <c r="F850" s="92"/>
      <c r="G850" s="92"/>
      <c r="H850" s="92"/>
    </row>
    <row r="851" spans="4:8" ht="15.75">
      <c r="D851" s="92"/>
      <c r="E851" s="92"/>
      <c r="F851" s="92"/>
      <c r="G851" s="92"/>
      <c r="H851" s="92"/>
    </row>
    <row r="852" spans="4:8" ht="15.75">
      <c r="D852" s="92"/>
      <c r="E852" s="92"/>
      <c r="F852" s="92"/>
      <c r="G852" s="92"/>
      <c r="H852" s="92"/>
    </row>
    <row r="853" spans="4:8" ht="15.75">
      <c r="D853" s="92"/>
      <c r="E853" s="92"/>
      <c r="F853" s="92"/>
      <c r="G853" s="92"/>
      <c r="H853" s="92"/>
    </row>
    <row r="854" spans="4:8" ht="15.75">
      <c r="D854" s="92"/>
      <c r="E854" s="92"/>
      <c r="F854" s="92"/>
      <c r="G854" s="92"/>
      <c r="H854" s="92"/>
    </row>
    <row r="855" spans="4:8" ht="15.75">
      <c r="D855" s="92"/>
      <c r="E855" s="92"/>
      <c r="F855" s="92"/>
      <c r="G855" s="92"/>
      <c r="H855" s="92"/>
    </row>
    <row r="856" spans="4:8" ht="15.75">
      <c r="D856" s="92"/>
      <c r="E856" s="92"/>
      <c r="F856" s="92"/>
      <c r="G856" s="92"/>
      <c r="H856" s="92"/>
    </row>
    <row r="857" spans="4:8" ht="15.75">
      <c r="D857" s="92"/>
      <c r="E857" s="92"/>
      <c r="F857" s="92"/>
      <c r="G857" s="92"/>
      <c r="H857" s="92"/>
    </row>
    <row r="858" spans="4:8" ht="15.75">
      <c r="D858" s="92"/>
      <c r="E858" s="92"/>
      <c r="F858" s="92"/>
      <c r="G858" s="92"/>
      <c r="H858" s="92"/>
    </row>
    <row r="859" spans="4:8" ht="15.75">
      <c r="D859" s="92"/>
      <c r="E859" s="92"/>
      <c r="F859" s="92"/>
      <c r="G859" s="92"/>
      <c r="H859" s="92"/>
    </row>
    <row r="860" spans="4:8" ht="15.75">
      <c r="D860" s="92"/>
      <c r="E860" s="92"/>
      <c r="F860" s="92"/>
      <c r="G860" s="92"/>
      <c r="H860" s="92"/>
    </row>
    <row r="861" spans="4:8" ht="15.75">
      <c r="D861" s="92"/>
      <c r="E861" s="92"/>
      <c r="F861" s="92"/>
      <c r="G861" s="92"/>
      <c r="H861" s="92"/>
    </row>
    <row r="862" spans="4:8" ht="15.75">
      <c r="D862" s="92"/>
      <c r="E862" s="92"/>
      <c r="F862" s="92"/>
      <c r="G862" s="92"/>
      <c r="H862" s="92"/>
    </row>
    <row r="863" spans="4:8" ht="15.75">
      <c r="D863" s="92"/>
      <c r="E863" s="92"/>
      <c r="F863" s="92"/>
      <c r="G863" s="92"/>
      <c r="H863" s="92"/>
    </row>
    <row r="864" spans="4:8" ht="15.75">
      <c r="D864" s="92"/>
      <c r="E864" s="92"/>
      <c r="F864" s="92"/>
      <c r="G864" s="92"/>
      <c r="H864" s="92"/>
    </row>
    <row r="865" spans="4:8" ht="15.75">
      <c r="D865" s="92"/>
      <c r="E865" s="92"/>
      <c r="F865" s="92"/>
      <c r="G865" s="92"/>
      <c r="H865" s="92"/>
    </row>
    <row r="866" spans="4:8" ht="15.75">
      <c r="D866" s="92"/>
      <c r="E866" s="92"/>
      <c r="F866" s="92"/>
      <c r="G866" s="92"/>
      <c r="H866" s="92"/>
    </row>
    <row r="867" spans="4:8" ht="15.75">
      <c r="D867" s="92"/>
      <c r="E867" s="92"/>
      <c r="F867" s="92"/>
      <c r="G867" s="92"/>
      <c r="H867" s="92"/>
    </row>
    <row r="868" spans="4:8" ht="15.75">
      <c r="D868" s="92"/>
      <c r="E868" s="92"/>
      <c r="F868" s="92"/>
      <c r="G868" s="92"/>
      <c r="H868" s="92"/>
    </row>
    <row r="869" spans="4:8" ht="15.75">
      <c r="D869" s="92"/>
      <c r="E869" s="92"/>
      <c r="F869" s="92"/>
      <c r="G869" s="92"/>
      <c r="H869" s="92"/>
    </row>
    <row r="870" spans="4:8" ht="15.75">
      <c r="D870" s="92"/>
      <c r="E870" s="92"/>
      <c r="F870" s="92"/>
      <c r="G870" s="92"/>
      <c r="H870" s="92"/>
    </row>
    <row r="871" spans="4:8" ht="15.75">
      <c r="D871" s="92"/>
      <c r="E871" s="92"/>
      <c r="F871" s="92"/>
      <c r="G871" s="92"/>
      <c r="H871" s="92"/>
    </row>
    <row r="872" spans="4:8" ht="15.75">
      <c r="D872" s="92"/>
      <c r="E872" s="92"/>
      <c r="F872" s="92"/>
      <c r="G872" s="92"/>
      <c r="H872" s="92"/>
    </row>
    <row r="873" spans="4:8" ht="15.75">
      <c r="D873" s="92"/>
      <c r="E873" s="92"/>
      <c r="F873" s="92"/>
      <c r="G873" s="92"/>
      <c r="H873" s="92"/>
    </row>
    <row r="874" spans="4:8" ht="15.75">
      <c r="D874" s="92"/>
      <c r="E874" s="92"/>
      <c r="F874" s="92"/>
      <c r="G874" s="92"/>
      <c r="H874" s="92"/>
    </row>
    <row r="875" spans="4:8" ht="15.75">
      <c r="D875" s="92"/>
      <c r="E875" s="92"/>
      <c r="F875" s="92"/>
      <c r="G875" s="92"/>
      <c r="H875" s="92"/>
    </row>
    <row r="876" spans="4:8" ht="15.75">
      <c r="D876" s="92"/>
      <c r="E876" s="92"/>
      <c r="F876" s="92"/>
      <c r="G876" s="92"/>
      <c r="H876" s="92"/>
    </row>
    <row r="877" spans="4:8" ht="15.75">
      <c r="D877" s="92"/>
      <c r="E877" s="92"/>
      <c r="F877" s="92"/>
      <c r="G877" s="92"/>
      <c r="H877" s="92"/>
    </row>
    <row r="878" spans="4:8" ht="15.75">
      <c r="D878" s="92"/>
      <c r="E878" s="92"/>
      <c r="F878" s="92"/>
      <c r="G878" s="92"/>
      <c r="H878" s="92"/>
    </row>
    <row r="879" spans="4:8" ht="15.75">
      <c r="D879" s="92"/>
      <c r="E879" s="92"/>
      <c r="F879" s="92"/>
      <c r="G879" s="92"/>
      <c r="H879" s="92"/>
    </row>
    <row r="880" spans="4:8" ht="15.75">
      <c r="D880" s="92"/>
      <c r="E880" s="92"/>
      <c r="F880" s="92"/>
      <c r="G880" s="92"/>
      <c r="H880" s="92"/>
    </row>
    <row r="881" spans="4:8" ht="15.75">
      <c r="D881" s="92"/>
      <c r="E881" s="92"/>
      <c r="F881" s="92"/>
      <c r="G881" s="92"/>
      <c r="H881" s="92"/>
    </row>
    <row r="882" spans="4:8" ht="15.75">
      <c r="D882" s="92"/>
      <c r="E882" s="92"/>
      <c r="F882" s="92"/>
      <c r="G882" s="92"/>
      <c r="H882" s="92"/>
    </row>
    <row r="883" spans="4:8" ht="15.75">
      <c r="D883" s="92"/>
      <c r="E883" s="92"/>
      <c r="F883" s="92"/>
      <c r="G883" s="92"/>
      <c r="H883" s="92"/>
    </row>
    <row r="884" spans="4:8" ht="15.75">
      <c r="D884" s="92"/>
      <c r="E884" s="92"/>
      <c r="F884" s="92"/>
      <c r="G884" s="92"/>
      <c r="H884" s="92"/>
    </row>
    <row r="885" spans="4:8" ht="15.75">
      <c r="D885" s="92"/>
      <c r="E885" s="92"/>
      <c r="F885" s="92"/>
      <c r="G885" s="92"/>
      <c r="H885" s="92"/>
    </row>
    <row r="886" spans="4:8" ht="15.75">
      <c r="D886" s="92"/>
      <c r="E886" s="92"/>
      <c r="F886" s="92"/>
      <c r="G886" s="92"/>
      <c r="H886" s="92"/>
    </row>
    <row r="887" spans="4:8" ht="15.75">
      <c r="D887" s="92"/>
      <c r="E887" s="92"/>
      <c r="F887" s="92"/>
      <c r="G887" s="92"/>
      <c r="H887" s="92"/>
    </row>
    <row r="888" spans="4:8" ht="15.75">
      <c r="D888" s="92"/>
      <c r="E888" s="92"/>
      <c r="F888" s="92"/>
      <c r="G888" s="92"/>
      <c r="H888" s="92"/>
    </row>
    <row r="889" spans="4:8" ht="15.75">
      <c r="D889" s="92"/>
      <c r="E889" s="92"/>
      <c r="F889" s="92"/>
      <c r="G889" s="92"/>
      <c r="H889" s="92"/>
    </row>
    <row r="890" spans="4:8" ht="15.75">
      <c r="D890" s="92"/>
      <c r="E890" s="92"/>
      <c r="F890" s="92"/>
      <c r="G890" s="92"/>
      <c r="H890" s="92"/>
    </row>
    <row r="891" spans="4:8" ht="15.75">
      <c r="D891" s="92"/>
      <c r="E891" s="92"/>
      <c r="F891" s="92"/>
      <c r="G891" s="92"/>
      <c r="H891" s="92"/>
    </row>
    <row r="892" spans="4:8" ht="15.75">
      <c r="D892" s="92"/>
      <c r="E892" s="92"/>
      <c r="F892" s="92"/>
      <c r="G892" s="92"/>
      <c r="H892" s="92"/>
    </row>
    <row r="893" spans="4:8" ht="15.75">
      <c r="D893" s="92"/>
      <c r="E893" s="92"/>
      <c r="F893" s="92"/>
      <c r="G893" s="92"/>
      <c r="H893" s="92"/>
    </row>
    <row r="894" spans="4:8" ht="15.75">
      <c r="D894" s="92"/>
      <c r="E894" s="92"/>
      <c r="F894" s="92"/>
      <c r="G894" s="92"/>
      <c r="H894" s="92"/>
    </row>
    <row r="895" spans="4:8" ht="15.75">
      <c r="D895" s="92"/>
      <c r="E895" s="92"/>
      <c r="F895" s="92"/>
      <c r="G895" s="92"/>
      <c r="H895" s="92"/>
    </row>
    <row r="896" spans="4:8" ht="15.75">
      <c r="D896" s="92"/>
      <c r="E896" s="92"/>
      <c r="F896" s="92"/>
      <c r="G896" s="92"/>
      <c r="H896" s="92"/>
    </row>
    <row r="897" spans="4:8" ht="15.75">
      <c r="D897" s="92"/>
      <c r="E897" s="92"/>
      <c r="F897" s="92"/>
      <c r="G897" s="92"/>
      <c r="H897" s="92"/>
    </row>
    <row r="898" spans="4:8" ht="15.75">
      <c r="D898" s="92"/>
      <c r="E898" s="92"/>
      <c r="F898" s="92"/>
      <c r="G898" s="92"/>
      <c r="H898" s="92"/>
    </row>
    <row r="899" spans="4:8" ht="15.75">
      <c r="D899" s="92"/>
      <c r="E899" s="92"/>
      <c r="F899" s="92"/>
      <c r="G899" s="92"/>
      <c r="H899" s="92"/>
    </row>
    <row r="900" spans="4:8" ht="15.75">
      <c r="D900" s="92"/>
      <c r="E900" s="92"/>
      <c r="F900" s="92"/>
      <c r="G900" s="92"/>
      <c r="H900" s="92"/>
    </row>
    <row r="901" spans="4:8" ht="15.75">
      <c r="D901" s="92"/>
      <c r="E901" s="92"/>
      <c r="F901" s="92"/>
      <c r="G901" s="92"/>
      <c r="H901" s="92"/>
    </row>
    <row r="902" spans="4:8" ht="15.75">
      <c r="D902" s="92"/>
      <c r="E902" s="92"/>
      <c r="F902" s="92"/>
      <c r="G902" s="92"/>
      <c r="H902" s="92"/>
    </row>
    <row r="903" spans="4:8" ht="15.75">
      <c r="D903" s="92"/>
      <c r="E903" s="92"/>
      <c r="F903" s="92"/>
      <c r="G903" s="92"/>
      <c r="H903" s="92"/>
    </row>
    <row r="904" spans="4:8" ht="15.75">
      <c r="D904" s="92"/>
      <c r="E904" s="92"/>
      <c r="F904" s="92"/>
      <c r="G904" s="92"/>
      <c r="H904" s="92"/>
    </row>
    <row r="905" spans="4:8" ht="15.75">
      <c r="D905" s="92"/>
      <c r="E905" s="92"/>
      <c r="F905" s="92"/>
      <c r="G905" s="92"/>
      <c r="H905" s="92"/>
    </row>
    <row r="906" spans="4:8" ht="15.75">
      <c r="D906" s="92"/>
      <c r="E906" s="92"/>
      <c r="F906" s="92"/>
      <c r="G906" s="92"/>
      <c r="H906" s="92"/>
    </row>
    <row r="907" spans="4:8" ht="15.75">
      <c r="D907" s="92"/>
      <c r="E907" s="92"/>
      <c r="F907" s="92"/>
      <c r="G907" s="92"/>
      <c r="H907" s="92"/>
    </row>
    <row r="908" spans="4:8" ht="15.75">
      <c r="D908" s="92"/>
      <c r="E908" s="92"/>
      <c r="F908" s="92"/>
      <c r="G908" s="92"/>
      <c r="H908" s="92"/>
    </row>
    <row r="909" spans="4:8" ht="15.75">
      <c r="D909" s="92"/>
      <c r="E909" s="92"/>
      <c r="F909" s="92"/>
      <c r="G909" s="92"/>
      <c r="H909" s="92"/>
    </row>
    <row r="910" spans="4:8" ht="15.75">
      <c r="D910" s="92"/>
      <c r="E910" s="92"/>
      <c r="F910" s="92"/>
      <c r="G910" s="92"/>
      <c r="H910" s="92"/>
    </row>
    <row r="911" spans="4:8" ht="15.75">
      <c r="D911" s="92"/>
      <c r="E911" s="92"/>
      <c r="F911" s="92"/>
      <c r="G911" s="92"/>
      <c r="H911" s="92"/>
    </row>
    <row r="912" spans="4:8" ht="15.75">
      <c r="D912" s="92"/>
      <c r="E912" s="92"/>
      <c r="F912" s="92"/>
      <c r="G912" s="92"/>
      <c r="H912" s="92"/>
    </row>
    <row r="913" spans="4:8" ht="15.75">
      <c r="D913" s="92"/>
      <c r="E913" s="92"/>
      <c r="F913" s="92"/>
      <c r="G913" s="92"/>
      <c r="H913" s="92"/>
    </row>
    <row r="914" spans="4:8" ht="15.75">
      <c r="D914" s="92"/>
      <c r="E914" s="92"/>
      <c r="F914" s="92"/>
      <c r="G914" s="92"/>
      <c r="H914" s="92"/>
    </row>
    <row r="915" spans="4:8" ht="15.75">
      <c r="D915" s="92"/>
      <c r="E915" s="92"/>
      <c r="F915" s="92"/>
      <c r="G915" s="92"/>
      <c r="H915" s="92"/>
    </row>
    <row r="916" spans="4:8" ht="15.75">
      <c r="D916" s="92"/>
      <c r="E916" s="92"/>
      <c r="F916" s="92"/>
      <c r="G916" s="92"/>
      <c r="H916" s="92"/>
    </row>
    <row r="917" spans="4:8" ht="15.75">
      <c r="D917" s="92"/>
      <c r="E917" s="92"/>
      <c r="F917" s="92"/>
      <c r="G917" s="92"/>
      <c r="H917" s="92"/>
    </row>
    <row r="918" spans="4:8" ht="15.75">
      <c r="D918" s="92"/>
      <c r="E918" s="92"/>
      <c r="F918" s="92"/>
      <c r="G918" s="92"/>
      <c r="H918" s="92"/>
    </row>
    <row r="919" spans="4:8" ht="15.75">
      <c r="D919" s="92"/>
      <c r="E919" s="92"/>
      <c r="F919" s="92"/>
      <c r="G919" s="92"/>
      <c r="H919" s="92"/>
    </row>
    <row r="920" spans="4:8" ht="15.75">
      <c r="D920" s="92"/>
      <c r="E920" s="92"/>
      <c r="F920" s="92"/>
      <c r="G920" s="92"/>
      <c r="H920" s="92"/>
    </row>
    <row r="921" spans="4:8" ht="15.75">
      <c r="D921" s="92"/>
      <c r="E921" s="92"/>
      <c r="F921" s="92"/>
      <c r="G921" s="92"/>
      <c r="H921" s="92"/>
    </row>
    <row r="922" spans="4:8" ht="15.75">
      <c r="D922" s="92"/>
      <c r="E922" s="92"/>
      <c r="F922" s="92"/>
      <c r="G922" s="92"/>
      <c r="H922" s="92"/>
    </row>
    <row r="923" spans="4:8" ht="15.75">
      <c r="D923" s="92"/>
      <c r="E923" s="92"/>
      <c r="F923" s="92"/>
      <c r="G923" s="92"/>
      <c r="H923" s="92"/>
    </row>
    <row r="924" spans="4:8" ht="15.75">
      <c r="D924" s="92"/>
      <c r="E924" s="92"/>
      <c r="F924" s="92"/>
      <c r="G924" s="92"/>
      <c r="H924" s="92"/>
    </row>
    <row r="925" spans="4:8" ht="15.75">
      <c r="D925" s="92"/>
      <c r="E925" s="92"/>
      <c r="F925" s="92"/>
      <c r="G925" s="92"/>
      <c r="H925" s="92"/>
    </row>
    <row r="926" spans="4:8" ht="15.75">
      <c r="D926" s="92"/>
      <c r="E926" s="92"/>
      <c r="F926" s="92"/>
      <c r="G926" s="92"/>
      <c r="H926" s="92"/>
    </row>
    <row r="927" spans="4:8" ht="15.75">
      <c r="D927" s="92"/>
      <c r="E927" s="92"/>
      <c r="F927" s="92"/>
      <c r="G927" s="92"/>
      <c r="H927" s="92"/>
    </row>
    <row r="928" spans="4:8" ht="15.75">
      <c r="D928" s="92"/>
      <c r="E928" s="92"/>
      <c r="F928" s="92"/>
      <c r="G928" s="92"/>
      <c r="H928" s="92"/>
    </row>
    <row r="929" spans="4:8" ht="15.75">
      <c r="D929" s="92"/>
      <c r="E929" s="92"/>
      <c r="F929" s="92"/>
      <c r="G929" s="92"/>
      <c r="H929" s="92"/>
    </row>
    <row r="930" spans="4:8" ht="15.75">
      <c r="D930" s="92"/>
      <c r="E930" s="92"/>
      <c r="F930" s="92"/>
      <c r="G930" s="92"/>
      <c r="H930" s="92"/>
    </row>
    <row r="931" spans="4:8" ht="15.75">
      <c r="D931" s="92"/>
      <c r="E931" s="92"/>
      <c r="F931" s="92"/>
      <c r="G931" s="92"/>
      <c r="H931" s="92"/>
    </row>
    <row r="932" spans="4:8" ht="15.75">
      <c r="D932" s="92"/>
      <c r="E932" s="92"/>
      <c r="F932" s="92"/>
      <c r="G932" s="92"/>
      <c r="H932" s="92"/>
    </row>
    <row r="933" spans="4:8" ht="15.75">
      <c r="D933" s="92"/>
      <c r="E933" s="92"/>
      <c r="F933" s="92"/>
      <c r="G933" s="92"/>
      <c r="H933" s="92"/>
    </row>
    <row r="934" spans="4:8" ht="15.75">
      <c r="D934" s="92"/>
      <c r="E934" s="92"/>
      <c r="F934" s="92"/>
      <c r="G934" s="92"/>
      <c r="H934" s="92"/>
    </row>
    <row r="935" spans="4:8" ht="15.75">
      <c r="D935" s="92"/>
      <c r="E935" s="92"/>
      <c r="F935" s="92"/>
      <c r="G935" s="92"/>
      <c r="H935" s="92"/>
    </row>
    <row r="936" spans="4:8" ht="15.75">
      <c r="D936" s="92"/>
      <c r="E936" s="92"/>
      <c r="F936" s="92"/>
      <c r="G936" s="92"/>
      <c r="H936" s="92"/>
    </row>
    <row r="937" spans="4:8" ht="15.75">
      <c r="D937" s="92"/>
      <c r="E937" s="92"/>
      <c r="F937" s="92"/>
      <c r="G937" s="92"/>
      <c r="H937" s="92"/>
    </row>
    <row r="938" spans="4:8" ht="15.75">
      <c r="D938" s="92"/>
      <c r="E938" s="92"/>
      <c r="F938" s="92"/>
      <c r="G938" s="92"/>
      <c r="H938" s="92"/>
    </row>
    <row r="939" spans="4:8" ht="15.75">
      <c r="D939" s="92"/>
      <c r="E939" s="92"/>
      <c r="F939" s="92"/>
      <c r="G939" s="92"/>
      <c r="H939" s="92"/>
    </row>
    <row r="940" spans="4:8" ht="15.75">
      <c r="D940" s="92"/>
      <c r="E940" s="92"/>
      <c r="F940" s="92"/>
      <c r="G940" s="92"/>
      <c r="H940" s="92"/>
    </row>
    <row r="941" spans="4:8" ht="15.75">
      <c r="D941" s="92"/>
      <c r="E941" s="92"/>
      <c r="F941" s="92"/>
      <c r="G941" s="92"/>
      <c r="H941" s="92"/>
    </row>
    <row r="942" spans="4:8" ht="15.75">
      <c r="D942" s="92"/>
      <c r="E942" s="92"/>
      <c r="F942" s="92"/>
      <c r="G942" s="92"/>
      <c r="H942" s="92"/>
    </row>
    <row r="943" spans="4:8" ht="15.75">
      <c r="D943" s="92"/>
      <c r="E943" s="92"/>
      <c r="F943" s="92"/>
      <c r="G943" s="92"/>
      <c r="H943" s="92"/>
    </row>
    <row r="944" spans="4:8" ht="15.75">
      <c r="D944" s="92"/>
      <c r="E944" s="92"/>
      <c r="F944" s="92"/>
      <c r="G944" s="92"/>
      <c r="H944" s="92"/>
    </row>
    <row r="945" spans="4:8" ht="15.75">
      <c r="D945" s="92"/>
      <c r="E945" s="92"/>
      <c r="F945" s="92"/>
      <c r="G945" s="92"/>
      <c r="H945" s="92"/>
    </row>
    <row r="946" spans="4:8" ht="15.75">
      <c r="D946" s="92"/>
      <c r="E946" s="92"/>
      <c r="F946" s="92"/>
      <c r="G946" s="92"/>
      <c r="H946" s="92"/>
    </row>
    <row r="947" spans="4:8" ht="15.75">
      <c r="D947" s="92"/>
      <c r="E947" s="92"/>
      <c r="F947" s="92"/>
      <c r="G947" s="92"/>
      <c r="H947" s="92"/>
    </row>
    <row r="948" spans="4:8" ht="15.75">
      <c r="D948" s="92"/>
      <c r="E948" s="92"/>
      <c r="F948" s="92"/>
      <c r="G948" s="92"/>
      <c r="H948" s="92"/>
    </row>
    <row r="949" spans="4:8" ht="15.75">
      <c r="D949" s="92"/>
      <c r="E949" s="92"/>
      <c r="F949" s="92"/>
      <c r="G949" s="92"/>
      <c r="H949" s="92"/>
    </row>
    <row r="950" spans="4:8" ht="15.75">
      <c r="D950" s="92"/>
      <c r="E950" s="92"/>
      <c r="F950" s="92"/>
      <c r="G950" s="92"/>
      <c r="H950" s="92"/>
    </row>
    <row r="951" spans="4:8" ht="15.75">
      <c r="D951" s="92"/>
      <c r="E951" s="92"/>
      <c r="F951" s="92"/>
      <c r="G951" s="92"/>
      <c r="H951" s="92"/>
    </row>
    <row r="952" spans="4:8" ht="15.75">
      <c r="D952" s="92"/>
      <c r="E952" s="92"/>
      <c r="F952" s="92"/>
      <c r="G952" s="92"/>
      <c r="H952" s="92"/>
    </row>
    <row r="953" spans="4:8" ht="15.75">
      <c r="D953" s="92"/>
      <c r="E953" s="92"/>
      <c r="F953" s="92"/>
      <c r="G953" s="92"/>
      <c r="H953" s="92"/>
    </row>
    <row r="954" spans="4:8" ht="15.75">
      <c r="D954" s="92"/>
      <c r="E954" s="92"/>
      <c r="F954" s="92"/>
      <c r="G954" s="92"/>
      <c r="H954" s="92"/>
    </row>
    <row r="955" spans="4:8" ht="15.75">
      <c r="D955" s="92"/>
      <c r="E955" s="92"/>
      <c r="F955" s="92"/>
      <c r="G955" s="92"/>
      <c r="H955" s="92"/>
    </row>
    <row r="956" spans="4:8" ht="15.75">
      <c r="D956" s="92"/>
      <c r="E956" s="92"/>
      <c r="F956" s="92"/>
      <c r="G956" s="92"/>
      <c r="H956" s="92"/>
    </row>
    <row r="957" spans="4:8" ht="15.75">
      <c r="D957" s="92"/>
      <c r="E957" s="92"/>
      <c r="F957" s="92"/>
      <c r="G957" s="92"/>
      <c r="H957" s="92"/>
    </row>
    <row r="958" spans="4:8" ht="15.75">
      <c r="D958" s="92"/>
      <c r="E958" s="92"/>
      <c r="F958" s="92"/>
      <c r="G958" s="92"/>
      <c r="H958" s="92"/>
    </row>
    <row r="959" spans="4:8" ht="15.75">
      <c r="D959" s="92"/>
      <c r="E959" s="92"/>
      <c r="F959" s="92"/>
      <c r="G959" s="92"/>
      <c r="H959" s="92"/>
    </row>
  </sheetData>
  <mergeCells count="33">
    <mergeCell ref="D4:H4"/>
    <mergeCell ref="D5:H5"/>
    <mergeCell ref="D6:H6"/>
    <mergeCell ref="D7:H7"/>
    <mergeCell ref="D13:H13"/>
    <mergeCell ref="D14:H14"/>
    <mergeCell ref="D15:H15"/>
    <mergeCell ref="B21:B22"/>
    <mergeCell ref="B23:B24"/>
    <mergeCell ref="B25:B28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27:H27"/>
    <mergeCell ref="D28:H28"/>
    <mergeCell ref="D29:H29"/>
    <mergeCell ref="D132:G132"/>
    <mergeCell ref="D133:G133"/>
    <mergeCell ref="D30:H30"/>
    <mergeCell ref="D127:G127"/>
    <mergeCell ref="I127:R127"/>
    <mergeCell ref="D128:G128"/>
    <mergeCell ref="D129:G129"/>
    <mergeCell ref="D130:G130"/>
    <mergeCell ref="D131:G131"/>
  </mergeCells>
  <dataValidations count="13">
    <dataValidation type="list" allowBlank="1" showErrorMessage="1" sqref="D21">
      <formula1>#REF!</formula1>
    </dataValidation>
    <dataValidation type="list" allowBlank="1" showErrorMessage="1" sqref="D18">
      <formula1>#REF!</formula1>
    </dataValidation>
    <dataValidation type="list" allowBlank="1" showErrorMessage="1" sqref="D22">
      <formula1>#REF!</formula1>
    </dataValidation>
    <dataValidation type="list" allowBlank="1" showErrorMessage="1" sqref="D17">
      <formula1>#REF!</formula1>
    </dataValidation>
    <dataValidation type="list" allowBlank="1" showErrorMessage="1" sqref="B35 D129">
      <formula1>#REF!</formula1>
    </dataValidation>
    <dataValidation type="list" allowBlank="1" showErrorMessage="1" sqref="D15">
      <formula1>#REF!</formula1>
    </dataValidation>
    <dataValidation type="list" allowBlank="1" showErrorMessage="1" sqref="B53 B55 B58">
      <formula1>#REF!</formula1>
    </dataValidation>
    <dataValidation type="list" allowBlank="1" showErrorMessage="1" sqref="D14">
      <formula1>#REF!</formula1>
    </dataValidation>
    <dataValidation type="list" allowBlank="1" showErrorMessage="1" sqref="D131">
      <formula1>#REF!</formula1>
    </dataValidation>
    <dataValidation type="list" allowBlank="1" showErrorMessage="1" sqref="D128">
      <formula1>#REF!</formula1>
    </dataValidation>
    <dataValidation type="list" allowBlank="1" showErrorMessage="1" sqref="D127">
      <formula1>#REF!</formula1>
    </dataValidation>
    <dataValidation type="list" allowBlank="1" showErrorMessage="1" sqref="D20">
      <formula1>#REF!</formula1>
    </dataValidation>
    <dataValidation type="list" allowBlank="1" showErrorMessage="1" sqref="D16">
      <formula1>#REF!</formula1>
    </dataValidation>
  </dataValidations>
  <printOptions gridLines="1"/>
  <pageMargins left="0.31496062992125984" right="0.31496062992125984" top="0" bottom="0.74803149606299213" header="0" footer="0"/>
  <pageSetup paperSize="5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1000"/>
  <sheetViews>
    <sheetView workbookViewId="0"/>
  </sheetViews>
  <sheetFormatPr baseColWidth="10" defaultColWidth="14.42578125" defaultRowHeight="15" customHeight="1"/>
  <cols>
    <col min="2" max="2" width="52" customWidth="1"/>
    <col min="11" max="12" width="8.140625" customWidth="1"/>
  </cols>
  <sheetData>
    <row r="1" spans="1:14">
      <c r="A1" s="99" t="str">
        <f ca="1">IFERROR(__xludf.DUMMYFUNCTION("query(MIR!C32:AF60,""SELECT C,D,M,V,W,X,AF,O"",1)"),"RESUMEN NARRATIVO")</f>
        <v>RESUMEN NARRATIVO</v>
      </c>
      <c r="B1" s="100" t="str">
        <f ca="1">IFERROR(__xludf.DUMMYFUNCTION("""COMPUTED_VALUE"""),"OBJETIVOS DE RESULTADO")</f>
        <v>OBJETIVOS DE RESULTADO</v>
      </c>
      <c r="C1" s="42" t="str">
        <f ca="1">IFERROR(__xludf.DUMMYFUNCTION("""COMPUTED_VALUE"""),"UNIDAD DE MEDIDA")</f>
        <v>UNIDAD DE MEDIDA</v>
      </c>
      <c r="D1" s="42" t="str">
        <f ca="1">IFERROR(__xludf.DUMMYFUNCTION("""COMPUTED_VALUE"""),"ABRIL")</f>
        <v>ABRIL</v>
      </c>
      <c r="E1" s="42" t="str">
        <f ca="1">IFERROR(__xludf.DUMMYFUNCTION("""COMPUTED_VALUE"""),"MAYO")</f>
        <v>MAYO</v>
      </c>
      <c r="F1" s="42" t="str">
        <f ca="1">IFERROR(__xludf.DUMMYFUNCTION("""COMPUTED_VALUE"""),"JUNIO")</f>
        <v>JUNIO</v>
      </c>
      <c r="G1" s="42" t="str">
        <f ca="1">IFERROR(__xludf.DUMMYFUNCTION("""COMPUTED_VALUE"""),"Meta alcanzada")</f>
        <v>Meta alcanzada</v>
      </c>
      <c r="H1" s="42" t="str">
        <f ca="1">IFERROR(__xludf.DUMMYFUNCTION("""COMPUTED_VALUE"""),"META PROGRAMADA")</f>
        <v>META PROGRAMADA</v>
      </c>
      <c r="I1" s="101" t="s">
        <v>360</v>
      </c>
      <c r="J1" s="102" t="s">
        <v>361</v>
      </c>
      <c r="K1" s="103" t="s">
        <v>362</v>
      </c>
      <c r="L1" s="103" t="s">
        <v>363</v>
      </c>
      <c r="M1" s="102" t="s">
        <v>364</v>
      </c>
    </row>
    <row r="2" spans="1:14">
      <c r="A2" s="42" t="str">
        <f ca="1">IFERROR(__xludf.DUMMYFUNCTION("""COMPUTED_VALUE"""),"FIN")</f>
        <v>FIN</v>
      </c>
      <c r="B2" s="100" t="str">
        <f ca="1">IFERROR(__xludf.DUMMYFUNCTION("""COMPUTED_VALUE"""),"Contribuir a la restitución de derechos a personas y grupos en condición de vulnerabilidad, mediante servicios de salud, nutrición, psicológicos, de habilidades para el trabajo, educación y atención y prevención a las violencias en Guadalajara en el 2023."&amp;" ")</f>
        <v xml:space="preserve">Contribuir a la restitución de derechos a personas y grupos en condición de vulnerabilidad, mediante servicios de salud, nutrición, psicológicos, de habilidades para el trabajo, educación y atención y prevención a las violencias en Guadalajara en el 2023. </v>
      </c>
      <c r="C2" s="42" t="str">
        <f ca="1">IFERROR(__xludf.DUMMYFUNCTION("""COMPUTED_VALUE"""),"Porcentaje ")</f>
        <v xml:space="preserve">Porcentaje </v>
      </c>
      <c r="D2" s="42"/>
      <c r="E2" s="42"/>
      <c r="F2" s="42"/>
      <c r="G2" s="42" t="str">
        <f ca="1">IFERROR(__xludf.DUMMYFUNCTION("""COMPUTED_VALUE"""),"100.59%")</f>
        <v>100.59%</v>
      </c>
      <c r="H2" s="98">
        <f ca="1">IFERROR(__xludf.DUMMYFUNCTION("""COMPUTED_VALUE"""),37931)</f>
        <v>37931</v>
      </c>
      <c r="I2" s="104">
        <f t="shared" ref="I2:I29" si="0">SUM($D2:$F2)</f>
        <v>0</v>
      </c>
      <c r="J2" s="105">
        <f t="shared" ref="J2:J15" ca="1" si="1">I2/H2</f>
        <v>0</v>
      </c>
      <c r="M2" s="42" t="b">
        <v>0</v>
      </c>
    </row>
    <row r="3" spans="1:14">
      <c r="A3" s="42" t="str">
        <f ca="1">IFERROR(__xludf.DUMMYFUNCTION("""COMPUTED_VALUE"""),"PROPÓSITO")</f>
        <v>PROPÓSITO</v>
      </c>
      <c r="B3" s="100" t="str">
        <f ca="1">IFERROR(__xludf.DUMMYFUNCTION("""COMPUTED_VALUE"""),"La población de Guadalajara accede a servicios asistenciales y a bajo costo para disminuir los riesgos psicosociales a través de los programas del eje de Guadalajara en Paz del Sistema DIF Guadalajara en el 2023")</f>
        <v>La población de Guadalajara accede a servicios asistenciales y a bajo costo para disminuir los riesgos psicosociales a través de los programas del eje de Guadalajara en Paz del Sistema DIF Guadalajara en el 2023</v>
      </c>
      <c r="C3" s="42" t="str">
        <f ca="1">IFERROR(__xludf.DUMMYFUNCTION("""COMPUTED_VALUE"""),"Porcentaje ")</f>
        <v xml:space="preserve">Porcentaje </v>
      </c>
      <c r="D3" s="42"/>
      <c r="E3" s="42"/>
      <c r="F3" s="42"/>
      <c r="G3" s="42" t="str">
        <f ca="1">IFERROR(__xludf.DUMMYFUNCTION("""COMPUTED_VALUE"""),"75.29%")</f>
        <v>75.29%</v>
      </c>
      <c r="H3" s="98">
        <f ca="1">IFERROR(__xludf.DUMMYFUNCTION("""COMPUTED_VALUE"""),1505457)</f>
        <v>1505457</v>
      </c>
      <c r="I3" s="104">
        <f t="shared" si="0"/>
        <v>0</v>
      </c>
      <c r="J3" s="105">
        <f t="shared" ca="1" si="1"/>
        <v>0</v>
      </c>
      <c r="M3" s="42" t="b">
        <v>0</v>
      </c>
    </row>
    <row r="4" spans="1:14">
      <c r="A4" s="42" t="str">
        <f ca="1">IFERROR(__xludf.DUMMYFUNCTION("""COMPUTED_VALUE"""),"COMPONENTE 1")</f>
        <v>COMPONENTE 1</v>
      </c>
      <c r="B4" s="100" t="str">
        <f ca="1">IFERROR(__xludf.DUMMYFUNCTION("""COMPUTED_VALUE"""),"C1. Servicios de reconstrucción del tejido social brindados en los Centros de Desarrollo Comunitario a grupos en condición de vulnerabilidad en 2023")</f>
        <v>C1. Servicios de reconstrucción del tejido social brindados en los Centros de Desarrollo Comunitario a grupos en condición de vulnerabilidad en 2023</v>
      </c>
      <c r="C4" s="42" t="str">
        <f ca="1">IFERROR(__xludf.DUMMYFUNCTION("""COMPUTED_VALUE"""),"Porcentaje")</f>
        <v>Porcentaje</v>
      </c>
      <c r="D4" s="42"/>
      <c r="E4" s="42"/>
      <c r="F4" s="42"/>
      <c r="G4" s="42" t="str">
        <f ca="1">IFERROR(__xludf.DUMMYFUNCTION("""COMPUTED_VALUE"""),"33.33%")</f>
        <v>33.33%</v>
      </c>
      <c r="H4" s="98">
        <f ca="1">IFERROR(__xludf.DUMMYFUNCTION("""COMPUTED_VALUE"""),9)</f>
        <v>9</v>
      </c>
      <c r="I4" s="104">
        <f t="shared" si="0"/>
        <v>0</v>
      </c>
      <c r="J4" s="105">
        <f t="shared" ca="1" si="1"/>
        <v>0</v>
      </c>
      <c r="M4" s="23" t="b">
        <v>1</v>
      </c>
    </row>
    <row r="5" spans="1:14">
      <c r="A5" s="42" t="str">
        <f ca="1">IFERROR(__xludf.DUMMYFUNCTION("""COMPUTED_VALUE"""),"ACTIVIDAD 1.1")</f>
        <v>ACTIVIDAD 1.1</v>
      </c>
      <c r="B5" s="100" t="str">
        <f ca="1">IFERROR(__xludf.DUMMYFUNCTION("""COMPUTED_VALUE"""),"Apoyos asistenciales entregados a la población vulnerable que radica en la municipalidad de Guadalajara y en tránsito en el programa de Trabajo Social Asistencial durante el 2023")</f>
        <v>Apoyos asistenciales entregados a la población vulnerable que radica en la municipalidad de Guadalajara y en tránsito en el programa de Trabajo Social Asistencial durante el 2023</v>
      </c>
      <c r="C5" s="42" t="str">
        <f ca="1">IFERROR(__xludf.DUMMYFUNCTION("""COMPUTED_VALUE"""),"Porcentaje")</f>
        <v>Porcentaje</v>
      </c>
      <c r="D5" s="42">
        <f ca="1">IFERROR(__xludf.DUMMYFUNCTION("""COMPUTED_VALUE"""),1019)</f>
        <v>1019</v>
      </c>
      <c r="E5" s="42">
        <f ca="1">IFERROR(__xludf.DUMMYFUNCTION("""COMPUTED_VALUE"""),729)</f>
        <v>729</v>
      </c>
      <c r="F5" s="42">
        <f ca="1">IFERROR(__xludf.DUMMYFUNCTION("""COMPUTED_VALUE"""),352)</f>
        <v>352</v>
      </c>
      <c r="G5" s="42" t="str">
        <f ca="1">IFERROR(__xludf.DUMMYFUNCTION("""COMPUTED_VALUE"""),"69.6%")</f>
        <v>69.6%</v>
      </c>
      <c r="H5" s="98">
        <f ca="1">IFERROR(__xludf.DUMMYFUNCTION("""COMPUTED_VALUE"""),7450)</f>
        <v>7450</v>
      </c>
      <c r="I5" s="104">
        <f t="shared" ca="1" si="0"/>
        <v>2100</v>
      </c>
      <c r="J5" s="105">
        <f t="shared" ca="1" si="1"/>
        <v>0.28187919463087246</v>
      </c>
      <c r="M5" s="23" t="b">
        <v>1</v>
      </c>
    </row>
    <row r="6" spans="1:14">
      <c r="A6" s="42" t="str">
        <f ca="1">IFERROR(__xludf.DUMMYFUNCTION("""COMPUTED_VALUE"""),"ACTIVIDAD 1.2")</f>
        <v>ACTIVIDAD 1.2</v>
      </c>
      <c r="B6" s="100" t="str">
        <f ca="1">IFERROR(__xludf.DUMMYFUNCTION("""COMPUTED_VALUE"""),"Expedientes integrados para la atención a la población vulnerable de Guadalajara durante el 2023")</f>
        <v>Expedientes integrados para la atención a la población vulnerable de Guadalajara durante el 2023</v>
      </c>
      <c r="C6" s="42" t="str">
        <f ca="1">IFERROR(__xludf.DUMMYFUNCTION("""COMPUTED_VALUE"""),"Porcentaje")</f>
        <v>Porcentaje</v>
      </c>
      <c r="D6" s="42">
        <f ca="1">IFERROR(__xludf.DUMMYFUNCTION("""COMPUTED_VALUE"""),13)</f>
        <v>13</v>
      </c>
      <c r="E6" s="42">
        <f ca="1">IFERROR(__xludf.DUMMYFUNCTION("""COMPUTED_VALUE"""),46)</f>
        <v>46</v>
      </c>
      <c r="F6" s="42">
        <f ca="1">IFERROR(__xludf.DUMMYFUNCTION("""COMPUTED_VALUE"""),44)</f>
        <v>44</v>
      </c>
      <c r="G6" s="42" t="str">
        <f ca="1">IFERROR(__xludf.DUMMYFUNCTION("""COMPUTED_VALUE"""),"231.3%")</f>
        <v>231.3%</v>
      </c>
      <c r="H6" s="98">
        <f ca="1">IFERROR(__xludf.DUMMYFUNCTION("""COMPUTED_VALUE"""),640)</f>
        <v>640</v>
      </c>
      <c r="I6" s="104">
        <f t="shared" ca="1" si="0"/>
        <v>103</v>
      </c>
      <c r="J6" s="105">
        <f t="shared" ca="1" si="1"/>
        <v>0.16093750000000001</v>
      </c>
      <c r="M6" s="23" t="b">
        <v>1</v>
      </c>
    </row>
    <row r="7" spans="1:14">
      <c r="A7" s="42" t="str">
        <f ca="1">IFERROR(__xludf.DUMMYFUNCTION("""COMPUTED_VALUE"""),"ACTIVIDAD 1.3")</f>
        <v>ACTIVIDAD 1.3</v>
      </c>
      <c r="B7" s="100" t="str">
        <f ca="1">IFERROR(__xludf.DUMMYFUNCTION("""COMPUTED_VALUE"""),"Servicios médicos de atención y prevención de primer nivel brindados, durante el 2023")</f>
        <v>Servicios médicos de atención y prevención de primer nivel brindados, durante el 2023</v>
      </c>
      <c r="C7" s="42" t="str">
        <f ca="1">IFERROR(__xludf.DUMMYFUNCTION("""COMPUTED_VALUE"""),"Porcentaje")</f>
        <v>Porcentaje</v>
      </c>
      <c r="D7" s="42">
        <f ca="1">IFERROR(__xludf.DUMMYFUNCTION("""COMPUTED_VALUE"""),667)</f>
        <v>667</v>
      </c>
      <c r="E7" s="42">
        <f ca="1">IFERROR(__xludf.DUMMYFUNCTION("""COMPUTED_VALUE"""),916)</f>
        <v>916</v>
      </c>
      <c r="F7" s="42">
        <f ca="1">IFERROR(__xludf.DUMMYFUNCTION("""COMPUTED_VALUE"""),981)</f>
        <v>981</v>
      </c>
      <c r="G7" s="42" t="str">
        <f ca="1">IFERROR(__xludf.DUMMYFUNCTION("""COMPUTED_VALUE"""),"180.9%")</f>
        <v>180.9%</v>
      </c>
      <c r="H7" s="98">
        <f ca="1">IFERROR(__xludf.DUMMYFUNCTION("""COMPUTED_VALUE"""),5000)</f>
        <v>5000</v>
      </c>
      <c r="I7" s="104">
        <f t="shared" ca="1" si="0"/>
        <v>2564</v>
      </c>
      <c r="J7" s="105">
        <f t="shared" ca="1" si="1"/>
        <v>0.51280000000000003</v>
      </c>
      <c r="M7" s="23" t="b">
        <v>1</v>
      </c>
      <c r="N7" s="23" t="s">
        <v>365</v>
      </c>
    </row>
    <row r="8" spans="1:14">
      <c r="A8" s="42" t="str">
        <f ca="1">IFERROR(__xludf.DUMMYFUNCTION("""COMPUTED_VALUE"""),"ACTIVIDAD 1.4")</f>
        <v>ACTIVIDAD 1.4</v>
      </c>
      <c r="B8" s="100" t="str">
        <f ca="1">IFERROR(__xludf.DUMMYFUNCTION("""COMPUTED_VALUE"""),"Alimentos nutritivos e inocuos entregados a la población con inseguridad alimentaria en el municipio de Guadalajara, durante el 2023")</f>
        <v>Alimentos nutritivos e inocuos entregados a la población con inseguridad alimentaria en el municipio de Guadalajara, durante el 2023</v>
      </c>
      <c r="C8" s="42" t="str">
        <f ca="1">IFERROR(__xludf.DUMMYFUNCTION("""COMPUTED_VALUE"""),"Porcentaje")</f>
        <v>Porcentaje</v>
      </c>
      <c r="D8" s="42">
        <f ca="1">IFERROR(__xludf.DUMMYFUNCTION("""COMPUTED_VALUE"""),6265)</f>
        <v>6265</v>
      </c>
      <c r="E8" s="42">
        <f ca="1">IFERROR(__xludf.DUMMYFUNCTION("""COMPUTED_VALUE"""),0)</f>
        <v>0</v>
      </c>
      <c r="F8" s="42">
        <f ca="1">IFERROR(__xludf.DUMMYFUNCTION("""COMPUTED_VALUE"""),0)</f>
        <v>0</v>
      </c>
      <c r="G8" s="42" t="str">
        <f ca="1">IFERROR(__xludf.DUMMYFUNCTION("""COMPUTED_VALUE"""),"100%")</f>
        <v>100%</v>
      </c>
      <c r="H8" s="98">
        <f ca="1">IFERROR(__xludf.DUMMYFUNCTION("""COMPUTED_VALUE"""),8791)</f>
        <v>8791</v>
      </c>
      <c r="I8" s="104">
        <f t="shared" ca="1" si="0"/>
        <v>6265</v>
      </c>
      <c r="J8" s="105">
        <f t="shared" ca="1" si="1"/>
        <v>0.71266067569104763</v>
      </c>
      <c r="M8" s="23" t="b">
        <v>1</v>
      </c>
      <c r="N8" s="23" t="s">
        <v>365</v>
      </c>
    </row>
    <row r="9" spans="1:14">
      <c r="A9" s="42" t="str">
        <f ca="1">IFERROR(__xludf.DUMMYFUNCTION("""COMPUTED_VALUE"""),"ACTIVIDAD 1.5")</f>
        <v>ACTIVIDAD 1.5</v>
      </c>
      <c r="B9" s="100" t="str">
        <f ca="1">IFERROR(__xludf.DUMMYFUNCTION("""COMPUTED_VALUE"""),"Apoyos del Programa de Alimentación Escolar entregados en 2023")</f>
        <v>Apoyos del Programa de Alimentación Escolar entregados en 2023</v>
      </c>
      <c r="C9" s="42" t="str">
        <f ca="1">IFERROR(__xludf.DUMMYFUNCTION("""COMPUTED_VALUE"""),"Porcentaje")</f>
        <v>Porcentaje</v>
      </c>
      <c r="D9" s="42">
        <f ca="1">IFERROR(__xludf.DUMMYFUNCTION("""COMPUTED_VALUE"""),338310)</f>
        <v>338310</v>
      </c>
      <c r="E9" s="42">
        <f ca="1">IFERROR(__xludf.DUMMYFUNCTION("""COMPUTED_VALUE"""),175420)</f>
        <v>175420</v>
      </c>
      <c r="F9" s="42">
        <f ca="1">IFERROR(__xludf.DUMMYFUNCTION("""COMPUTED_VALUE"""),162890)</f>
        <v>162890</v>
      </c>
      <c r="G9" s="42" t="str">
        <f ca="1">IFERROR(__xludf.DUMMYFUNCTION("""COMPUTED_VALUE"""),"72.6%")</f>
        <v>72.6%</v>
      </c>
      <c r="H9" s="98">
        <f ca="1">IFERROR(__xludf.DUMMYFUNCTION("""COMPUTED_VALUE"""),1190350)</f>
        <v>1190350</v>
      </c>
      <c r="I9" s="104">
        <f t="shared" ca="1" si="0"/>
        <v>676620</v>
      </c>
      <c r="J9" s="105">
        <f t="shared" ca="1" si="1"/>
        <v>0.56842105263157894</v>
      </c>
      <c r="M9" s="23" t="b">
        <v>1</v>
      </c>
    </row>
    <row r="10" spans="1:14">
      <c r="A10" s="42" t="str">
        <f ca="1">IFERROR(__xludf.DUMMYFUNCTION("""COMPUTED_VALUE"""),"ACTIVIDAD 1.6")</f>
        <v>ACTIVIDAD 1.6</v>
      </c>
      <c r="B10" s="100" t="str">
        <f ca="1">IFERROR(__xludf.DUMMYFUNCTION("""COMPUTED_VALUE"""),"Apoyos del Programa de Atención Alimentaria a Grupos Prioritarios entregados en 2023")</f>
        <v>Apoyos del Programa de Atención Alimentaria a Grupos Prioritarios entregados en 2023</v>
      </c>
      <c r="C10" s="42" t="str">
        <f ca="1">IFERROR(__xludf.DUMMYFUNCTION("""COMPUTED_VALUE"""),"Porcentaje")</f>
        <v>Porcentaje</v>
      </c>
      <c r="D10" s="42">
        <f ca="1">IFERROR(__xludf.DUMMYFUNCTION("""COMPUTED_VALUE"""),0)</f>
        <v>0</v>
      </c>
      <c r="E10" s="42">
        <f ca="1">IFERROR(__xludf.DUMMYFUNCTION("""COMPUTED_VALUE"""),4382)</f>
        <v>4382</v>
      </c>
      <c r="F10" s="42">
        <f ca="1">IFERROR(__xludf.DUMMYFUNCTION("""COMPUTED_VALUE"""),2191)</f>
        <v>2191</v>
      </c>
      <c r="G10" s="42" t="str">
        <f ca="1">IFERROR(__xludf.DUMMYFUNCTION("""COMPUTED_VALUE"""),"85.3%")</f>
        <v>85.3%</v>
      </c>
      <c r="H10" s="98">
        <f ca="1">IFERROR(__xludf.DUMMYFUNCTION("""COMPUTED_VALUE"""),26292)</f>
        <v>26292</v>
      </c>
      <c r="I10" s="104">
        <f t="shared" ca="1" si="0"/>
        <v>6573</v>
      </c>
      <c r="J10" s="105">
        <f t="shared" ca="1" si="1"/>
        <v>0.25</v>
      </c>
      <c r="M10" s="23" t="b">
        <v>1</v>
      </c>
    </row>
    <row r="11" spans="1:14">
      <c r="A11" s="42" t="str">
        <f ca="1">IFERROR(__xludf.DUMMYFUNCTION("""COMPUTED_VALUE"""),"ACTIVIDAD 1.7")</f>
        <v>ACTIVIDAD 1.7</v>
      </c>
      <c r="B11" s="100" t="str">
        <f ca="1">IFERROR(__xludf.DUMMYFUNCTION("""COMPUTED_VALUE"""),"Apoyos del Programa de Atención Alimentaria en los Primeros 1000 Días de Vida entregados en 2023")</f>
        <v>Apoyos del Programa de Atención Alimentaria en los Primeros 1000 Días de Vida entregados en 2023</v>
      </c>
      <c r="C11" s="42" t="str">
        <f ca="1">IFERROR(__xludf.DUMMYFUNCTION("""COMPUTED_VALUE"""),"Porcentaje")</f>
        <v>Porcentaje</v>
      </c>
      <c r="D11" s="42">
        <f ca="1">IFERROR(__xludf.DUMMYFUNCTION("""COMPUTED_VALUE"""),0)</f>
        <v>0</v>
      </c>
      <c r="E11" s="42">
        <f ca="1">IFERROR(__xludf.DUMMYFUNCTION("""COMPUTED_VALUE"""),670)</f>
        <v>670</v>
      </c>
      <c r="F11" s="42">
        <f ca="1">IFERROR(__xludf.DUMMYFUNCTION("""COMPUTED_VALUE"""),335)</f>
        <v>335</v>
      </c>
      <c r="G11" s="42" t="str">
        <f ca="1">IFERROR(__xludf.DUMMYFUNCTION("""COMPUTED_VALUE"""),"83.3%")</f>
        <v>83.3%</v>
      </c>
      <c r="H11" s="98">
        <f ca="1">IFERROR(__xludf.DUMMYFUNCTION("""COMPUTED_VALUE"""),4020)</f>
        <v>4020</v>
      </c>
      <c r="I11" s="104">
        <f t="shared" ca="1" si="0"/>
        <v>1005</v>
      </c>
      <c r="J11" s="105">
        <f t="shared" ca="1" si="1"/>
        <v>0.25</v>
      </c>
      <c r="M11" s="23" t="b">
        <v>1</v>
      </c>
    </row>
    <row r="12" spans="1:14">
      <c r="A12" s="42" t="str">
        <f ca="1">IFERROR(__xludf.DUMMYFUNCTION("""COMPUTED_VALUE"""),"ACTIVIDAD 1.8")</f>
        <v>ACTIVIDAD 1.8</v>
      </c>
      <c r="B12" s="100" t="str">
        <f ca="1">IFERROR(__xludf.DUMMYFUNCTION("""COMPUTED_VALUE"""),"Prácticas de autocuidado, prevención y atención a la salud bucal y maxilofacial a través de los servicios otorgados, durante el 2023")</f>
        <v>Prácticas de autocuidado, prevención y atención a la salud bucal y maxilofacial a través de los servicios otorgados, durante el 2023</v>
      </c>
      <c r="C12" s="42" t="str">
        <f ca="1">IFERROR(__xludf.DUMMYFUNCTION("""COMPUTED_VALUE"""),"Porcentaje")</f>
        <v>Porcentaje</v>
      </c>
      <c r="D12" s="42">
        <f ca="1">IFERROR(__xludf.DUMMYFUNCTION("""COMPUTED_VALUE"""),297)</f>
        <v>297</v>
      </c>
      <c r="E12" s="42">
        <f ca="1">IFERROR(__xludf.DUMMYFUNCTION("""COMPUTED_VALUE"""),556)</f>
        <v>556</v>
      </c>
      <c r="F12" s="42">
        <f ca="1">IFERROR(__xludf.DUMMYFUNCTION("""COMPUTED_VALUE"""),666)</f>
        <v>666</v>
      </c>
      <c r="G12" s="42" t="str">
        <f ca="1">IFERROR(__xludf.DUMMYFUNCTION("""COMPUTED_VALUE"""),"93.2%")</f>
        <v>93.2%</v>
      </c>
      <c r="H12" s="98">
        <f ca="1">IFERROR(__xludf.DUMMYFUNCTION("""COMPUTED_VALUE"""),6000)</f>
        <v>6000</v>
      </c>
      <c r="I12" s="104">
        <f t="shared" ca="1" si="0"/>
        <v>1519</v>
      </c>
      <c r="J12" s="105">
        <f t="shared" ca="1" si="1"/>
        <v>0.25316666666666665</v>
      </c>
      <c r="M12" s="23" t="b">
        <v>1</v>
      </c>
    </row>
    <row r="13" spans="1:14">
      <c r="A13" s="42" t="str">
        <f ca="1">IFERROR(__xludf.DUMMYFUNCTION("""COMPUTED_VALUE"""),"ACTIVIDAD 1.9")</f>
        <v>ACTIVIDAD 1.9</v>
      </c>
      <c r="B13" s="100" t="str">
        <f ca="1">IFERROR(__xludf.DUMMYFUNCTION("""COMPUTED_VALUE"""),"Personas en situación de vulnerabilidad que recibieron atención psicológica en CDC, y CAETF en 2023")</f>
        <v>Personas en situación de vulnerabilidad que recibieron atención psicológica en CDC, y CAETF en 2023</v>
      </c>
      <c r="C13" s="42" t="str">
        <f ca="1">IFERROR(__xludf.DUMMYFUNCTION("""COMPUTED_VALUE"""),"Promedio")</f>
        <v>Promedio</v>
      </c>
      <c r="D13" s="42">
        <f ca="1">IFERROR(__xludf.DUMMYFUNCTION("""COMPUTED_VALUE"""),678)</f>
        <v>678</v>
      </c>
      <c r="E13" s="42">
        <f ca="1">IFERROR(__xludf.DUMMYFUNCTION("""COMPUTED_VALUE"""),878)</f>
        <v>878</v>
      </c>
      <c r="F13" s="42">
        <f ca="1">IFERROR(__xludf.DUMMYFUNCTION("""COMPUTED_VALUE"""),858)</f>
        <v>858</v>
      </c>
      <c r="G13" s="42" t="str">
        <f ca="1">IFERROR(__xludf.DUMMYFUNCTION("""COMPUTED_VALUE"""),"1781.3")</f>
        <v>1781.3</v>
      </c>
      <c r="H13" s="98">
        <f ca="1">IFERROR(__xludf.DUMMYFUNCTION("""COMPUTED_VALUE"""),2550)</f>
        <v>2550</v>
      </c>
      <c r="I13" s="104">
        <f t="shared" ca="1" si="0"/>
        <v>2414</v>
      </c>
      <c r="J13" s="105">
        <f t="shared" ca="1" si="1"/>
        <v>0.94666666666666666</v>
      </c>
      <c r="K13" s="42">
        <f ca="1">I13/4</f>
        <v>603.5</v>
      </c>
      <c r="L13" s="42">
        <f ca="1">I13/3</f>
        <v>804.66666666666663</v>
      </c>
      <c r="M13" s="23" t="b">
        <v>1</v>
      </c>
    </row>
    <row r="14" spans="1:14">
      <c r="A14" s="42" t="str">
        <f ca="1">IFERROR(__xludf.DUMMYFUNCTION("""COMPUTED_VALUE"""),"ACTIVIDAD 1.10")</f>
        <v>ACTIVIDAD 1.10</v>
      </c>
      <c r="B14" s="100" t="str">
        <f ca="1">IFERROR(__xludf.DUMMYFUNCTION("""COMPUTED_VALUE"""),"Sesiones de atención psicológica brindadas en CDC, y CAETF en 2023")</f>
        <v>Sesiones de atención psicológica brindadas en CDC, y CAETF en 2023</v>
      </c>
      <c r="C14" s="42" t="str">
        <f ca="1">IFERROR(__xludf.DUMMYFUNCTION("""COMPUTED_VALUE"""),"Porcentaje")</f>
        <v>Porcentaje</v>
      </c>
      <c r="D14" s="42">
        <f ca="1">IFERROR(__xludf.DUMMYFUNCTION("""COMPUTED_VALUE"""),819)</f>
        <v>819</v>
      </c>
      <c r="E14" s="42">
        <f ca="1">IFERROR(__xludf.DUMMYFUNCTION("""COMPUTED_VALUE"""),1270)</f>
        <v>1270</v>
      </c>
      <c r="F14" s="42">
        <f ca="1">IFERROR(__xludf.DUMMYFUNCTION("""COMPUTED_VALUE"""),1426)</f>
        <v>1426</v>
      </c>
      <c r="G14" s="42" t="str">
        <f ca="1">IFERROR(__xludf.DUMMYFUNCTION("""COMPUTED_VALUE"""),"77.3%")</f>
        <v>77.3%</v>
      </c>
      <c r="H14" s="98">
        <f ca="1">IFERROR(__xludf.DUMMYFUNCTION("""COMPUTED_VALUE"""),15000)</f>
        <v>15000</v>
      </c>
      <c r="I14" s="104">
        <f t="shared" ca="1" si="0"/>
        <v>3515</v>
      </c>
      <c r="J14" s="105">
        <f t="shared" ca="1" si="1"/>
        <v>0.23433333333333334</v>
      </c>
      <c r="M14" s="23" t="b">
        <v>1</v>
      </c>
    </row>
    <row r="15" spans="1:14">
      <c r="A15" s="42" t="str">
        <f ca="1">IFERROR(__xludf.DUMMYFUNCTION("""COMPUTED_VALUE"""),"ACTIVIDAD 1.11")</f>
        <v>ACTIVIDAD 1.11</v>
      </c>
      <c r="B15" s="100" t="str">
        <f ca="1">IFERROR(__xludf.DUMMYFUNCTION("""COMPUTED_VALUE"""),"Estudios de laboratorio para la detección oportuna de riesgos en la salud realizados, durante el 2023")</f>
        <v>Estudios de laboratorio para la detección oportuna de riesgos en la salud realizados, durante el 2023</v>
      </c>
      <c r="C15" s="42" t="str">
        <f ca="1">IFERROR(__xludf.DUMMYFUNCTION("""COMPUTED_VALUE"""),"Porcentaje")</f>
        <v>Porcentaje</v>
      </c>
      <c r="D15" s="42">
        <f ca="1">IFERROR(__xludf.DUMMYFUNCTION("""COMPUTED_VALUE"""),1286)</f>
        <v>1286</v>
      </c>
      <c r="E15" s="42">
        <f ca="1">IFERROR(__xludf.DUMMYFUNCTION("""COMPUTED_VALUE"""),3830)</f>
        <v>3830</v>
      </c>
      <c r="F15" s="42">
        <f ca="1">IFERROR(__xludf.DUMMYFUNCTION("""COMPUTED_VALUE"""),2868)</f>
        <v>2868</v>
      </c>
      <c r="G15" s="42" t="str">
        <f ca="1">IFERROR(__xludf.DUMMYFUNCTION("""COMPUTED_VALUE"""),"79.4%")</f>
        <v>79.4%</v>
      </c>
      <c r="H15" s="98">
        <f ca="1">IFERROR(__xludf.DUMMYFUNCTION("""COMPUTED_VALUE"""),29000)</f>
        <v>29000</v>
      </c>
      <c r="I15" s="104">
        <f t="shared" ca="1" si="0"/>
        <v>7984</v>
      </c>
      <c r="J15" s="105">
        <f t="shared" ca="1" si="1"/>
        <v>0.27531034482758621</v>
      </c>
      <c r="M15" s="23" t="b">
        <v>1</v>
      </c>
    </row>
    <row r="16" spans="1:14">
      <c r="A16" s="42" t="str">
        <f ca="1">IFERROR(__xludf.DUMMYFUNCTION("""COMPUTED_VALUE"""),"ACTIVIDAD 1.12")</f>
        <v>ACTIVIDAD 1.12</v>
      </c>
      <c r="B16" s="100" t="str">
        <f ca="1">IFERROR(__xludf.DUMMYFUNCTION("""COMPUTED_VALUE"""),"Usuarios y usuarias recibieron raciones alimenticias en los comedores comunitarios, durante el 2023")</f>
        <v>Usuarios y usuarias recibieron raciones alimenticias en los comedores comunitarios, durante el 2023</v>
      </c>
      <c r="C16" s="42" t="str">
        <f ca="1">IFERROR(__xludf.DUMMYFUNCTION("""COMPUTED_VALUE"""),"Promedio")</f>
        <v>Promedio</v>
      </c>
      <c r="D16" s="42">
        <f ca="1">IFERROR(__xludf.DUMMYFUNCTION("""COMPUTED_VALUE"""),510)</f>
        <v>510</v>
      </c>
      <c r="E16" s="42">
        <f ca="1">IFERROR(__xludf.DUMMYFUNCTION("""COMPUTED_VALUE"""),510)</f>
        <v>510</v>
      </c>
      <c r="F16" s="42">
        <f ca="1">IFERROR(__xludf.DUMMYFUNCTION("""COMPUTED_VALUE"""),510)</f>
        <v>510</v>
      </c>
      <c r="G16" s="42" t="str">
        <f ca="1">IFERROR(__xludf.DUMMYFUNCTION("""COMPUTED_VALUE"""),"1194.8")</f>
        <v>1194.8</v>
      </c>
      <c r="H16" s="98">
        <f ca="1">IFERROR(__xludf.DUMMYFUNCTION("""COMPUTED_VALUE"""),1500)</f>
        <v>1500</v>
      </c>
      <c r="I16" s="104">
        <f t="shared" ca="1" si="0"/>
        <v>1530</v>
      </c>
      <c r="J16" s="105"/>
      <c r="K16" s="42">
        <f ca="1">I16/4</f>
        <v>382.5</v>
      </c>
      <c r="L16" s="42">
        <f ca="1">I16/3</f>
        <v>510</v>
      </c>
      <c r="M16" s="23" t="b">
        <v>1</v>
      </c>
    </row>
    <row r="17" spans="1:14">
      <c r="A17" s="42" t="str">
        <f ca="1">IFERROR(__xludf.DUMMYFUNCTION("""COMPUTED_VALUE"""),"ACTIVIDAD 1.13")</f>
        <v>ACTIVIDAD 1.13</v>
      </c>
      <c r="B17" s="100" t="str">
        <f ca="1">IFERROR(__xludf.DUMMYFUNCTION("""COMPUTED_VALUE"""),"Entrega de raciones alimenticias en los comedores comunitarios, durante el 2023")</f>
        <v>Entrega de raciones alimenticias en los comedores comunitarios, durante el 2023</v>
      </c>
      <c r="C17" s="42" t="str">
        <f ca="1">IFERROR(__xludf.DUMMYFUNCTION("""COMPUTED_VALUE"""),"Porcentaje")</f>
        <v>Porcentaje</v>
      </c>
      <c r="D17" s="42">
        <f ca="1">IFERROR(__xludf.DUMMYFUNCTION("""COMPUTED_VALUE"""),10200)</f>
        <v>10200</v>
      </c>
      <c r="E17" s="42">
        <f ca="1">IFERROR(__xludf.DUMMYFUNCTION("""COMPUTED_VALUE"""),22440)</f>
        <v>22440</v>
      </c>
      <c r="F17" s="42">
        <f ca="1">IFERROR(__xludf.DUMMYFUNCTION("""COMPUTED_VALUE"""),22440)</f>
        <v>22440</v>
      </c>
      <c r="G17" s="42" t="str">
        <f ca="1">IFERROR(__xludf.DUMMYFUNCTION("""COMPUTED_VALUE"""),"84.1%")</f>
        <v>84.1%</v>
      </c>
      <c r="H17" s="98">
        <f ca="1">IFERROR(__xludf.DUMMYFUNCTION("""COMPUTED_VALUE"""),224400)</f>
        <v>224400</v>
      </c>
      <c r="I17" s="104">
        <f t="shared" ca="1" si="0"/>
        <v>55080</v>
      </c>
      <c r="J17" s="105">
        <f ca="1">I17/H17</f>
        <v>0.24545454545454545</v>
      </c>
      <c r="M17" s="23" t="b">
        <v>1</v>
      </c>
    </row>
    <row r="18" spans="1:14">
      <c r="A18" s="42" t="str">
        <f ca="1">IFERROR(__xludf.DUMMYFUNCTION("""COMPUTED_VALUE"""),"ACTIVIDAD 1.14")</f>
        <v>ACTIVIDAD 1.14</v>
      </c>
      <c r="B18" s="100" t="str">
        <f ca="1">IFERROR(__xludf.DUMMYFUNCTION("""COMPUTED_VALUE"""),"Usuarios que asistieron a talleres y cursos realizados en CDC e ICAS trimestralmente en 2023")</f>
        <v>Usuarios que asistieron a talleres y cursos realizados en CDC e ICAS trimestralmente en 2023</v>
      </c>
      <c r="C18" s="42" t="str">
        <f ca="1">IFERROR(__xludf.DUMMYFUNCTION("""COMPUTED_VALUE"""),"Promedio")</f>
        <v>Promedio</v>
      </c>
      <c r="D18" s="42">
        <f ca="1">IFERROR(__xludf.DUMMYFUNCTION("""COMPUTED_VALUE"""),1440)</f>
        <v>1440</v>
      </c>
      <c r="E18" s="42">
        <f ca="1">IFERROR(__xludf.DUMMYFUNCTION("""COMPUTED_VALUE"""),1549)</f>
        <v>1549</v>
      </c>
      <c r="F18" s="42">
        <f ca="1">IFERROR(__xludf.DUMMYFUNCTION("""COMPUTED_VALUE"""),1492)</f>
        <v>1492</v>
      </c>
      <c r="G18" s="42" t="str">
        <f ca="1">IFERROR(__xludf.DUMMYFUNCTION("""COMPUTED_VALUE"""),"3579.5")</f>
        <v>3579.5</v>
      </c>
      <c r="H18" s="98">
        <f ca="1">IFERROR(__xludf.DUMMYFUNCTION("""COMPUTED_VALUE"""),4500)</f>
        <v>4500</v>
      </c>
      <c r="I18" s="104">
        <f t="shared" ca="1" si="0"/>
        <v>4481</v>
      </c>
      <c r="J18" s="105"/>
      <c r="K18" s="42">
        <f t="shared" ref="K18:K19" ca="1" si="2">I18/4</f>
        <v>1120.25</v>
      </c>
      <c r="L18" s="42">
        <f t="shared" ref="L18:L19" ca="1" si="3">I18/3</f>
        <v>1493.6666666666667</v>
      </c>
      <c r="M18" s="23" t="b">
        <v>1</v>
      </c>
    </row>
    <row r="19" spans="1:14">
      <c r="A19" s="42" t="str">
        <f ca="1">IFERROR(__xludf.DUMMYFUNCTION("""COMPUTED_VALUE"""),"ACTIVIDAD 1.15")</f>
        <v>ACTIVIDAD 1.15</v>
      </c>
      <c r="B19" s="100" t="str">
        <f ca="1">IFERROR(__xludf.DUMMYFUNCTION("""COMPUTED_VALUE"""),"Talleres y cursos realizados en CDC e ICAS trimestralmente en 2023")</f>
        <v>Talleres y cursos realizados en CDC e ICAS trimestralmente en 2023</v>
      </c>
      <c r="C19" s="42" t="str">
        <f ca="1">IFERROR(__xludf.DUMMYFUNCTION("""COMPUTED_VALUE"""),"Promedio")</f>
        <v>Promedio</v>
      </c>
      <c r="D19" s="42">
        <f ca="1">IFERROR(__xludf.DUMMYFUNCTION("""COMPUTED_VALUE"""),261)</f>
        <v>261</v>
      </c>
      <c r="E19" s="42">
        <f ca="1">IFERROR(__xludf.DUMMYFUNCTION("""COMPUTED_VALUE"""),294)</f>
        <v>294</v>
      </c>
      <c r="F19" s="42">
        <f ca="1">IFERROR(__xludf.DUMMYFUNCTION("""COMPUTED_VALUE"""),268)</f>
        <v>268</v>
      </c>
      <c r="G19" s="42" t="str">
        <f ca="1">IFERROR(__xludf.DUMMYFUNCTION("""COMPUTED_VALUE"""),"574.3")</f>
        <v>574.3</v>
      </c>
      <c r="H19" s="98">
        <f ca="1">IFERROR(__xludf.DUMMYFUNCTION("""COMPUTED_VALUE"""),780)</f>
        <v>780</v>
      </c>
      <c r="I19" s="104">
        <f t="shared" ca="1" si="0"/>
        <v>823</v>
      </c>
      <c r="J19" s="105"/>
      <c r="K19" s="42">
        <f t="shared" ca="1" si="2"/>
        <v>205.75</v>
      </c>
      <c r="L19" s="42">
        <f t="shared" ca="1" si="3"/>
        <v>274.33333333333331</v>
      </c>
      <c r="M19" s="23" t="b">
        <v>1</v>
      </c>
    </row>
    <row r="20" spans="1:14">
      <c r="A20" s="42" t="str">
        <f ca="1">IFERROR(__xludf.DUMMYFUNCTION("""COMPUTED_VALUE"""),"ACTIVIDAD 1.16")</f>
        <v>ACTIVIDAD 1.16</v>
      </c>
      <c r="B20" s="100" t="str">
        <f ca="1">IFERROR(__xludf.DUMMYFUNCTION("""COMPUTED_VALUE"""),"Niñas y niños en condición de vulnerabilidad económica que terminaron ciclo escolar de nivel preescolar en 2023")</f>
        <v>Niñas y niños en condición de vulnerabilidad económica que terminaron ciclo escolar de nivel preescolar en 2023</v>
      </c>
      <c r="C20" s="42" t="str">
        <f ca="1">IFERROR(__xludf.DUMMYFUNCTION("""COMPUTED_VALUE"""),"Porcentaje")</f>
        <v>Porcentaje</v>
      </c>
      <c r="D20" s="42">
        <f ca="1">IFERROR(__xludf.DUMMYFUNCTION("""COMPUTED_VALUE"""),0)</f>
        <v>0</v>
      </c>
      <c r="E20" s="42">
        <f ca="1">IFERROR(__xludf.DUMMYFUNCTION("""COMPUTED_VALUE"""),0)</f>
        <v>0</v>
      </c>
      <c r="F20" s="42">
        <f ca="1">IFERROR(__xludf.DUMMYFUNCTION("""COMPUTED_VALUE"""),0)</f>
        <v>0</v>
      </c>
      <c r="G20" s="42" t="str">
        <f ca="1">IFERROR(__xludf.DUMMYFUNCTION("""COMPUTED_VALUE"""),"103.1%")</f>
        <v>103.1%</v>
      </c>
      <c r="H20" s="98">
        <f ca="1">IFERROR(__xludf.DUMMYFUNCTION("""COMPUTED_VALUE"""),2030)</f>
        <v>2030</v>
      </c>
      <c r="I20" s="104">
        <f t="shared" ca="1" si="0"/>
        <v>0</v>
      </c>
      <c r="J20" s="105">
        <f t="shared" ref="J20:J27" ca="1" si="4">I20/H20</f>
        <v>0</v>
      </c>
      <c r="M20" s="23" t="b">
        <v>1</v>
      </c>
    </row>
    <row r="21" spans="1:14">
      <c r="A21" s="42" t="str">
        <f ca="1">IFERROR(__xludf.DUMMYFUNCTION("""COMPUTED_VALUE"""),"ACTIVIDAD 1.17")</f>
        <v>ACTIVIDAD 1.17</v>
      </c>
      <c r="B21" s="100" t="str">
        <f ca="1">IFERROR(__xludf.DUMMYFUNCTION("""COMPUTED_VALUE""")," Grupos de preescolar activos en CDC en 2023")</f>
        <v xml:space="preserve"> Grupos de preescolar activos en CDC en 2023</v>
      </c>
      <c r="C21" s="42" t="str">
        <f ca="1">IFERROR(__xludf.DUMMYFUNCTION("""COMPUTED_VALUE"""),"Porcentaje")</f>
        <v>Porcentaje</v>
      </c>
      <c r="D21" s="42">
        <f ca="1">IFERROR(__xludf.DUMMYFUNCTION("""COMPUTED_VALUE"""),99)</f>
        <v>99</v>
      </c>
      <c r="E21" s="42">
        <f ca="1">IFERROR(__xludf.DUMMYFUNCTION("""COMPUTED_VALUE"""),99)</f>
        <v>99</v>
      </c>
      <c r="F21" s="42">
        <f ca="1">IFERROR(__xludf.DUMMYFUNCTION("""COMPUTED_VALUE"""),99)</f>
        <v>99</v>
      </c>
      <c r="G21" s="42" t="str">
        <f ca="1">IFERROR(__xludf.DUMMYFUNCTION("""COMPUTED_VALUE"""),"75%")</f>
        <v>75%</v>
      </c>
      <c r="H21" s="98">
        <f ca="1">IFERROR(__xludf.DUMMYFUNCTION("""COMPUTED_VALUE"""),1188)</f>
        <v>1188</v>
      </c>
      <c r="I21" s="104">
        <f t="shared" ca="1" si="0"/>
        <v>297</v>
      </c>
      <c r="J21" s="105">
        <f t="shared" ca="1" si="4"/>
        <v>0.25</v>
      </c>
      <c r="M21" s="23" t="b">
        <v>1</v>
      </c>
    </row>
    <row r="22" spans="1:14">
      <c r="A22" s="42" t="str">
        <f ca="1">IFERROR(__xludf.DUMMYFUNCTION("""COMPUTED_VALUE"""),"COMPONENTE 2")</f>
        <v>COMPONENTE 2</v>
      </c>
      <c r="B22" s="100" t="str">
        <f ca="1">IFERROR(__xludf.DUMMYFUNCTION("""COMPUTED_VALUE"""),"Apoyos asistenciales entregados a población en situación de emergencia, durante el 2023")</f>
        <v>Apoyos asistenciales entregados a población en situación de emergencia, durante el 2023</v>
      </c>
      <c r="C22" s="42" t="str">
        <f ca="1">IFERROR(__xludf.DUMMYFUNCTION("""COMPUTED_VALUE"""),"Porcentaje")</f>
        <v>Porcentaje</v>
      </c>
      <c r="D22" s="42"/>
      <c r="E22" s="42">
        <f ca="1">IFERROR(__xludf.DUMMYFUNCTION("""COMPUTED_VALUE"""),0)</f>
        <v>0</v>
      </c>
      <c r="F22" s="42">
        <f ca="1">IFERROR(__xludf.DUMMYFUNCTION("""COMPUTED_VALUE"""),0)</f>
        <v>0</v>
      </c>
      <c r="G22" s="42" t="str">
        <f ca="1">IFERROR(__xludf.DUMMYFUNCTION("""COMPUTED_VALUE"""),"77.7%")</f>
        <v>77.7%</v>
      </c>
      <c r="H22" s="98">
        <f ca="1">IFERROR(__xludf.DUMMYFUNCTION("""COMPUTED_VALUE"""),5000)</f>
        <v>5000</v>
      </c>
      <c r="I22" s="104">
        <f t="shared" ca="1" si="0"/>
        <v>0</v>
      </c>
      <c r="J22" s="105">
        <f t="shared" ca="1" si="4"/>
        <v>0</v>
      </c>
      <c r="M22" s="23" t="b">
        <v>1</v>
      </c>
      <c r="N22" s="23" t="s">
        <v>365</v>
      </c>
    </row>
    <row r="23" spans="1:14">
      <c r="A23" s="42" t="str">
        <f ca="1">IFERROR(__xludf.DUMMYFUNCTION("""COMPUTED_VALUE"""),"ACTIVIDAD 2.1")</f>
        <v>ACTIVIDAD 2.1</v>
      </c>
      <c r="B23" s="100" t="str">
        <f ca="1">IFERROR(__xludf.DUMMYFUNCTION("""COMPUTED_VALUE"""),"Capacitaciones brindadas a la población abierta y población en condiciones de emergencias, durante el 2023")</f>
        <v>Capacitaciones brindadas a la población abierta y población en condiciones de emergencias, durante el 2023</v>
      </c>
      <c r="C23" s="42" t="str">
        <f ca="1">IFERROR(__xludf.DUMMYFUNCTION("""COMPUTED_VALUE"""),"Porcentaje")</f>
        <v>Porcentaje</v>
      </c>
      <c r="D23" s="42">
        <f ca="1">IFERROR(__xludf.DUMMYFUNCTION("""COMPUTED_VALUE"""),7)</f>
        <v>7</v>
      </c>
      <c r="E23" s="42">
        <f ca="1">IFERROR(__xludf.DUMMYFUNCTION("""COMPUTED_VALUE"""),0)</f>
        <v>0</v>
      </c>
      <c r="F23" s="42">
        <f ca="1">IFERROR(__xludf.DUMMYFUNCTION("""COMPUTED_VALUE"""),1)</f>
        <v>1</v>
      </c>
      <c r="G23" s="42" t="str">
        <f ca="1">IFERROR(__xludf.DUMMYFUNCTION("""COMPUTED_VALUE"""),"242.9%")</f>
        <v>242.9%</v>
      </c>
      <c r="H23" s="98">
        <f ca="1">IFERROR(__xludf.DUMMYFUNCTION("""COMPUTED_VALUE"""),7)</f>
        <v>7</v>
      </c>
      <c r="I23" s="104">
        <f t="shared" ca="1" si="0"/>
        <v>8</v>
      </c>
      <c r="J23" s="105">
        <f t="shared" ca="1" si="4"/>
        <v>1.1428571428571428</v>
      </c>
      <c r="M23" s="23" t="b">
        <v>1</v>
      </c>
    </row>
    <row r="24" spans="1:14">
      <c r="A24" s="42" t="str">
        <f ca="1">IFERROR(__xludf.DUMMYFUNCTION("""COMPUTED_VALUE"""),"COMPONENTE 3")</f>
        <v>COMPONENTE 3</v>
      </c>
      <c r="B24" s="100" t="str">
        <f ca="1">IFERROR(__xludf.DUMMYFUNCTION("""COMPUTED_VALUE"""),"Atenciones multidisciplinarias realizadas a las personas que viven y/o ejercer violencia familiar en el municipio de Guadalajara, durante el 2023")</f>
        <v>Atenciones multidisciplinarias realizadas a las personas que viven y/o ejercer violencia familiar en el municipio de Guadalajara, durante el 2023</v>
      </c>
      <c r="C24" s="42" t="str">
        <f ca="1">IFERROR(__xludf.DUMMYFUNCTION("""COMPUTED_VALUE"""),"Porcentaje")</f>
        <v>Porcentaje</v>
      </c>
      <c r="D24" s="42">
        <f ca="1">IFERROR(__xludf.DUMMYFUNCTION("""COMPUTED_VALUE"""),49)</f>
        <v>49</v>
      </c>
      <c r="E24" s="42">
        <f ca="1">IFERROR(__xludf.DUMMYFUNCTION("""COMPUTED_VALUE"""),113)</f>
        <v>113</v>
      </c>
      <c r="F24" s="42">
        <f ca="1">IFERROR(__xludf.DUMMYFUNCTION("""COMPUTED_VALUE"""),107)</f>
        <v>107</v>
      </c>
      <c r="G24" s="42" t="str">
        <f ca="1">IFERROR(__xludf.DUMMYFUNCTION("""COMPUTED_VALUE"""),"74.6%")</f>
        <v>74.6%</v>
      </c>
      <c r="H24" s="98">
        <f ca="1">IFERROR(__xludf.DUMMYFUNCTION("""COMPUTED_VALUE"""),1100)</f>
        <v>1100</v>
      </c>
      <c r="I24" s="104">
        <f t="shared" ca="1" si="0"/>
        <v>269</v>
      </c>
      <c r="J24" s="105">
        <f t="shared" ca="1" si="4"/>
        <v>0.24454545454545454</v>
      </c>
      <c r="M24" s="23" t="b">
        <v>1</v>
      </c>
    </row>
    <row r="25" spans="1:14">
      <c r="A25" s="42" t="str">
        <f ca="1">IFERROR(__xludf.DUMMYFUNCTION("""COMPUTED_VALUE"""),"ACTIVIDAD 3.1")</f>
        <v>ACTIVIDAD 3.1</v>
      </c>
      <c r="B25" s="100" t="str">
        <f ca="1">IFERROR(__xludf.DUMMYFUNCTION("""COMPUTED_VALUE"""),"Aperturas de expedientes para la atención multidisciplinaria primaria realizadas a las personas que viven y/o ejercen violencia familiar en el Municipio de Guadalajara, durante el 2023")</f>
        <v>Aperturas de expedientes para la atención multidisciplinaria primaria realizadas a las personas que viven y/o ejercen violencia familiar en el Municipio de Guadalajara, durante el 2023</v>
      </c>
      <c r="C25" s="42" t="str">
        <f ca="1">IFERROR(__xludf.DUMMYFUNCTION("""COMPUTED_VALUE"""),"Porcentaje")</f>
        <v>Porcentaje</v>
      </c>
      <c r="D25" s="42">
        <f ca="1">IFERROR(__xludf.DUMMYFUNCTION("""COMPUTED_VALUE"""),30)</f>
        <v>30</v>
      </c>
      <c r="E25" s="42">
        <f ca="1">IFERROR(__xludf.DUMMYFUNCTION("""COMPUTED_VALUE"""),85)</f>
        <v>85</v>
      </c>
      <c r="F25" s="42">
        <f ca="1">IFERROR(__xludf.DUMMYFUNCTION("""COMPUTED_VALUE"""),68)</f>
        <v>68</v>
      </c>
      <c r="G25" s="42" t="str">
        <f ca="1">IFERROR(__xludf.DUMMYFUNCTION("""COMPUTED_VALUE"""),"77.1%")</f>
        <v>77.1%</v>
      </c>
      <c r="H25" s="98">
        <f ca="1">IFERROR(__xludf.DUMMYFUNCTION("""COMPUTED_VALUE"""),700)</f>
        <v>700</v>
      </c>
      <c r="I25" s="104">
        <f t="shared" ca="1" si="0"/>
        <v>183</v>
      </c>
      <c r="J25" s="105">
        <f t="shared" ca="1" si="4"/>
        <v>0.26142857142857145</v>
      </c>
      <c r="M25" s="23" t="b">
        <v>1</v>
      </c>
    </row>
    <row r="26" spans="1:14">
      <c r="A26" s="42" t="str">
        <f ca="1">IFERROR(__xludf.DUMMYFUNCTION("""COMPUTED_VALUE"""),"ACTIVIDAD 3.2")</f>
        <v>ACTIVIDAD 3.2</v>
      </c>
      <c r="B26" s="100" t="str">
        <f ca="1">IFERROR(__xludf.DUMMYFUNCTION("""COMPUTED_VALUE"""),"Intervención multidisciplinaria de seguimiento a expedientes activos, durante el 2023")</f>
        <v>Intervención multidisciplinaria de seguimiento a expedientes activos, durante el 2023</v>
      </c>
      <c r="C26" s="42" t="str">
        <f ca="1">IFERROR(__xludf.DUMMYFUNCTION("""COMPUTED_VALUE"""),"Porcentaje")</f>
        <v>Porcentaje</v>
      </c>
      <c r="D26" s="42">
        <f ca="1">IFERROR(__xludf.DUMMYFUNCTION("""COMPUTED_VALUE"""),19)</f>
        <v>19</v>
      </c>
      <c r="E26" s="42">
        <f ca="1">IFERROR(__xludf.DUMMYFUNCTION("""COMPUTED_VALUE"""),28)</f>
        <v>28</v>
      </c>
      <c r="F26" s="42">
        <f ca="1">IFERROR(__xludf.DUMMYFUNCTION("""COMPUTED_VALUE"""),39)</f>
        <v>39</v>
      </c>
      <c r="G26" s="42" t="str">
        <f ca="1">IFERROR(__xludf.DUMMYFUNCTION("""COMPUTED_VALUE"""),"68.8%")</f>
        <v>68.8%</v>
      </c>
      <c r="H26" s="98">
        <f ca="1">IFERROR(__xludf.DUMMYFUNCTION("""COMPUTED_VALUE"""),400)</f>
        <v>400</v>
      </c>
      <c r="I26" s="104">
        <f t="shared" ca="1" si="0"/>
        <v>86</v>
      </c>
      <c r="J26" s="105">
        <f t="shared" ca="1" si="4"/>
        <v>0.215</v>
      </c>
      <c r="M26" s="23" t="b">
        <v>1</v>
      </c>
    </row>
    <row r="27" spans="1:14">
      <c r="A27" s="42" t="str">
        <f ca="1">IFERROR(__xludf.DUMMYFUNCTION("""COMPUTED_VALUE"""),"COMPONENTE 4")</f>
        <v>COMPONENTE 4</v>
      </c>
      <c r="B27" s="100" t="str">
        <f ca="1">IFERROR(__xludf.DUMMYFUNCTION("""COMPUTED_VALUE"""),"Implementación de sesiones grupales de acompañamiento psicosocial y psicoeducativo para las personas usuarias del Programa de Acompañar las Ausencias, durante el 2023")</f>
        <v>Implementación de sesiones grupales de acompañamiento psicosocial y psicoeducativo para las personas usuarias del Programa de Acompañar las Ausencias, durante el 2023</v>
      </c>
      <c r="C27" s="42" t="str">
        <f ca="1">IFERROR(__xludf.DUMMYFUNCTION("""COMPUTED_VALUE"""),"Porcentaje")</f>
        <v>Porcentaje</v>
      </c>
      <c r="D27" s="42">
        <f ca="1">IFERROR(__xludf.DUMMYFUNCTION("""COMPUTED_VALUE"""),0)</f>
        <v>0</v>
      </c>
      <c r="E27" s="42">
        <f ca="1">IFERROR(__xludf.DUMMYFUNCTION("""COMPUTED_VALUE"""),1)</f>
        <v>1</v>
      </c>
      <c r="F27" s="42">
        <f ca="1">IFERROR(__xludf.DUMMYFUNCTION("""COMPUTED_VALUE"""),1)</f>
        <v>1</v>
      </c>
      <c r="G27" s="42" t="str">
        <f ca="1">IFERROR(__xludf.DUMMYFUNCTION("""COMPUTED_VALUE"""),"66.7%")</f>
        <v>66.7%</v>
      </c>
      <c r="H27" s="98">
        <f ca="1">IFERROR(__xludf.DUMMYFUNCTION("""COMPUTED_VALUE"""),12)</f>
        <v>12</v>
      </c>
      <c r="I27" s="104">
        <f t="shared" ca="1" si="0"/>
        <v>2</v>
      </c>
      <c r="J27" s="105">
        <f t="shared" ca="1" si="4"/>
        <v>0.16666666666666666</v>
      </c>
      <c r="M27" s="23" t="b">
        <v>1</v>
      </c>
    </row>
    <row r="28" spans="1:14">
      <c r="A28" s="42" t="str">
        <f ca="1">IFERROR(__xludf.DUMMYFUNCTION("""COMPUTED_VALUE"""),"ACTIVIDAD 4.1")</f>
        <v>ACTIVIDAD 4.1</v>
      </c>
      <c r="B28" s="100" t="str">
        <f ca="1">IFERROR(__xludf.DUMMYFUNCTION("""COMPUTED_VALUE"""),"Acompañamientos psicosociales para familiares de víctimas indirectas de desaparición brindadas, durante el 2023")</f>
        <v>Acompañamientos psicosociales para familiares de víctimas indirectas de desaparición brindadas, durante el 2023</v>
      </c>
      <c r="C28" s="42" t="str">
        <f ca="1">IFERROR(__xludf.DUMMYFUNCTION("""COMPUTED_VALUE"""),"Promedio")</f>
        <v>Promedio</v>
      </c>
      <c r="D28" s="42">
        <f ca="1">IFERROR(__xludf.DUMMYFUNCTION("""COMPUTED_VALUE"""),109)</f>
        <v>109</v>
      </c>
      <c r="E28" s="42">
        <f ca="1">IFERROR(__xludf.DUMMYFUNCTION("""COMPUTED_VALUE"""),112)</f>
        <v>112</v>
      </c>
      <c r="F28" s="42">
        <f ca="1">IFERROR(__xludf.DUMMYFUNCTION("""COMPUTED_VALUE"""),114)</f>
        <v>114</v>
      </c>
      <c r="G28" s="42" t="str">
        <f ca="1">IFERROR(__xludf.DUMMYFUNCTION("""COMPUTED_VALUE"""),"249.5")</f>
        <v>249.5</v>
      </c>
      <c r="H28" s="98">
        <f ca="1">IFERROR(__xludf.DUMMYFUNCTION("""COMPUTED_VALUE"""),330)</f>
        <v>330</v>
      </c>
      <c r="I28" s="104">
        <f t="shared" ca="1" si="0"/>
        <v>335</v>
      </c>
      <c r="J28" s="105"/>
      <c r="K28" s="42">
        <f ca="1">I28/4</f>
        <v>83.75</v>
      </c>
      <c r="L28" s="42">
        <f ca="1">I28/3</f>
        <v>111.66666666666667</v>
      </c>
      <c r="M28" s="23" t="b">
        <v>1</v>
      </c>
    </row>
    <row r="29" spans="1:14">
      <c r="A29" s="42" t="str">
        <f ca="1">IFERROR(__xludf.DUMMYFUNCTION("""COMPUTED_VALUE"""),"ACTIVIDAD 4.2")</f>
        <v>ACTIVIDAD 4.2</v>
      </c>
      <c r="B29" s="100" t="str">
        <f ca="1">IFERROR(__xludf.DUMMYFUNCTION("""COMPUTED_VALUE"""),"A2C4. Familiares de personas desaparcidas atendidas por el programa de Acompañar las Ausencias")</f>
        <v>A2C4. Familiares de personas desaparcidas atendidas por el programa de Acompañar las Ausencias</v>
      </c>
      <c r="C29" s="42" t="str">
        <f ca="1">IFERROR(__xludf.DUMMYFUNCTION("""COMPUTED_VALUE"""),"Porcentaje")</f>
        <v>Porcentaje</v>
      </c>
      <c r="D29" s="42">
        <f ca="1">IFERROR(__xludf.DUMMYFUNCTION("""COMPUTED_VALUE"""),0)</f>
        <v>0</v>
      </c>
      <c r="E29" s="42">
        <f ca="1">IFERROR(__xludf.DUMMYFUNCTION("""COMPUTED_VALUE"""),191)</f>
        <v>191</v>
      </c>
      <c r="F29" s="42">
        <f ca="1">IFERROR(__xludf.DUMMYFUNCTION("""COMPUTED_VALUE"""),118)</f>
        <v>118</v>
      </c>
      <c r="G29" s="42" t="str">
        <f ca="1">IFERROR(__xludf.DUMMYFUNCTION("""COMPUTED_VALUE"""),"69.8%")</f>
        <v>69.8%</v>
      </c>
      <c r="H29" s="98">
        <f ca="1">IFERROR(__xludf.DUMMYFUNCTION("""COMPUTED_VALUE"""),1800)</f>
        <v>1800</v>
      </c>
      <c r="I29" s="104">
        <f t="shared" ca="1" si="0"/>
        <v>309</v>
      </c>
      <c r="J29" s="105">
        <f ca="1">I29/H29</f>
        <v>0.17166666666666666</v>
      </c>
      <c r="M29" s="23" t="b">
        <v>1</v>
      </c>
    </row>
    <row r="30" spans="1:14">
      <c r="B30" s="100"/>
    </row>
    <row r="31" spans="1:14">
      <c r="B31" s="100"/>
    </row>
    <row r="32" spans="1:14">
      <c r="B32" s="100"/>
    </row>
    <row r="33" spans="2:2">
      <c r="B33" s="100"/>
    </row>
    <row r="34" spans="2:2">
      <c r="B34" s="100"/>
    </row>
    <row r="35" spans="2:2">
      <c r="B35" s="100"/>
    </row>
    <row r="36" spans="2:2">
      <c r="B36" s="100"/>
    </row>
    <row r="37" spans="2:2">
      <c r="B37" s="100"/>
    </row>
    <row r="38" spans="2:2">
      <c r="B38" s="100"/>
    </row>
    <row r="39" spans="2:2">
      <c r="B39" s="100"/>
    </row>
    <row r="40" spans="2:2">
      <c r="B40" s="100"/>
    </row>
    <row r="41" spans="2:2">
      <c r="B41" s="100"/>
    </row>
    <row r="42" spans="2:2">
      <c r="B42" s="100"/>
    </row>
    <row r="43" spans="2:2">
      <c r="B43" s="100"/>
    </row>
    <row r="44" spans="2:2">
      <c r="B44" s="100"/>
    </row>
    <row r="45" spans="2:2">
      <c r="B45" s="100"/>
    </row>
    <row r="46" spans="2:2">
      <c r="B46" s="100"/>
    </row>
    <row r="47" spans="2:2">
      <c r="B47" s="100"/>
    </row>
    <row r="48" spans="2:2">
      <c r="B48" s="100"/>
    </row>
    <row r="49" spans="2:2">
      <c r="B49" s="100"/>
    </row>
    <row r="50" spans="2:2">
      <c r="B50" s="100"/>
    </row>
    <row r="51" spans="2:2">
      <c r="B51" s="100"/>
    </row>
    <row r="52" spans="2:2">
      <c r="B52" s="100"/>
    </row>
    <row r="53" spans="2:2">
      <c r="B53" s="100"/>
    </row>
    <row r="54" spans="2:2">
      <c r="B54" s="100"/>
    </row>
    <row r="55" spans="2:2">
      <c r="B55" s="100"/>
    </row>
    <row r="56" spans="2:2">
      <c r="B56" s="100"/>
    </row>
    <row r="57" spans="2:2">
      <c r="B57" s="100"/>
    </row>
    <row r="58" spans="2:2">
      <c r="B58" s="100"/>
    </row>
    <row r="59" spans="2:2">
      <c r="B59" s="100"/>
    </row>
    <row r="60" spans="2:2">
      <c r="B60" s="100"/>
    </row>
    <row r="61" spans="2:2">
      <c r="B61" s="100"/>
    </row>
    <row r="62" spans="2:2">
      <c r="B62" s="100"/>
    </row>
    <row r="63" spans="2:2">
      <c r="B63" s="100"/>
    </row>
    <row r="64" spans="2:2">
      <c r="B64" s="100"/>
    </row>
    <row r="65" spans="2:2">
      <c r="B65" s="100"/>
    </row>
    <row r="66" spans="2:2">
      <c r="B66" s="100"/>
    </row>
    <row r="67" spans="2:2">
      <c r="B67" s="100"/>
    </row>
    <row r="68" spans="2:2">
      <c r="B68" s="100"/>
    </row>
    <row r="69" spans="2:2">
      <c r="B69" s="100"/>
    </row>
    <row r="70" spans="2:2">
      <c r="B70" s="100"/>
    </row>
    <row r="71" spans="2:2">
      <c r="B71" s="100"/>
    </row>
    <row r="72" spans="2:2">
      <c r="B72" s="100"/>
    </row>
    <row r="73" spans="2:2">
      <c r="B73" s="100"/>
    </row>
    <row r="74" spans="2:2">
      <c r="B74" s="100"/>
    </row>
    <row r="75" spans="2:2">
      <c r="B75" s="100"/>
    </row>
    <row r="76" spans="2:2">
      <c r="B76" s="100"/>
    </row>
    <row r="77" spans="2:2">
      <c r="B77" s="100"/>
    </row>
    <row r="78" spans="2:2">
      <c r="B78" s="100"/>
    </row>
    <row r="79" spans="2:2">
      <c r="B79" s="100"/>
    </row>
    <row r="80" spans="2:2">
      <c r="B80" s="100"/>
    </row>
    <row r="81" spans="2:2">
      <c r="B81" s="100"/>
    </row>
    <row r="82" spans="2:2">
      <c r="B82" s="100"/>
    </row>
    <row r="83" spans="2:2">
      <c r="B83" s="100"/>
    </row>
    <row r="84" spans="2:2">
      <c r="B84" s="100"/>
    </row>
    <row r="85" spans="2:2">
      <c r="B85" s="100"/>
    </row>
    <row r="86" spans="2:2">
      <c r="B86" s="100"/>
    </row>
    <row r="87" spans="2:2">
      <c r="B87" s="100"/>
    </row>
    <row r="88" spans="2:2">
      <c r="B88" s="100"/>
    </row>
    <row r="89" spans="2:2">
      <c r="B89" s="100"/>
    </row>
    <row r="90" spans="2:2">
      <c r="B90" s="100"/>
    </row>
    <row r="91" spans="2:2">
      <c r="B91" s="100"/>
    </row>
    <row r="92" spans="2:2">
      <c r="B92" s="100"/>
    </row>
    <row r="93" spans="2:2">
      <c r="B93" s="100"/>
    </row>
    <row r="94" spans="2:2">
      <c r="B94" s="100"/>
    </row>
    <row r="95" spans="2:2">
      <c r="B95" s="100"/>
    </row>
    <row r="96" spans="2:2">
      <c r="B96" s="100"/>
    </row>
    <row r="97" spans="2:2">
      <c r="B97" s="100"/>
    </row>
    <row r="98" spans="2:2">
      <c r="B98" s="100"/>
    </row>
    <row r="99" spans="2:2">
      <c r="B99" s="100"/>
    </row>
    <row r="100" spans="2:2">
      <c r="B100" s="100"/>
    </row>
    <row r="101" spans="2:2">
      <c r="B101" s="100"/>
    </row>
    <row r="102" spans="2:2">
      <c r="B102" s="100"/>
    </row>
    <row r="103" spans="2:2">
      <c r="B103" s="100"/>
    </row>
    <row r="104" spans="2:2">
      <c r="B104" s="100"/>
    </row>
    <row r="105" spans="2:2">
      <c r="B105" s="100"/>
    </row>
    <row r="106" spans="2:2">
      <c r="B106" s="100"/>
    </row>
    <row r="107" spans="2:2">
      <c r="B107" s="100"/>
    </row>
    <row r="108" spans="2:2">
      <c r="B108" s="100"/>
    </row>
    <row r="109" spans="2:2">
      <c r="B109" s="100"/>
    </row>
    <row r="110" spans="2:2">
      <c r="B110" s="100"/>
    </row>
    <row r="111" spans="2:2">
      <c r="B111" s="100"/>
    </row>
    <row r="112" spans="2:2">
      <c r="B112" s="100"/>
    </row>
    <row r="113" spans="2:2">
      <c r="B113" s="100"/>
    </row>
    <row r="114" spans="2:2">
      <c r="B114" s="100"/>
    </row>
    <row r="115" spans="2:2">
      <c r="B115" s="100"/>
    </row>
    <row r="116" spans="2:2">
      <c r="B116" s="100"/>
    </row>
    <row r="117" spans="2:2">
      <c r="B117" s="100"/>
    </row>
    <row r="118" spans="2:2">
      <c r="B118" s="100"/>
    </row>
    <row r="119" spans="2:2">
      <c r="B119" s="100"/>
    </row>
    <row r="120" spans="2:2">
      <c r="B120" s="100"/>
    </row>
    <row r="121" spans="2:2">
      <c r="B121" s="100"/>
    </row>
    <row r="122" spans="2:2">
      <c r="B122" s="100"/>
    </row>
    <row r="123" spans="2:2">
      <c r="B123" s="100"/>
    </row>
    <row r="124" spans="2:2">
      <c r="B124" s="100"/>
    </row>
    <row r="125" spans="2:2">
      <c r="B125" s="100"/>
    </row>
    <row r="126" spans="2:2">
      <c r="B126" s="100"/>
    </row>
    <row r="127" spans="2:2">
      <c r="B127" s="100"/>
    </row>
    <row r="128" spans="2:2">
      <c r="B128" s="100"/>
    </row>
    <row r="129" spans="2:2">
      <c r="B129" s="100"/>
    </row>
    <row r="130" spans="2:2">
      <c r="B130" s="100"/>
    </row>
    <row r="131" spans="2:2">
      <c r="B131" s="100"/>
    </row>
    <row r="132" spans="2:2">
      <c r="B132" s="100"/>
    </row>
    <row r="133" spans="2:2">
      <c r="B133" s="100"/>
    </row>
    <row r="134" spans="2:2">
      <c r="B134" s="100"/>
    </row>
    <row r="135" spans="2:2">
      <c r="B135" s="100"/>
    </row>
    <row r="136" spans="2:2">
      <c r="B136" s="100"/>
    </row>
    <row r="137" spans="2:2">
      <c r="B137" s="100"/>
    </row>
    <row r="138" spans="2:2">
      <c r="B138" s="100"/>
    </row>
    <row r="139" spans="2:2">
      <c r="B139" s="100"/>
    </row>
    <row r="140" spans="2:2">
      <c r="B140" s="100"/>
    </row>
    <row r="141" spans="2:2">
      <c r="B141" s="100"/>
    </row>
    <row r="142" spans="2:2">
      <c r="B142" s="100"/>
    </row>
    <row r="143" spans="2:2">
      <c r="B143" s="100"/>
    </row>
    <row r="144" spans="2:2">
      <c r="B144" s="100"/>
    </row>
    <row r="145" spans="2:2">
      <c r="B145" s="100"/>
    </row>
    <row r="146" spans="2:2">
      <c r="B146" s="100"/>
    </row>
    <row r="147" spans="2:2">
      <c r="B147" s="100"/>
    </row>
    <row r="148" spans="2:2">
      <c r="B148" s="100"/>
    </row>
    <row r="149" spans="2:2">
      <c r="B149" s="100"/>
    </row>
    <row r="150" spans="2:2">
      <c r="B150" s="100"/>
    </row>
    <row r="151" spans="2:2">
      <c r="B151" s="100"/>
    </row>
    <row r="152" spans="2:2">
      <c r="B152" s="100"/>
    </row>
    <row r="153" spans="2:2">
      <c r="B153" s="100"/>
    </row>
    <row r="154" spans="2:2">
      <c r="B154" s="100"/>
    </row>
    <row r="155" spans="2:2">
      <c r="B155" s="100"/>
    </row>
    <row r="156" spans="2:2">
      <c r="B156" s="100"/>
    </row>
    <row r="157" spans="2:2">
      <c r="B157" s="100"/>
    </row>
    <row r="158" spans="2:2">
      <c r="B158" s="100"/>
    </row>
    <row r="159" spans="2:2">
      <c r="B159" s="100"/>
    </row>
    <row r="160" spans="2:2">
      <c r="B160" s="100"/>
    </row>
    <row r="161" spans="2:2">
      <c r="B161" s="100"/>
    </row>
    <row r="162" spans="2:2">
      <c r="B162" s="100"/>
    </row>
    <row r="163" spans="2:2">
      <c r="B163" s="100"/>
    </row>
    <row r="164" spans="2:2">
      <c r="B164" s="100"/>
    </row>
    <row r="165" spans="2:2">
      <c r="B165" s="100"/>
    </row>
    <row r="166" spans="2:2">
      <c r="B166" s="100"/>
    </row>
    <row r="167" spans="2:2">
      <c r="B167" s="100"/>
    </row>
    <row r="168" spans="2:2">
      <c r="B168" s="100"/>
    </row>
    <row r="169" spans="2:2">
      <c r="B169" s="100"/>
    </row>
    <row r="170" spans="2:2">
      <c r="B170" s="100"/>
    </row>
    <row r="171" spans="2:2">
      <c r="B171" s="100"/>
    </row>
    <row r="172" spans="2:2">
      <c r="B172" s="100"/>
    </row>
    <row r="173" spans="2:2">
      <c r="B173" s="100"/>
    </row>
    <row r="174" spans="2:2">
      <c r="B174" s="100"/>
    </row>
    <row r="175" spans="2:2">
      <c r="B175" s="100"/>
    </row>
    <row r="176" spans="2:2">
      <c r="B176" s="100"/>
    </row>
    <row r="177" spans="2:2">
      <c r="B177" s="100"/>
    </row>
    <row r="178" spans="2:2">
      <c r="B178" s="100"/>
    </row>
    <row r="179" spans="2:2">
      <c r="B179" s="100"/>
    </row>
    <row r="180" spans="2:2">
      <c r="B180" s="100"/>
    </row>
    <row r="181" spans="2:2">
      <c r="B181" s="100"/>
    </row>
    <row r="182" spans="2:2">
      <c r="B182" s="100"/>
    </row>
    <row r="183" spans="2:2">
      <c r="B183" s="100"/>
    </row>
    <row r="184" spans="2:2">
      <c r="B184" s="100"/>
    </row>
    <row r="185" spans="2:2">
      <c r="B185" s="100"/>
    </row>
    <row r="186" spans="2:2">
      <c r="B186" s="100"/>
    </row>
    <row r="187" spans="2:2">
      <c r="B187" s="100"/>
    </row>
    <row r="188" spans="2:2">
      <c r="B188" s="100"/>
    </row>
    <row r="189" spans="2:2">
      <c r="B189" s="100"/>
    </row>
    <row r="190" spans="2:2">
      <c r="B190" s="100"/>
    </row>
    <row r="191" spans="2:2">
      <c r="B191" s="100"/>
    </row>
    <row r="192" spans="2:2">
      <c r="B192" s="100"/>
    </row>
    <row r="193" spans="2:2">
      <c r="B193" s="100"/>
    </row>
    <row r="194" spans="2:2">
      <c r="B194" s="100"/>
    </row>
    <row r="195" spans="2:2">
      <c r="B195" s="100"/>
    </row>
    <row r="196" spans="2:2">
      <c r="B196" s="100"/>
    </row>
    <row r="197" spans="2:2">
      <c r="B197" s="100"/>
    </row>
    <row r="198" spans="2:2">
      <c r="B198" s="100"/>
    </row>
    <row r="199" spans="2:2">
      <c r="B199" s="100"/>
    </row>
    <row r="200" spans="2:2">
      <c r="B200" s="100"/>
    </row>
    <row r="201" spans="2:2">
      <c r="B201" s="100"/>
    </row>
    <row r="202" spans="2:2">
      <c r="B202" s="100"/>
    </row>
    <row r="203" spans="2:2">
      <c r="B203" s="100"/>
    </row>
    <row r="204" spans="2:2">
      <c r="B204" s="100"/>
    </row>
    <row r="205" spans="2:2">
      <c r="B205" s="100"/>
    </row>
    <row r="206" spans="2:2">
      <c r="B206" s="100"/>
    </row>
    <row r="207" spans="2:2">
      <c r="B207" s="100"/>
    </row>
    <row r="208" spans="2:2">
      <c r="B208" s="100"/>
    </row>
    <row r="209" spans="2:2">
      <c r="B209" s="100"/>
    </row>
    <row r="210" spans="2:2">
      <c r="B210" s="100"/>
    </row>
    <row r="211" spans="2:2">
      <c r="B211" s="100"/>
    </row>
    <row r="212" spans="2:2">
      <c r="B212" s="100"/>
    </row>
    <row r="213" spans="2:2">
      <c r="B213" s="100"/>
    </row>
    <row r="214" spans="2:2">
      <c r="B214" s="100"/>
    </row>
    <row r="215" spans="2:2">
      <c r="B215" s="100"/>
    </row>
    <row r="216" spans="2:2">
      <c r="B216" s="100"/>
    </row>
    <row r="217" spans="2:2">
      <c r="B217" s="100"/>
    </row>
    <row r="218" spans="2:2">
      <c r="B218" s="100"/>
    </row>
    <row r="219" spans="2:2">
      <c r="B219" s="100"/>
    </row>
    <row r="220" spans="2:2">
      <c r="B220" s="100"/>
    </row>
    <row r="221" spans="2:2">
      <c r="B221" s="100"/>
    </row>
    <row r="222" spans="2:2">
      <c r="B222" s="100"/>
    </row>
    <row r="223" spans="2:2">
      <c r="B223" s="100"/>
    </row>
    <row r="224" spans="2:2">
      <c r="B224" s="100"/>
    </row>
    <row r="225" spans="2:2">
      <c r="B225" s="100"/>
    </row>
    <row r="226" spans="2:2">
      <c r="B226" s="100"/>
    </row>
    <row r="227" spans="2:2">
      <c r="B227" s="100"/>
    </row>
    <row r="228" spans="2:2">
      <c r="B228" s="100"/>
    </row>
    <row r="229" spans="2:2">
      <c r="B229" s="100"/>
    </row>
    <row r="230" spans="2:2">
      <c r="B230" s="100"/>
    </row>
    <row r="231" spans="2:2">
      <c r="B231" s="100"/>
    </row>
    <row r="232" spans="2:2">
      <c r="B232" s="100"/>
    </row>
    <row r="233" spans="2:2">
      <c r="B233" s="100"/>
    </row>
    <row r="234" spans="2:2">
      <c r="B234" s="100"/>
    </row>
    <row r="235" spans="2:2">
      <c r="B235" s="100"/>
    </row>
    <row r="236" spans="2:2">
      <c r="B236" s="100"/>
    </row>
    <row r="237" spans="2:2">
      <c r="B237" s="100"/>
    </row>
    <row r="238" spans="2:2">
      <c r="B238" s="100"/>
    </row>
    <row r="239" spans="2:2">
      <c r="B239" s="100"/>
    </row>
    <row r="240" spans="2:2">
      <c r="B240" s="100"/>
    </row>
    <row r="241" spans="2:2">
      <c r="B241" s="100"/>
    </row>
    <row r="242" spans="2:2">
      <c r="B242" s="100"/>
    </row>
    <row r="243" spans="2:2">
      <c r="B243" s="100"/>
    </row>
    <row r="244" spans="2:2">
      <c r="B244" s="100"/>
    </row>
    <row r="245" spans="2:2">
      <c r="B245" s="100"/>
    </row>
    <row r="246" spans="2:2">
      <c r="B246" s="100"/>
    </row>
    <row r="247" spans="2:2">
      <c r="B247" s="100"/>
    </row>
    <row r="248" spans="2:2">
      <c r="B248" s="100"/>
    </row>
    <row r="249" spans="2:2">
      <c r="B249" s="100"/>
    </row>
    <row r="250" spans="2:2">
      <c r="B250" s="100"/>
    </row>
    <row r="251" spans="2:2">
      <c r="B251" s="100"/>
    </row>
    <row r="252" spans="2:2">
      <c r="B252" s="100"/>
    </row>
    <row r="253" spans="2:2">
      <c r="B253" s="100"/>
    </row>
    <row r="254" spans="2:2">
      <c r="B254" s="100"/>
    </row>
    <row r="255" spans="2:2">
      <c r="B255" s="100"/>
    </row>
    <row r="256" spans="2:2">
      <c r="B256" s="100"/>
    </row>
    <row r="257" spans="2:2">
      <c r="B257" s="100"/>
    </row>
    <row r="258" spans="2:2">
      <c r="B258" s="100"/>
    </row>
    <row r="259" spans="2:2">
      <c r="B259" s="100"/>
    </row>
    <row r="260" spans="2:2">
      <c r="B260" s="100"/>
    </row>
    <row r="261" spans="2:2">
      <c r="B261" s="100"/>
    </row>
    <row r="262" spans="2:2">
      <c r="B262" s="100"/>
    </row>
    <row r="263" spans="2:2">
      <c r="B263" s="100"/>
    </row>
    <row r="264" spans="2:2">
      <c r="B264" s="100"/>
    </row>
    <row r="265" spans="2:2">
      <c r="B265" s="100"/>
    </row>
    <row r="266" spans="2:2">
      <c r="B266" s="100"/>
    </row>
    <row r="267" spans="2:2">
      <c r="B267" s="100"/>
    </row>
    <row r="268" spans="2:2">
      <c r="B268" s="100"/>
    </row>
    <row r="269" spans="2:2">
      <c r="B269" s="100"/>
    </row>
    <row r="270" spans="2:2">
      <c r="B270" s="100"/>
    </row>
    <row r="271" spans="2:2">
      <c r="B271" s="100"/>
    </row>
    <row r="272" spans="2:2">
      <c r="B272" s="100"/>
    </row>
    <row r="273" spans="2:2">
      <c r="B273" s="100"/>
    </row>
    <row r="274" spans="2:2">
      <c r="B274" s="100"/>
    </row>
    <row r="275" spans="2:2">
      <c r="B275" s="100"/>
    </row>
    <row r="276" spans="2:2">
      <c r="B276" s="100"/>
    </row>
    <row r="277" spans="2:2">
      <c r="B277" s="100"/>
    </row>
    <row r="278" spans="2:2">
      <c r="B278" s="100"/>
    </row>
    <row r="279" spans="2:2">
      <c r="B279" s="100"/>
    </row>
    <row r="280" spans="2:2">
      <c r="B280" s="100"/>
    </row>
    <row r="281" spans="2:2">
      <c r="B281" s="100"/>
    </row>
    <row r="282" spans="2:2">
      <c r="B282" s="100"/>
    </row>
    <row r="283" spans="2:2">
      <c r="B283" s="100"/>
    </row>
    <row r="284" spans="2:2">
      <c r="B284" s="100"/>
    </row>
    <row r="285" spans="2:2">
      <c r="B285" s="100"/>
    </row>
    <row r="286" spans="2:2">
      <c r="B286" s="100"/>
    </row>
    <row r="287" spans="2:2">
      <c r="B287" s="100"/>
    </row>
    <row r="288" spans="2:2">
      <c r="B288" s="100"/>
    </row>
    <row r="289" spans="2:2">
      <c r="B289" s="100"/>
    </row>
    <row r="290" spans="2:2">
      <c r="B290" s="100"/>
    </row>
    <row r="291" spans="2:2">
      <c r="B291" s="100"/>
    </row>
    <row r="292" spans="2:2">
      <c r="B292" s="100"/>
    </row>
    <row r="293" spans="2:2">
      <c r="B293" s="100"/>
    </row>
    <row r="294" spans="2:2">
      <c r="B294" s="100"/>
    </row>
    <row r="295" spans="2:2">
      <c r="B295" s="100"/>
    </row>
    <row r="296" spans="2:2">
      <c r="B296" s="100"/>
    </row>
    <row r="297" spans="2:2">
      <c r="B297" s="100"/>
    </row>
    <row r="298" spans="2:2">
      <c r="B298" s="100"/>
    </row>
    <row r="299" spans="2:2">
      <c r="B299" s="100"/>
    </row>
    <row r="300" spans="2:2">
      <c r="B300" s="100"/>
    </row>
    <row r="301" spans="2:2">
      <c r="B301" s="100"/>
    </row>
    <row r="302" spans="2:2">
      <c r="B302" s="100"/>
    </row>
    <row r="303" spans="2:2">
      <c r="B303" s="100"/>
    </row>
    <row r="304" spans="2:2">
      <c r="B304" s="100"/>
    </row>
    <row r="305" spans="2:2">
      <c r="B305" s="100"/>
    </row>
    <row r="306" spans="2:2">
      <c r="B306" s="100"/>
    </row>
    <row r="307" spans="2:2">
      <c r="B307" s="100"/>
    </row>
    <row r="308" spans="2:2">
      <c r="B308" s="100"/>
    </row>
    <row r="309" spans="2:2">
      <c r="B309" s="100"/>
    </row>
    <row r="310" spans="2:2">
      <c r="B310" s="100"/>
    </row>
    <row r="311" spans="2:2">
      <c r="B311" s="100"/>
    </row>
    <row r="312" spans="2:2">
      <c r="B312" s="100"/>
    </row>
    <row r="313" spans="2:2">
      <c r="B313" s="100"/>
    </row>
    <row r="314" spans="2:2">
      <c r="B314" s="100"/>
    </row>
    <row r="315" spans="2:2">
      <c r="B315" s="100"/>
    </row>
    <row r="316" spans="2:2">
      <c r="B316" s="100"/>
    </row>
    <row r="317" spans="2:2">
      <c r="B317" s="100"/>
    </row>
    <row r="318" spans="2:2">
      <c r="B318" s="100"/>
    </row>
    <row r="319" spans="2:2">
      <c r="B319" s="100"/>
    </row>
    <row r="320" spans="2:2">
      <c r="B320" s="100"/>
    </row>
    <row r="321" spans="2:2">
      <c r="B321" s="100"/>
    </row>
    <row r="322" spans="2:2">
      <c r="B322" s="100"/>
    </row>
    <row r="323" spans="2:2">
      <c r="B323" s="100"/>
    </row>
    <row r="324" spans="2:2">
      <c r="B324" s="100"/>
    </row>
    <row r="325" spans="2:2">
      <c r="B325" s="100"/>
    </row>
    <row r="326" spans="2:2">
      <c r="B326" s="100"/>
    </row>
    <row r="327" spans="2:2">
      <c r="B327" s="100"/>
    </row>
    <row r="328" spans="2:2">
      <c r="B328" s="100"/>
    </row>
    <row r="329" spans="2:2">
      <c r="B329" s="100"/>
    </row>
    <row r="330" spans="2:2">
      <c r="B330" s="100"/>
    </row>
    <row r="331" spans="2:2">
      <c r="B331" s="100"/>
    </row>
    <row r="332" spans="2:2">
      <c r="B332" s="100"/>
    </row>
    <row r="333" spans="2:2">
      <c r="B333" s="100"/>
    </row>
    <row r="334" spans="2:2">
      <c r="B334" s="100"/>
    </row>
    <row r="335" spans="2:2">
      <c r="B335" s="100"/>
    </row>
    <row r="336" spans="2:2">
      <c r="B336" s="100"/>
    </row>
    <row r="337" spans="2:2">
      <c r="B337" s="100"/>
    </row>
    <row r="338" spans="2:2">
      <c r="B338" s="100"/>
    </row>
    <row r="339" spans="2:2">
      <c r="B339" s="100"/>
    </row>
    <row r="340" spans="2:2">
      <c r="B340" s="100"/>
    </row>
    <row r="341" spans="2:2">
      <c r="B341" s="100"/>
    </row>
    <row r="342" spans="2:2">
      <c r="B342" s="100"/>
    </row>
    <row r="343" spans="2:2">
      <c r="B343" s="100"/>
    </row>
    <row r="344" spans="2:2">
      <c r="B344" s="100"/>
    </row>
    <row r="345" spans="2:2">
      <c r="B345" s="100"/>
    </row>
    <row r="346" spans="2:2">
      <c r="B346" s="100"/>
    </row>
    <row r="347" spans="2:2">
      <c r="B347" s="100"/>
    </row>
    <row r="348" spans="2:2">
      <c r="B348" s="100"/>
    </row>
    <row r="349" spans="2:2">
      <c r="B349" s="100"/>
    </row>
    <row r="350" spans="2:2">
      <c r="B350" s="100"/>
    </row>
    <row r="351" spans="2:2">
      <c r="B351" s="100"/>
    </row>
    <row r="352" spans="2:2">
      <c r="B352" s="100"/>
    </row>
    <row r="353" spans="2:2">
      <c r="B353" s="100"/>
    </row>
    <row r="354" spans="2:2">
      <c r="B354" s="100"/>
    </row>
    <row r="355" spans="2:2">
      <c r="B355" s="100"/>
    </row>
    <row r="356" spans="2:2">
      <c r="B356" s="100"/>
    </row>
    <row r="357" spans="2:2">
      <c r="B357" s="100"/>
    </row>
    <row r="358" spans="2:2">
      <c r="B358" s="100"/>
    </row>
    <row r="359" spans="2:2">
      <c r="B359" s="100"/>
    </row>
    <row r="360" spans="2:2">
      <c r="B360" s="100"/>
    </row>
    <row r="361" spans="2:2">
      <c r="B361" s="100"/>
    </row>
    <row r="362" spans="2:2">
      <c r="B362" s="100"/>
    </row>
    <row r="363" spans="2:2">
      <c r="B363" s="100"/>
    </row>
    <row r="364" spans="2:2">
      <c r="B364" s="100"/>
    </row>
    <row r="365" spans="2:2">
      <c r="B365" s="100"/>
    </row>
    <row r="366" spans="2:2">
      <c r="B366" s="100"/>
    </row>
    <row r="367" spans="2:2">
      <c r="B367" s="100"/>
    </row>
    <row r="368" spans="2:2">
      <c r="B368" s="100"/>
    </row>
    <row r="369" spans="2:2">
      <c r="B369" s="100"/>
    </row>
    <row r="370" spans="2:2">
      <c r="B370" s="100"/>
    </row>
    <row r="371" spans="2:2">
      <c r="B371" s="100"/>
    </row>
    <row r="372" spans="2:2">
      <c r="B372" s="100"/>
    </row>
    <row r="373" spans="2:2">
      <c r="B373" s="100"/>
    </row>
    <row r="374" spans="2:2">
      <c r="B374" s="100"/>
    </row>
    <row r="375" spans="2:2">
      <c r="B375" s="100"/>
    </row>
    <row r="376" spans="2:2">
      <c r="B376" s="100"/>
    </row>
    <row r="377" spans="2:2">
      <c r="B377" s="100"/>
    </row>
    <row r="378" spans="2:2">
      <c r="B378" s="100"/>
    </row>
    <row r="379" spans="2:2">
      <c r="B379" s="100"/>
    </row>
    <row r="380" spans="2:2">
      <c r="B380" s="100"/>
    </row>
    <row r="381" spans="2:2">
      <c r="B381" s="100"/>
    </row>
    <row r="382" spans="2:2">
      <c r="B382" s="100"/>
    </row>
    <row r="383" spans="2:2">
      <c r="B383" s="100"/>
    </row>
    <row r="384" spans="2:2">
      <c r="B384" s="100"/>
    </row>
    <row r="385" spans="2:2">
      <c r="B385" s="100"/>
    </row>
    <row r="386" spans="2:2">
      <c r="B386" s="100"/>
    </row>
    <row r="387" spans="2:2">
      <c r="B387" s="100"/>
    </row>
    <row r="388" spans="2:2">
      <c r="B388" s="100"/>
    </row>
    <row r="389" spans="2:2">
      <c r="B389" s="100"/>
    </row>
    <row r="390" spans="2:2">
      <c r="B390" s="100"/>
    </row>
    <row r="391" spans="2:2">
      <c r="B391" s="100"/>
    </row>
    <row r="392" spans="2:2">
      <c r="B392" s="100"/>
    </row>
    <row r="393" spans="2:2">
      <c r="B393" s="100"/>
    </row>
    <row r="394" spans="2:2">
      <c r="B394" s="100"/>
    </row>
    <row r="395" spans="2:2">
      <c r="B395" s="100"/>
    </row>
    <row r="396" spans="2:2">
      <c r="B396" s="100"/>
    </row>
    <row r="397" spans="2:2">
      <c r="B397" s="100"/>
    </row>
    <row r="398" spans="2:2">
      <c r="B398" s="100"/>
    </row>
    <row r="399" spans="2:2">
      <c r="B399" s="100"/>
    </row>
    <row r="400" spans="2:2">
      <c r="B400" s="100"/>
    </row>
    <row r="401" spans="2:2">
      <c r="B401" s="100"/>
    </row>
    <row r="402" spans="2:2">
      <c r="B402" s="100"/>
    </row>
    <row r="403" spans="2:2">
      <c r="B403" s="100"/>
    </row>
    <row r="404" spans="2:2">
      <c r="B404" s="100"/>
    </row>
    <row r="405" spans="2:2">
      <c r="B405" s="100"/>
    </row>
    <row r="406" spans="2:2">
      <c r="B406" s="100"/>
    </row>
    <row r="407" spans="2:2">
      <c r="B407" s="100"/>
    </row>
    <row r="408" spans="2:2">
      <c r="B408" s="100"/>
    </row>
    <row r="409" spans="2:2">
      <c r="B409" s="100"/>
    </row>
    <row r="410" spans="2:2">
      <c r="B410" s="100"/>
    </row>
    <row r="411" spans="2:2">
      <c r="B411" s="100"/>
    </row>
    <row r="412" spans="2:2">
      <c r="B412" s="100"/>
    </row>
    <row r="413" spans="2:2">
      <c r="B413" s="100"/>
    </row>
    <row r="414" spans="2:2">
      <c r="B414" s="100"/>
    </row>
    <row r="415" spans="2:2">
      <c r="B415" s="100"/>
    </row>
    <row r="416" spans="2:2">
      <c r="B416" s="100"/>
    </row>
    <row r="417" spans="2:2">
      <c r="B417" s="100"/>
    </row>
    <row r="418" spans="2:2">
      <c r="B418" s="100"/>
    </row>
    <row r="419" spans="2:2">
      <c r="B419" s="100"/>
    </row>
    <row r="420" spans="2:2">
      <c r="B420" s="100"/>
    </row>
    <row r="421" spans="2:2">
      <c r="B421" s="100"/>
    </row>
    <row r="422" spans="2:2">
      <c r="B422" s="100"/>
    </row>
    <row r="423" spans="2:2">
      <c r="B423" s="100"/>
    </row>
    <row r="424" spans="2:2">
      <c r="B424" s="100"/>
    </row>
    <row r="425" spans="2:2">
      <c r="B425" s="100"/>
    </row>
    <row r="426" spans="2:2">
      <c r="B426" s="100"/>
    </row>
    <row r="427" spans="2:2">
      <c r="B427" s="100"/>
    </row>
    <row r="428" spans="2:2">
      <c r="B428" s="100"/>
    </row>
    <row r="429" spans="2:2">
      <c r="B429" s="100"/>
    </row>
    <row r="430" spans="2:2">
      <c r="B430" s="100"/>
    </row>
    <row r="431" spans="2:2">
      <c r="B431" s="100"/>
    </row>
    <row r="432" spans="2:2">
      <c r="B432" s="100"/>
    </row>
    <row r="433" spans="2:2">
      <c r="B433" s="100"/>
    </row>
    <row r="434" spans="2:2">
      <c r="B434" s="100"/>
    </row>
    <row r="435" spans="2:2">
      <c r="B435" s="100"/>
    </row>
    <row r="436" spans="2:2">
      <c r="B436" s="100"/>
    </row>
    <row r="437" spans="2:2">
      <c r="B437" s="100"/>
    </row>
    <row r="438" spans="2:2">
      <c r="B438" s="100"/>
    </row>
    <row r="439" spans="2:2">
      <c r="B439" s="100"/>
    </row>
    <row r="440" spans="2:2">
      <c r="B440" s="100"/>
    </row>
    <row r="441" spans="2:2">
      <c r="B441" s="100"/>
    </row>
    <row r="442" spans="2:2">
      <c r="B442" s="100"/>
    </row>
    <row r="443" spans="2:2">
      <c r="B443" s="100"/>
    </row>
    <row r="444" spans="2:2">
      <c r="B444" s="100"/>
    </row>
    <row r="445" spans="2:2">
      <c r="B445" s="100"/>
    </row>
    <row r="446" spans="2:2">
      <c r="B446" s="100"/>
    </row>
    <row r="447" spans="2:2">
      <c r="B447" s="100"/>
    </row>
    <row r="448" spans="2:2">
      <c r="B448" s="100"/>
    </row>
    <row r="449" spans="2:2">
      <c r="B449" s="100"/>
    </row>
    <row r="450" spans="2:2">
      <c r="B450" s="100"/>
    </row>
    <row r="451" spans="2:2">
      <c r="B451" s="100"/>
    </row>
    <row r="452" spans="2:2">
      <c r="B452" s="100"/>
    </row>
    <row r="453" spans="2:2">
      <c r="B453" s="100"/>
    </row>
    <row r="454" spans="2:2">
      <c r="B454" s="100"/>
    </row>
    <row r="455" spans="2:2">
      <c r="B455" s="100"/>
    </row>
    <row r="456" spans="2:2">
      <c r="B456" s="100"/>
    </row>
    <row r="457" spans="2:2">
      <c r="B457" s="100"/>
    </row>
    <row r="458" spans="2:2">
      <c r="B458" s="100"/>
    </row>
    <row r="459" spans="2:2">
      <c r="B459" s="100"/>
    </row>
    <row r="460" spans="2:2">
      <c r="B460" s="100"/>
    </row>
    <row r="461" spans="2:2">
      <c r="B461" s="100"/>
    </row>
    <row r="462" spans="2:2">
      <c r="B462" s="100"/>
    </row>
    <row r="463" spans="2:2">
      <c r="B463" s="100"/>
    </row>
    <row r="464" spans="2:2">
      <c r="B464" s="100"/>
    </row>
    <row r="465" spans="2:2">
      <c r="B465" s="100"/>
    </row>
    <row r="466" spans="2:2">
      <c r="B466" s="100"/>
    </row>
    <row r="467" spans="2:2">
      <c r="B467" s="100"/>
    </row>
    <row r="468" spans="2:2">
      <c r="B468" s="100"/>
    </row>
    <row r="469" spans="2:2">
      <c r="B469" s="100"/>
    </row>
    <row r="470" spans="2:2">
      <c r="B470" s="100"/>
    </row>
    <row r="471" spans="2:2">
      <c r="B471" s="100"/>
    </row>
    <row r="472" spans="2:2">
      <c r="B472" s="100"/>
    </row>
    <row r="473" spans="2:2">
      <c r="B473" s="100"/>
    </row>
    <row r="474" spans="2:2">
      <c r="B474" s="100"/>
    </row>
    <row r="475" spans="2:2">
      <c r="B475" s="100"/>
    </row>
    <row r="476" spans="2:2">
      <c r="B476" s="100"/>
    </row>
    <row r="477" spans="2:2">
      <c r="B477" s="100"/>
    </row>
    <row r="478" spans="2:2">
      <c r="B478" s="100"/>
    </row>
    <row r="479" spans="2:2">
      <c r="B479" s="100"/>
    </row>
    <row r="480" spans="2:2">
      <c r="B480" s="100"/>
    </row>
    <row r="481" spans="2:2">
      <c r="B481" s="100"/>
    </row>
    <row r="482" spans="2:2">
      <c r="B482" s="100"/>
    </row>
    <row r="483" spans="2:2">
      <c r="B483" s="100"/>
    </row>
    <row r="484" spans="2:2">
      <c r="B484" s="100"/>
    </row>
    <row r="485" spans="2:2">
      <c r="B485" s="100"/>
    </row>
    <row r="486" spans="2:2">
      <c r="B486" s="100"/>
    </row>
    <row r="487" spans="2:2">
      <c r="B487" s="100"/>
    </row>
    <row r="488" spans="2:2">
      <c r="B488" s="100"/>
    </row>
    <row r="489" spans="2:2">
      <c r="B489" s="100"/>
    </row>
    <row r="490" spans="2:2">
      <c r="B490" s="100"/>
    </row>
    <row r="491" spans="2:2">
      <c r="B491" s="100"/>
    </row>
    <row r="492" spans="2:2">
      <c r="B492" s="100"/>
    </row>
    <row r="493" spans="2:2">
      <c r="B493" s="100"/>
    </row>
    <row r="494" spans="2:2">
      <c r="B494" s="100"/>
    </row>
    <row r="495" spans="2:2">
      <c r="B495" s="100"/>
    </row>
    <row r="496" spans="2:2">
      <c r="B496" s="100"/>
    </row>
    <row r="497" spans="2:2">
      <c r="B497" s="100"/>
    </row>
    <row r="498" spans="2:2">
      <c r="B498" s="100"/>
    </row>
    <row r="499" spans="2:2">
      <c r="B499" s="100"/>
    </row>
    <row r="500" spans="2:2">
      <c r="B500" s="100"/>
    </row>
    <row r="501" spans="2:2">
      <c r="B501" s="100"/>
    </row>
    <row r="502" spans="2:2">
      <c r="B502" s="100"/>
    </row>
    <row r="503" spans="2:2">
      <c r="B503" s="100"/>
    </row>
    <row r="504" spans="2:2">
      <c r="B504" s="100"/>
    </row>
    <row r="505" spans="2:2">
      <c r="B505" s="100"/>
    </row>
    <row r="506" spans="2:2">
      <c r="B506" s="100"/>
    </row>
    <row r="507" spans="2:2">
      <c r="B507" s="100"/>
    </row>
    <row r="508" spans="2:2">
      <c r="B508" s="100"/>
    </row>
    <row r="509" spans="2:2">
      <c r="B509" s="100"/>
    </row>
    <row r="510" spans="2:2">
      <c r="B510" s="100"/>
    </row>
    <row r="511" spans="2:2">
      <c r="B511" s="100"/>
    </row>
    <row r="512" spans="2:2">
      <c r="B512" s="100"/>
    </row>
    <row r="513" spans="2:2">
      <c r="B513" s="100"/>
    </row>
    <row r="514" spans="2:2">
      <c r="B514" s="100"/>
    </row>
    <row r="515" spans="2:2">
      <c r="B515" s="100"/>
    </row>
    <row r="516" spans="2:2">
      <c r="B516" s="100"/>
    </row>
    <row r="517" spans="2:2">
      <c r="B517" s="100"/>
    </row>
    <row r="518" spans="2:2">
      <c r="B518" s="100"/>
    </row>
    <row r="519" spans="2:2">
      <c r="B519" s="100"/>
    </row>
    <row r="520" spans="2:2">
      <c r="B520" s="100"/>
    </row>
    <row r="521" spans="2:2">
      <c r="B521" s="100"/>
    </row>
    <row r="522" spans="2:2">
      <c r="B522" s="100"/>
    </row>
    <row r="523" spans="2:2">
      <c r="B523" s="100"/>
    </row>
    <row r="524" spans="2:2">
      <c r="B524" s="100"/>
    </row>
    <row r="525" spans="2:2">
      <c r="B525" s="100"/>
    </row>
    <row r="526" spans="2:2">
      <c r="B526" s="100"/>
    </row>
    <row r="527" spans="2:2">
      <c r="B527" s="100"/>
    </row>
    <row r="528" spans="2:2">
      <c r="B528" s="100"/>
    </row>
    <row r="529" spans="2:2">
      <c r="B529" s="100"/>
    </row>
    <row r="530" spans="2:2">
      <c r="B530" s="100"/>
    </row>
    <row r="531" spans="2:2">
      <c r="B531" s="100"/>
    </row>
    <row r="532" spans="2:2">
      <c r="B532" s="100"/>
    </row>
    <row r="533" spans="2:2">
      <c r="B533" s="100"/>
    </row>
    <row r="534" spans="2:2">
      <c r="B534" s="100"/>
    </row>
    <row r="535" spans="2:2">
      <c r="B535" s="100"/>
    </row>
    <row r="536" spans="2:2">
      <c r="B536" s="100"/>
    </row>
    <row r="537" spans="2:2">
      <c r="B537" s="100"/>
    </row>
    <row r="538" spans="2:2">
      <c r="B538" s="100"/>
    </row>
    <row r="539" spans="2:2">
      <c r="B539" s="100"/>
    </row>
    <row r="540" spans="2:2">
      <c r="B540" s="100"/>
    </row>
    <row r="541" spans="2:2">
      <c r="B541" s="100"/>
    </row>
    <row r="542" spans="2:2">
      <c r="B542" s="100"/>
    </row>
    <row r="543" spans="2:2">
      <c r="B543" s="100"/>
    </row>
    <row r="544" spans="2:2">
      <c r="B544" s="100"/>
    </row>
    <row r="545" spans="2:2">
      <c r="B545" s="100"/>
    </row>
    <row r="546" spans="2:2">
      <c r="B546" s="100"/>
    </row>
    <row r="547" spans="2:2">
      <c r="B547" s="100"/>
    </row>
    <row r="548" spans="2:2">
      <c r="B548" s="100"/>
    </row>
    <row r="549" spans="2:2">
      <c r="B549" s="100"/>
    </row>
    <row r="550" spans="2:2">
      <c r="B550" s="100"/>
    </row>
    <row r="551" spans="2:2">
      <c r="B551" s="100"/>
    </row>
    <row r="552" spans="2:2">
      <c r="B552" s="100"/>
    </row>
    <row r="553" spans="2:2">
      <c r="B553" s="100"/>
    </row>
    <row r="554" spans="2:2">
      <c r="B554" s="100"/>
    </row>
    <row r="555" spans="2:2">
      <c r="B555" s="100"/>
    </row>
    <row r="556" spans="2:2">
      <c r="B556" s="100"/>
    </row>
    <row r="557" spans="2:2">
      <c r="B557" s="100"/>
    </row>
    <row r="558" spans="2:2">
      <c r="B558" s="100"/>
    </row>
    <row r="559" spans="2:2">
      <c r="B559" s="100"/>
    </row>
    <row r="560" spans="2:2">
      <c r="B560" s="100"/>
    </row>
    <row r="561" spans="2:2">
      <c r="B561" s="100"/>
    </row>
    <row r="562" spans="2:2">
      <c r="B562" s="100"/>
    </row>
    <row r="563" spans="2:2">
      <c r="B563" s="100"/>
    </row>
    <row r="564" spans="2:2">
      <c r="B564" s="100"/>
    </row>
    <row r="565" spans="2:2">
      <c r="B565" s="100"/>
    </row>
    <row r="566" spans="2:2">
      <c r="B566" s="100"/>
    </row>
    <row r="567" spans="2:2">
      <c r="B567" s="100"/>
    </row>
    <row r="568" spans="2:2">
      <c r="B568" s="100"/>
    </row>
    <row r="569" spans="2:2">
      <c r="B569" s="100"/>
    </row>
    <row r="570" spans="2:2">
      <c r="B570" s="100"/>
    </row>
    <row r="571" spans="2:2">
      <c r="B571" s="100"/>
    </row>
    <row r="572" spans="2:2">
      <c r="B572" s="100"/>
    </row>
    <row r="573" spans="2:2">
      <c r="B573" s="100"/>
    </row>
    <row r="574" spans="2:2">
      <c r="B574" s="100"/>
    </row>
    <row r="575" spans="2:2">
      <c r="B575" s="100"/>
    </row>
    <row r="576" spans="2:2">
      <c r="B576" s="100"/>
    </row>
    <row r="577" spans="2:2">
      <c r="B577" s="100"/>
    </row>
    <row r="578" spans="2:2">
      <c r="B578" s="100"/>
    </row>
    <row r="579" spans="2:2">
      <c r="B579" s="100"/>
    </row>
    <row r="580" spans="2:2">
      <c r="B580" s="100"/>
    </row>
    <row r="581" spans="2:2">
      <c r="B581" s="100"/>
    </row>
    <row r="582" spans="2:2">
      <c r="B582" s="100"/>
    </row>
    <row r="583" spans="2:2">
      <c r="B583" s="100"/>
    </row>
    <row r="584" spans="2:2">
      <c r="B584" s="100"/>
    </row>
    <row r="585" spans="2:2">
      <c r="B585" s="100"/>
    </row>
    <row r="586" spans="2:2">
      <c r="B586" s="100"/>
    </row>
    <row r="587" spans="2:2">
      <c r="B587" s="100"/>
    </row>
    <row r="588" spans="2:2">
      <c r="B588" s="100"/>
    </row>
    <row r="589" spans="2:2">
      <c r="B589" s="100"/>
    </row>
    <row r="590" spans="2:2">
      <c r="B590" s="100"/>
    </row>
    <row r="591" spans="2:2">
      <c r="B591" s="100"/>
    </row>
    <row r="592" spans="2:2">
      <c r="B592" s="100"/>
    </row>
    <row r="593" spans="2:2">
      <c r="B593" s="100"/>
    </row>
    <row r="594" spans="2:2">
      <c r="B594" s="100"/>
    </row>
    <row r="595" spans="2:2">
      <c r="B595" s="100"/>
    </row>
    <row r="596" spans="2:2">
      <c r="B596" s="100"/>
    </row>
    <row r="597" spans="2:2">
      <c r="B597" s="100"/>
    </row>
    <row r="598" spans="2:2">
      <c r="B598" s="100"/>
    </row>
    <row r="599" spans="2:2">
      <c r="B599" s="100"/>
    </row>
    <row r="600" spans="2:2">
      <c r="B600" s="100"/>
    </row>
    <row r="601" spans="2:2">
      <c r="B601" s="100"/>
    </row>
    <row r="602" spans="2:2">
      <c r="B602" s="100"/>
    </row>
    <row r="603" spans="2:2">
      <c r="B603" s="100"/>
    </row>
    <row r="604" spans="2:2">
      <c r="B604" s="100"/>
    </row>
    <row r="605" spans="2:2">
      <c r="B605" s="100"/>
    </row>
    <row r="606" spans="2:2">
      <c r="B606" s="100"/>
    </row>
    <row r="607" spans="2:2">
      <c r="B607" s="100"/>
    </row>
    <row r="608" spans="2:2">
      <c r="B608" s="100"/>
    </row>
    <row r="609" spans="2:2">
      <c r="B609" s="100"/>
    </row>
    <row r="610" spans="2:2">
      <c r="B610" s="100"/>
    </row>
    <row r="611" spans="2:2">
      <c r="B611" s="100"/>
    </row>
    <row r="612" spans="2:2">
      <c r="B612" s="100"/>
    </row>
    <row r="613" spans="2:2">
      <c r="B613" s="100"/>
    </row>
    <row r="614" spans="2:2">
      <c r="B614" s="100"/>
    </row>
    <row r="615" spans="2:2">
      <c r="B615" s="100"/>
    </row>
    <row r="616" spans="2:2">
      <c r="B616" s="100"/>
    </row>
    <row r="617" spans="2:2">
      <c r="B617" s="100"/>
    </row>
    <row r="618" spans="2:2">
      <c r="B618" s="100"/>
    </row>
    <row r="619" spans="2:2">
      <c r="B619" s="100"/>
    </row>
    <row r="620" spans="2:2">
      <c r="B620" s="100"/>
    </row>
    <row r="621" spans="2:2">
      <c r="B621" s="100"/>
    </row>
    <row r="622" spans="2:2">
      <c r="B622" s="100"/>
    </row>
    <row r="623" spans="2:2">
      <c r="B623" s="100"/>
    </row>
    <row r="624" spans="2:2">
      <c r="B624" s="100"/>
    </row>
    <row r="625" spans="2:2">
      <c r="B625" s="100"/>
    </row>
    <row r="626" spans="2:2">
      <c r="B626" s="100"/>
    </row>
    <row r="627" spans="2:2">
      <c r="B627" s="100"/>
    </row>
    <row r="628" spans="2:2">
      <c r="B628" s="100"/>
    </row>
    <row r="629" spans="2:2">
      <c r="B629" s="100"/>
    </row>
    <row r="630" spans="2:2">
      <c r="B630" s="100"/>
    </row>
    <row r="631" spans="2:2">
      <c r="B631" s="100"/>
    </row>
    <row r="632" spans="2:2">
      <c r="B632" s="100"/>
    </row>
    <row r="633" spans="2:2">
      <c r="B633" s="100"/>
    </row>
    <row r="634" spans="2:2">
      <c r="B634" s="100"/>
    </row>
    <row r="635" spans="2:2">
      <c r="B635" s="100"/>
    </row>
    <row r="636" spans="2:2">
      <c r="B636" s="100"/>
    </row>
    <row r="637" spans="2:2">
      <c r="B637" s="100"/>
    </row>
    <row r="638" spans="2:2">
      <c r="B638" s="100"/>
    </row>
    <row r="639" spans="2:2">
      <c r="B639" s="100"/>
    </row>
    <row r="640" spans="2:2">
      <c r="B640" s="100"/>
    </row>
    <row r="641" spans="2:2">
      <c r="B641" s="100"/>
    </row>
    <row r="642" spans="2:2">
      <c r="B642" s="100"/>
    </row>
    <row r="643" spans="2:2">
      <c r="B643" s="100"/>
    </row>
    <row r="644" spans="2:2">
      <c r="B644" s="100"/>
    </row>
    <row r="645" spans="2:2">
      <c r="B645" s="100"/>
    </row>
    <row r="646" spans="2:2">
      <c r="B646" s="100"/>
    </row>
    <row r="647" spans="2:2">
      <c r="B647" s="100"/>
    </row>
    <row r="648" spans="2:2">
      <c r="B648" s="100"/>
    </row>
    <row r="649" spans="2:2">
      <c r="B649" s="100"/>
    </row>
    <row r="650" spans="2:2">
      <c r="B650" s="100"/>
    </row>
    <row r="651" spans="2:2">
      <c r="B651" s="100"/>
    </row>
    <row r="652" spans="2:2">
      <c r="B652" s="100"/>
    </row>
    <row r="653" spans="2:2">
      <c r="B653" s="100"/>
    </row>
    <row r="654" spans="2:2">
      <c r="B654" s="100"/>
    </row>
    <row r="655" spans="2:2">
      <c r="B655" s="100"/>
    </row>
    <row r="656" spans="2:2">
      <c r="B656" s="100"/>
    </row>
    <row r="657" spans="2:2">
      <c r="B657" s="100"/>
    </row>
    <row r="658" spans="2:2">
      <c r="B658" s="100"/>
    </row>
    <row r="659" spans="2:2">
      <c r="B659" s="100"/>
    </row>
    <row r="660" spans="2:2">
      <c r="B660" s="100"/>
    </row>
    <row r="661" spans="2:2">
      <c r="B661" s="100"/>
    </row>
    <row r="662" spans="2:2">
      <c r="B662" s="100"/>
    </row>
    <row r="663" spans="2:2">
      <c r="B663" s="100"/>
    </row>
    <row r="664" spans="2:2">
      <c r="B664" s="100"/>
    </row>
    <row r="665" spans="2:2">
      <c r="B665" s="100"/>
    </row>
    <row r="666" spans="2:2">
      <c r="B666" s="100"/>
    </row>
    <row r="667" spans="2:2">
      <c r="B667" s="100"/>
    </row>
    <row r="668" spans="2:2">
      <c r="B668" s="100"/>
    </row>
    <row r="669" spans="2:2">
      <c r="B669" s="100"/>
    </row>
    <row r="670" spans="2:2">
      <c r="B670" s="100"/>
    </row>
    <row r="671" spans="2:2">
      <c r="B671" s="100"/>
    </row>
    <row r="672" spans="2:2">
      <c r="B672" s="100"/>
    </row>
    <row r="673" spans="2:2">
      <c r="B673" s="100"/>
    </row>
    <row r="674" spans="2:2">
      <c r="B674" s="100"/>
    </row>
    <row r="675" spans="2:2">
      <c r="B675" s="100"/>
    </row>
    <row r="676" spans="2:2">
      <c r="B676" s="100"/>
    </row>
    <row r="677" spans="2:2">
      <c r="B677" s="100"/>
    </row>
    <row r="678" spans="2:2">
      <c r="B678" s="100"/>
    </row>
    <row r="679" spans="2:2">
      <c r="B679" s="100"/>
    </row>
    <row r="680" spans="2:2">
      <c r="B680" s="100"/>
    </row>
    <row r="681" spans="2:2">
      <c r="B681" s="100"/>
    </row>
    <row r="682" spans="2:2">
      <c r="B682" s="100"/>
    </row>
    <row r="683" spans="2:2">
      <c r="B683" s="100"/>
    </row>
    <row r="684" spans="2:2">
      <c r="B684" s="100"/>
    </row>
    <row r="685" spans="2:2">
      <c r="B685" s="100"/>
    </row>
    <row r="686" spans="2:2">
      <c r="B686" s="100"/>
    </row>
    <row r="687" spans="2:2">
      <c r="B687" s="100"/>
    </row>
    <row r="688" spans="2:2">
      <c r="B688" s="100"/>
    </row>
    <row r="689" spans="2:2">
      <c r="B689" s="100"/>
    </row>
    <row r="690" spans="2:2">
      <c r="B690" s="100"/>
    </row>
    <row r="691" spans="2:2">
      <c r="B691" s="100"/>
    </row>
    <row r="692" spans="2:2">
      <c r="B692" s="100"/>
    </row>
    <row r="693" spans="2:2">
      <c r="B693" s="100"/>
    </row>
    <row r="694" spans="2:2">
      <c r="B694" s="100"/>
    </row>
    <row r="695" spans="2:2">
      <c r="B695" s="100"/>
    </row>
    <row r="696" spans="2:2">
      <c r="B696" s="100"/>
    </row>
    <row r="697" spans="2:2">
      <c r="B697" s="100"/>
    </row>
    <row r="698" spans="2:2">
      <c r="B698" s="100"/>
    </row>
    <row r="699" spans="2:2">
      <c r="B699" s="100"/>
    </row>
    <row r="700" spans="2:2">
      <c r="B700" s="100"/>
    </row>
    <row r="701" spans="2:2">
      <c r="B701" s="100"/>
    </row>
    <row r="702" spans="2:2">
      <c r="B702" s="100"/>
    </row>
    <row r="703" spans="2:2">
      <c r="B703" s="100"/>
    </row>
    <row r="704" spans="2:2">
      <c r="B704" s="100"/>
    </row>
    <row r="705" spans="2:2">
      <c r="B705" s="100"/>
    </row>
    <row r="706" spans="2:2">
      <c r="B706" s="100"/>
    </row>
    <row r="707" spans="2:2">
      <c r="B707" s="100"/>
    </row>
    <row r="708" spans="2:2">
      <c r="B708" s="100"/>
    </row>
    <row r="709" spans="2:2">
      <c r="B709" s="100"/>
    </row>
    <row r="710" spans="2:2">
      <c r="B710" s="100"/>
    </row>
    <row r="711" spans="2:2">
      <c r="B711" s="100"/>
    </row>
    <row r="712" spans="2:2">
      <c r="B712" s="100"/>
    </row>
    <row r="713" spans="2:2">
      <c r="B713" s="100"/>
    </row>
    <row r="714" spans="2:2">
      <c r="B714" s="100"/>
    </row>
    <row r="715" spans="2:2">
      <c r="B715" s="100"/>
    </row>
    <row r="716" spans="2:2">
      <c r="B716" s="100"/>
    </row>
    <row r="717" spans="2:2">
      <c r="B717" s="100"/>
    </row>
    <row r="718" spans="2:2">
      <c r="B718" s="100"/>
    </row>
    <row r="719" spans="2:2">
      <c r="B719" s="100"/>
    </row>
    <row r="720" spans="2:2">
      <c r="B720" s="100"/>
    </row>
    <row r="721" spans="2:2">
      <c r="B721" s="100"/>
    </row>
    <row r="722" spans="2:2">
      <c r="B722" s="100"/>
    </row>
    <row r="723" spans="2:2">
      <c r="B723" s="100"/>
    </row>
    <row r="724" spans="2:2">
      <c r="B724" s="100"/>
    </row>
    <row r="725" spans="2:2">
      <c r="B725" s="100"/>
    </row>
    <row r="726" spans="2:2">
      <c r="B726" s="100"/>
    </row>
    <row r="727" spans="2:2">
      <c r="B727" s="100"/>
    </row>
    <row r="728" spans="2:2">
      <c r="B728" s="100"/>
    </row>
    <row r="729" spans="2:2">
      <c r="B729" s="100"/>
    </row>
    <row r="730" spans="2:2">
      <c r="B730" s="100"/>
    </row>
    <row r="731" spans="2:2">
      <c r="B731" s="100"/>
    </row>
    <row r="732" spans="2:2">
      <c r="B732" s="100"/>
    </row>
    <row r="733" spans="2:2">
      <c r="B733" s="100"/>
    </row>
    <row r="734" spans="2:2">
      <c r="B734" s="100"/>
    </row>
    <row r="735" spans="2:2">
      <c r="B735" s="100"/>
    </row>
    <row r="736" spans="2:2">
      <c r="B736" s="100"/>
    </row>
    <row r="737" spans="2:2">
      <c r="B737" s="100"/>
    </row>
    <row r="738" spans="2:2">
      <c r="B738" s="100"/>
    </row>
    <row r="739" spans="2:2">
      <c r="B739" s="100"/>
    </row>
    <row r="740" spans="2:2">
      <c r="B740" s="100"/>
    </row>
    <row r="741" spans="2:2">
      <c r="B741" s="100"/>
    </row>
    <row r="742" spans="2:2">
      <c r="B742" s="100"/>
    </row>
    <row r="743" spans="2:2">
      <c r="B743" s="100"/>
    </row>
    <row r="744" spans="2:2">
      <c r="B744" s="100"/>
    </row>
    <row r="745" spans="2:2">
      <c r="B745" s="100"/>
    </row>
    <row r="746" spans="2:2">
      <c r="B746" s="100"/>
    </row>
    <row r="747" spans="2:2">
      <c r="B747" s="100"/>
    </row>
    <row r="748" spans="2:2">
      <c r="B748" s="100"/>
    </row>
    <row r="749" spans="2:2">
      <c r="B749" s="100"/>
    </row>
    <row r="750" spans="2:2">
      <c r="B750" s="100"/>
    </row>
    <row r="751" spans="2:2">
      <c r="B751" s="100"/>
    </row>
    <row r="752" spans="2:2">
      <c r="B752" s="100"/>
    </row>
    <row r="753" spans="2:2">
      <c r="B753" s="100"/>
    </row>
    <row r="754" spans="2:2">
      <c r="B754" s="100"/>
    </row>
    <row r="755" spans="2:2">
      <c r="B755" s="100"/>
    </row>
    <row r="756" spans="2:2">
      <c r="B756" s="100"/>
    </row>
    <row r="757" spans="2:2">
      <c r="B757" s="100"/>
    </row>
    <row r="758" spans="2:2">
      <c r="B758" s="100"/>
    </row>
    <row r="759" spans="2:2">
      <c r="B759" s="100"/>
    </row>
    <row r="760" spans="2:2">
      <c r="B760" s="100"/>
    </row>
    <row r="761" spans="2:2">
      <c r="B761" s="100"/>
    </row>
    <row r="762" spans="2:2">
      <c r="B762" s="100"/>
    </row>
    <row r="763" spans="2:2">
      <c r="B763" s="100"/>
    </row>
    <row r="764" spans="2:2">
      <c r="B764" s="100"/>
    </row>
    <row r="765" spans="2:2">
      <c r="B765" s="100"/>
    </row>
    <row r="766" spans="2:2">
      <c r="B766" s="100"/>
    </row>
    <row r="767" spans="2:2">
      <c r="B767" s="100"/>
    </row>
    <row r="768" spans="2:2">
      <c r="B768" s="100"/>
    </row>
    <row r="769" spans="2:2">
      <c r="B769" s="100"/>
    </row>
    <row r="770" spans="2:2">
      <c r="B770" s="100"/>
    </row>
    <row r="771" spans="2:2">
      <c r="B771" s="100"/>
    </row>
    <row r="772" spans="2:2">
      <c r="B772" s="100"/>
    </row>
    <row r="773" spans="2:2">
      <c r="B773" s="100"/>
    </row>
    <row r="774" spans="2:2">
      <c r="B774" s="100"/>
    </row>
    <row r="775" spans="2:2">
      <c r="B775" s="100"/>
    </row>
    <row r="776" spans="2:2">
      <c r="B776" s="100"/>
    </row>
    <row r="777" spans="2:2">
      <c r="B777" s="100"/>
    </row>
    <row r="778" spans="2:2">
      <c r="B778" s="100"/>
    </row>
    <row r="779" spans="2:2">
      <c r="B779" s="100"/>
    </row>
    <row r="780" spans="2:2">
      <c r="B780" s="100"/>
    </row>
    <row r="781" spans="2:2">
      <c r="B781" s="100"/>
    </row>
    <row r="782" spans="2:2">
      <c r="B782" s="100"/>
    </row>
    <row r="783" spans="2:2">
      <c r="B783" s="100"/>
    </row>
    <row r="784" spans="2:2">
      <c r="B784" s="100"/>
    </row>
    <row r="785" spans="2:2">
      <c r="B785" s="100"/>
    </row>
    <row r="786" spans="2:2">
      <c r="B786" s="100"/>
    </row>
    <row r="787" spans="2:2">
      <c r="B787" s="100"/>
    </row>
    <row r="788" spans="2:2">
      <c r="B788" s="100"/>
    </row>
    <row r="789" spans="2:2">
      <c r="B789" s="100"/>
    </row>
    <row r="790" spans="2:2">
      <c r="B790" s="100"/>
    </row>
    <row r="791" spans="2:2">
      <c r="B791" s="100"/>
    </row>
    <row r="792" spans="2:2">
      <c r="B792" s="100"/>
    </row>
    <row r="793" spans="2:2">
      <c r="B793" s="100"/>
    </row>
    <row r="794" spans="2:2">
      <c r="B794" s="100"/>
    </row>
    <row r="795" spans="2:2">
      <c r="B795" s="100"/>
    </row>
    <row r="796" spans="2:2">
      <c r="B796" s="100"/>
    </row>
    <row r="797" spans="2:2">
      <c r="B797" s="100"/>
    </row>
    <row r="798" spans="2:2">
      <c r="B798" s="100"/>
    </row>
    <row r="799" spans="2:2">
      <c r="B799" s="100"/>
    </row>
    <row r="800" spans="2:2">
      <c r="B800" s="100"/>
    </row>
    <row r="801" spans="2:2">
      <c r="B801" s="100"/>
    </row>
    <row r="802" spans="2:2">
      <c r="B802" s="100"/>
    </row>
    <row r="803" spans="2:2">
      <c r="B803" s="100"/>
    </row>
    <row r="804" spans="2:2">
      <c r="B804" s="100"/>
    </row>
    <row r="805" spans="2:2">
      <c r="B805" s="100"/>
    </row>
    <row r="806" spans="2:2">
      <c r="B806" s="100"/>
    </row>
    <row r="807" spans="2:2">
      <c r="B807" s="100"/>
    </row>
    <row r="808" spans="2:2">
      <c r="B808" s="100"/>
    </row>
    <row r="809" spans="2:2">
      <c r="B809" s="100"/>
    </row>
    <row r="810" spans="2:2">
      <c r="B810" s="100"/>
    </row>
    <row r="811" spans="2:2">
      <c r="B811" s="100"/>
    </row>
    <row r="812" spans="2:2">
      <c r="B812" s="100"/>
    </row>
    <row r="813" spans="2:2">
      <c r="B813" s="100"/>
    </row>
    <row r="814" spans="2:2">
      <c r="B814" s="100"/>
    </row>
    <row r="815" spans="2:2">
      <c r="B815" s="100"/>
    </row>
    <row r="816" spans="2:2">
      <c r="B816" s="100"/>
    </row>
    <row r="817" spans="2:2">
      <c r="B817" s="100"/>
    </row>
    <row r="818" spans="2:2">
      <c r="B818" s="100"/>
    </row>
    <row r="819" spans="2:2">
      <c r="B819" s="100"/>
    </row>
    <row r="820" spans="2:2">
      <c r="B820" s="100"/>
    </row>
    <row r="821" spans="2:2">
      <c r="B821" s="100"/>
    </row>
    <row r="822" spans="2:2">
      <c r="B822" s="100"/>
    </row>
    <row r="823" spans="2:2">
      <c r="B823" s="100"/>
    </row>
    <row r="824" spans="2:2">
      <c r="B824" s="100"/>
    </row>
    <row r="825" spans="2:2">
      <c r="B825" s="100"/>
    </row>
    <row r="826" spans="2:2">
      <c r="B826" s="100"/>
    </row>
    <row r="827" spans="2:2">
      <c r="B827" s="100"/>
    </row>
    <row r="828" spans="2:2">
      <c r="B828" s="100"/>
    </row>
    <row r="829" spans="2:2">
      <c r="B829" s="100"/>
    </row>
    <row r="830" spans="2:2">
      <c r="B830" s="100"/>
    </row>
    <row r="831" spans="2:2">
      <c r="B831" s="100"/>
    </row>
    <row r="832" spans="2:2">
      <c r="B832" s="100"/>
    </row>
    <row r="833" spans="2:2">
      <c r="B833" s="100"/>
    </row>
    <row r="834" spans="2:2">
      <c r="B834" s="100"/>
    </row>
    <row r="835" spans="2:2">
      <c r="B835" s="100"/>
    </row>
    <row r="836" spans="2:2">
      <c r="B836" s="100"/>
    </row>
    <row r="837" spans="2:2">
      <c r="B837" s="100"/>
    </row>
    <row r="838" spans="2:2">
      <c r="B838" s="100"/>
    </row>
    <row r="839" spans="2:2">
      <c r="B839" s="100"/>
    </row>
    <row r="840" spans="2:2">
      <c r="B840" s="100"/>
    </row>
    <row r="841" spans="2:2">
      <c r="B841" s="100"/>
    </row>
    <row r="842" spans="2:2">
      <c r="B842" s="100"/>
    </row>
    <row r="843" spans="2:2">
      <c r="B843" s="100"/>
    </row>
    <row r="844" spans="2:2">
      <c r="B844" s="100"/>
    </row>
    <row r="845" spans="2:2">
      <c r="B845" s="100"/>
    </row>
    <row r="846" spans="2:2">
      <c r="B846" s="100"/>
    </row>
    <row r="847" spans="2:2">
      <c r="B847" s="100"/>
    </row>
    <row r="848" spans="2:2">
      <c r="B848" s="100"/>
    </row>
    <row r="849" spans="2:2">
      <c r="B849" s="100"/>
    </row>
    <row r="850" spans="2:2">
      <c r="B850" s="100"/>
    </row>
    <row r="851" spans="2:2">
      <c r="B851" s="100"/>
    </row>
    <row r="852" spans="2:2">
      <c r="B852" s="100"/>
    </row>
    <row r="853" spans="2:2">
      <c r="B853" s="100"/>
    </row>
    <row r="854" spans="2:2">
      <c r="B854" s="100"/>
    </row>
    <row r="855" spans="2:2">
      <c r="B855" s="100"/>
    </row>
    <row r="856" spans="2:2">
      <c r="B856" s="100"/>
    </row>
    <row r="857" spans="2:2">
      <c r="B857" s="100"/>
    </row>
    <row r="858" spans="2:2">
      <c r="B858" s="100"/>
    </row>
    <row r="859" spans="2:2">
      <c r="B859" s="100"/>
    </row>
    <row r="860" spans="2:2">
      <c r="B860" s="100"/>
    </row>
    <row r="861" spans="2:2">
      <c r="B861" s="100"/>
    </row>
    <row r="862" spans="2:2">
      <c r="B862" s="100"/>
    </row>
    <row r="863" spans="2:2">
      <c r="B863" s="100"/>
    </row>
    <row r="864" spans="2:2">
      <c r="B864" s="100"/>
    </row>
    <row r="865" spans="2:2">
      <c r="B865" s="100"/>
    </row>
    <row r="866" spans="2:2">
      <c r="B866" s="100"/>
    </row>
    <row r="867" spans="2:2">
      <c r="B867" s="100"/>
    </row>
    <row r="868" spans="2:2">
      <c r="B868" s="100"/>
    </row>
    <row r="869" spans="2:2">
      <c r="B869" s="100"/>
    </row>
    <row r="870" spans="2:2">
      <c r="B870" s="100"/>
    </row>
    <row r="871" spans="2:2">
      <c r="B871" s="100"/>
    </row>
    <row r="872" spans="2:2">
      <c r="B872" s="100"/>
    </row>
    <row r="873" spans="2:2">
      <c r="B873" s="100"/>
    </row>
    <row r="874" spans="2:2">
      <c r="B874" s="100"/>
    </row>
    <row r="875" spans="2:2">
      <c r="B875" s="100"/>
    </row>
    <row r="876" spans="2:2">
      <c r="B876" s="100"/>
    </row>
    <row r="877" spans="2:2">
      <c r="B877" s="100"/>
    </row>
    <row r="878" spans="2:2">
      <c r="B878" s="100"/>
    </row>
    <row r="879" spans="2:2">
      <c r="B879" s="100"/>
    </row>
    <row r="880" spans="2:2">
      <c r="B880" s="100"/>
    </row>
    <row r="881" spans="2:2">
      <c r="B881" s="100"/>
    </row>
    <row r="882" spans="2:2">
      <c r="B882" s="100"/>
    </row>
    <row r="883" spans="2:2">
      <c r="B883" s="100"/>
    </row>
    <row r="884" spans="2:2">
      <c r="B884" s="100"/>
    </row>
    <row r="885" spans="2:2">
      <c r="B885" s="100"/>
    </row>
    <row r="886" spans="2:2">
      <c r="B886" s="100"/>
    </row>
    <row r="887" spans="2:2">
      <c r="B887" s="100"/>
    </row>
    <row r="888" spans="2:2">
      <c r="B888" s="100"/>
    </row>
    <row r="889" spans="2:2">
      <c r="B889" s="100"/>
    </row>
    <row r="890" spans="2:2">
      <c r="B890" s="100"/>
    </row>
    <row r="891" spans="2:2">
      <c r="B891" s="100"/>
    </row>
    <row r="892" spans="2:2">
      <c r="B892" s="100"/>
    </row>
    <row r="893" spans="2:2">
      <c r="B893" s="100"/>
    </row>
    <row r="894" spans="2:2">
      <c r="B894" s="100"/>
    </row>
    <row r="895" spans="2:2">
      <c r="B895" s="100"/>
    </row>
    <row r="896" spans="2:2">
      <c r="B896" s="100"/>
    </row>
    <row r="897" spans="2:2">
      <c r="B897" s="100"/>
    </row>
    <row r="898" spans="2:2">
      <c r="B898" s="100"/>
    </row>
    <row r="899" spans="2:2">
      <c r="B899" s="100"/>
    </row>
    <row r="900" spans="2:2">
      <c r="B900" s="100"/>
    </row>
    <row r="901" spans="2:2">
      <c r="B901" s="100"/>
    </row>
    <row r="902" spans="2:2">
      <c r="B902" s="100"/>
    </row>
    <row r="903" spans="2:2">
      <c r="B903" s="100"/>
    </row>
    <row r="904" spans="2:2">
      <c r="B904" s="100"/>
    </row>
    <row r="905" spans="2:2">
      <c r="B905" s="100"/>
    </row>
    <row r="906" spans="2:2">
      <c r="B906" s="100"/>
    </row>
    <row r="907" spans="2:2">
      <c r="B907" s="100"/>
    </row>
    <row r="908" spans="2:2">
      <c r="B908" s="100"/>
    </row>
    <row r="909" spans="2:2">
      <c r="B909" s="100"/>
    </row>
    <row r="910" spans="2:2">
      <c r="B910" s="100"/>
    </row>
    <row r="911" spans="2:2">
      <c r="B911" s="100"/>
    </row>
    <row r="912" spans="2:2">
      <c r="B912" s="100"/>
    </row>
    <row r="913" spans="2:2">
      <c r="B913" s="100"/>
    </row>
    <row r="914" spans="2:2">
      <c r="B914" s="100"/>
    </row>
    <row r="915" spans="2:2">
      <c r="B915" s="100"/>
    </row>
    <row r="916" spans="2:2">
      <c r="B916" s="100"/>
    </row>
    <row r="917" spans="2:2">
      <c r="B917" s="100"/>
    </row>
    <row r="918" spans="2:2">
      <c r="B918" s="100"/>
    </row>
    <row r="919" spans="2:2">
      <c r="B919" s="100"/>
    </row>
    <row r="920" spans="2:2">
      <c r="B920" s="100"/>
    </row>
    <row r="921" spans="2:2">
      <c r="B921" s="100"/>
    </row>
    <row r="922" spans="2:2">
      <c r="B922" s="100"/>
    </row>
    <row r="923" spans="2:2">
      <c r="B923" s="100"/>
    </row>
    <row r="924" spans="2:2">
      <c r="B924" s="100"/>
    </row>
    <row r="925" spans="2:2">
      <c r="B925" s="100"/>
    </row>
    <row r="926" spans="2:2">
      <c r="B926" s="100"/>
    </row>
    <row r="927" spans="2:2">
      <c r="B927" s="100"/>
    </row>
    <row r="928" spans="2:2">
      <c r="B928" s="100"/>
    </row>
    <row r="929" spans="2:2">
      <c r="B929" s="100"/>
    </row>
    <row r="930" spans="2:2">
      <c r="B930" s="100"/>
    </row>
    <row r="931" spans="2:2">
      <c r="B931" s="100"/>
    </row>
    <row r="932" spans="2:2">
      <c r="B932" s="100"/>
    </row>
    <row r="933" spans="2:2">
      <c r="B933" s="100"/>
    </row>
    <row r="934" spans="2:2">
      <c r="B934" s="100"/>
    </row>
    <row r="935" spans="2:2">
      <c r="B935" s="100"/>
    </row>
    <row r="936" spans="2:2">
      <c r="B936" s="100"/>
    </row>
    <row r="937" spans="2:2">
      <c r="B937" s="100"/>
    </row>
    <row r="938" spans="2:2">
      <c r="B938" s="100"/>
    </row>
    <row r="939" spans="2:2">
      <c r="B939" s="100"/>
    </row>
    <row r="940" spans="2:2">
      <c r="B940" s="100"/>
    </row>
    <row r="941" spans="2:2">
      <c r="B941" s="100"/>
    </row>
    <row r="942" spans="2:2">
      <c r="B942" s="100"/>
    </row>
    <row r="943" spans="2:2">
      <c r="B943" s="100"/>
    </row>
    <row r="944" spans="2:2">
      <c r="B944" s="100"/>
    </row>
    <row r="945" spans="2:2">
      <c r="B945" s="100"/>
    </row>
    <row r="946" spans="2:2">
      <c r="B946" s="100"/>
    </row>
    <row r="947" spans="2:2">
      <c r="B947" s="100"/>
    </row>
    <row r="948" spans="2:2">
      <c r="B948" s="100"/>
    </row>
    <row r="949" spans="2:2">
      <c r="B949" s="100"/>
    </row>
    <row r="950" spans="2:2">
      <c r="B950" s="100"/>
    </row>
    <row r="951" spans="2:2">
      <c r="B951" s="100"/>
    </row>
    <row r="952" spans="2:2">
      <c r="B952" s="100"/>
    </row>
    <row r="953" spans="2:2">
      <c r="B953" s="100"/>
    </row>
    <row r="954" spans="2:2">
      <c r="B954" s="100"/>
    </row>
    <row r="955" spans="2:2">
      <c r="B955" s="100"/>
    </row>
    <row r="956" spans="2:2">
      <c r="B956" s="100"/>
    </row>
    <row r="957" spans="2:2">
      <c r="B957" s="100"/>
    </row>
    <row r="958" spans="2:2">
      <c r="B958" s="100"/>
    </row>
    <row r="959" spans="2:2">
      <c r="B959" s="100"/>
    </row>
    <row r="960" spans="2:2">
      <c r="B960" s="100"/>
    </row>
    <row r="961" spans="2:2">
      <c r="B961" s="100"/>
    </row>
    <row r="962" spans="2:2">
      <c r="B962" s="100"/>
    </row>
    <row r="963" spans="2:2">
      <c r="B963" s="100"/>
    </row>
    <row r="964" spans="2:2">
      <c r="B964" s="100"/>
    </row>
    <row r="965" spans="2:2">
      <c r="B965" s="100"/>
    </row>
    <row r="966" spans="2:2">
      <c r="B966" s="100"/>
    </row>
    <row r="967" spans="2:2">
      <c r="B967" s="100"/>
    </row>
    <row r="968" spans="2:2">
      <c r="B968" s="100"/>
    </row>
    <row r="969" spans="2:2">
      <c r="B969" s="100"/>
    </row>
    <row r="970" spans="2:2">
      <c r="B970" s="100"/>
    </row>
    <row r="971" spans="2:2">
      <c r="B971" s="100"/>
    </row>
    <row r="972" spans="2:2">
      <c r="B972" s="100"/>
    </row>
    <row r="973" spans="2:2">
      <c r="B973" s="100"/>
    </row>
    <row r="974" spans="2:2">
      <c r="B974" s="100"/>
    </row>
    <row r="975" spans="2:2">
      <c r="B975" s="100"/>
    </row>
    <row r="976" spans="2:2">
      <c r="B976" s="100"/>
    </row>
    <row r="977" spans="2:2">
      <c r="B977" s="100"/>
    </row>
    <row r="978" spans="2:2">
      <c r="B978" s="100"/>
    </row>
    <row r="979" spans="2:2">
      <c r="B979" s="100"/>
    </row>
    <row r="980" spans="2:2">
      <c r="B980" s="100"/>
    </row>
    <row r="981" spans="2:2">
      <c r="B981" s="100"/>
    </row>
    <row r="982" spans="2:2">
      <c r="B982" s="100"/>
    </row>
    <row r="983" spans="2:2">
      <c r="B983" s="100"/>
    </row>
    <row r="984" spans="2:2">
      <c r="B984" s="100"/>
    </row>
    <row r="985" spans="2:2">
      <c r="B985" s="100"/>
    </row>
    <row r="986" spans="2:2">
      <c r="B986" s="100"/>
    </row>
    <row r="987" spans="2:2">
      <c r="B987" s="100"/>
    </row>
    <row r="988" spans="2:2">
      <c r="B988" s="100"/>
    </row>
    <row r="989" spans="2:2">
      <c r="B989" s="100"/>
    </row>
    <row r="990" spans="2:2">
      <c r="B990" s="100"/>
    </row>
    <row r="991" spans="2:2">
      <c r="B991" s="100"/>
    </row>
    <row r="992" spans="2:2">
      <c r="B992" s="100"/>
    </row>
    <row r="993" spans="2:2">
      <c r="B993" s="100"/>
    </row>
    <row r="994" spans="2:2">
      <c r="B994" s="100"/>
    </row>
    <row r="995" spans="2:2">
      <c r="B995" s="100"/>
    </row>
    <row r="996" spans="2:2">
      <c r="B996" s="100"/>
    </row>
    <row r="997" spans="2:2">
      <c r="B997" s="100"/>
    </row>
    <row r="998" spans="2:2">
      <c r="B998" s="100"/>
    </row>
    <row r="999" spans="2:2">
      <c r="B999" s="100"/>
    </row>
    <row r="1000" spans="2:2">
      <c r="B1000" s="100"/>
    </row>
  </sheetData>
  <conditionalFormatting sqref="C2:C29">
    <cfRule type="containsText" dxfId="0" priority="1" operator="containsText" text="Promedio">
      <formula>NOT(ISERROR(SEARCH(("Promedio"),(C2))))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G959"/>
  <sheetViews>
    <sheetView workbookViewId="0"/>
  </sheetViews>
  <sheetFormatPr baseColWidth="10" defaultColWidth="14.42578125" defaultRowHeight="15" customHeight="1"/>
  <cols>
    <col min="1" max="1" width="7" customWidth="1"/>
    <col min="2" max="2" width="17.85546875" customWidth="1"/>
    <col min="3" max="3" width="51.28515625" customWidth="1"/>
    <col min="4" max="4" width="25.140625" customWidth="1"/>
    <col min="5" max="5" width="26.85546875" customWidth="1"/>
    <col min="6" max="6" width="22.5703125" customWidth="1"/>
    <col min="7" max="7" width="21.7109375" customWidth="1"/>
    <col min="8" max="8" width="21.140625" customWidth="1"/>
    <col min="9" max="9" width="29" customWidth="1"/>
    <col min="10" max="10" width="25.5703125" customWidth="1"/>
    <col min="11" max="11" width="29.85546875" customWidth="1"/>
    <col min="12" max="12" width="20.85546875" customWidth="1"/>
    <col min="13" max="13" width="21.28515625" customWidth="1"/>
    <col min="14" max="14" width="19.5703125" customWidth="1"/>
    <col min="15" max="15" width="19.42578125" customWidth="1"/>
    <col min="16" max="16" width="18.5703125" customWidth="1"/>
    <col min="17" max="17" width="23" customWidth="1"/>
    <col min="18" max="18" width="18.85546875" customWidth="1"/>
    <col min="19" max="19" width="14" customWidth="1"/>
    <col min="20" max="30" width="10.7109375" customWidth="1"/>
    <col min="31" max="31" width="13.85546875" customWidth="1"/>
    <col min="32" max="32" width="37.28515625" customWidth="1"/>
    <col min="33" max="33" width="18.7109375" customWidth="1"/>
  </cols>
  <sheetData>
    <row r="1" spans="1:19" ht="15.75">
      <c r="A1" s="1"/>
      <c r="B1" s="2"/>
      <c r="C1" s="2"/>
      <c r="D1" s="3"/>
      <c r="E1" s="3"/>
      <c r="F1" s="3"/>
      <c r="G1" s="3"/>
      <c r="H1" s="3"/>
      <c r="I1" s="2"/>
      <c r="J1" s="4"/>
      <c r="K1" s="4"/>
      <c r="L1" s="2"/>
      <c r="M1" s="2"/>
      <c r="N1" s="4"/>
      <c r="O1" s="4"/>
      <c r="P1" s="4"/>
      <c r="Q1" s="2"/>
      <c r="R1" s="2"/>
    </row>
    <row r="2" spans="1:19" ht="15.75">
      <c r="A2" s="1"/>
      <c r="B2" s="2"/>
      <c r="C2" s="2"/>
      <c r="D2" s="3"/>
      <c r="E2" s="3"/>
      <c r="F2" s="3"/>
      <c r="G2" s="3"/>
      <c r="H2" s="3"/>
      <c r="I2" s="2"/>
      <c r="J2" s="4"/>
      <c r="K2" s="4"/>
      <c r="L2" s="2"/>
      <c r="M2" s="2"/>
      <c r="N2" s="4"/>
      <c r="O2" s="4"/>
      <c r="P2" s="4"/>
      <c r="Q2" s="2"/>
      <c r="R2" s="2"/>
    </row>
    <row r="3" spans="1:19" ht="15.75">
      <c r="A3" s="1"/>
      <c r="B3" s="2"/>
      <c r="C3" s="2"/>
      <c r="D3" s="3"/>
      <c r="E3" s="3"/>
      <c r="F3" s="3"/>
      <c r="G3" s="3"/>
      <c r="H3" s="3"/>
      <c r="I3" s="2"/>
      <c r="J3" s="4"/>
      <c r="K3" s="4"/>
      <c r="L3" s="2"/>
      <c r="M3" s="2"/>
      <c r="N3" s="4"/>
      <c r="O3" s="4"/>
      <c r="P3" s="4"/>
      <c r="Q3" s="2"/>
      <c r="R3" s="2"/>
    </row>
    <row r="4" spans="1:19" ht="15.75">
      <c r="A4" s="1"/>
      <c r="B4" s="2"/>
      <c r="C4" s="2"/>
      <c r="D4" s="173" t="s">
        <v>0</v>
      </c>
      <c r="E4" s="174"/>
      <c r="F4" s="174"/>
      <c r="G4" s="174"/>
      <c r="H4" s="174"/>
      <c r="I4" s="2"/>
      <c r="J4" s="4"/>
      <c r="K4" s="4"/>
      <c r="L4" s="2"/>
      <c r="M4" s="2"/>
      <c r="N4" s="4"/>
      <c r="O4" s="4"/>
      <c r="P4" s="4"/>
      <c r="Q4" s="2"/>
      <c r="R4" s="2"/>
    </row>
    <row r="5" spans="1:19" ht="15.75">
      <c r="A5" s="1"/>
      <c r="B5" s="2"/>
      <c r="C5" s="2"/>
      <c r="D5" s="173" t="s">
        <v>1</v>
      </c>
      <c r="E5" s="174"/>
      <c r="F5" s="174"/>
      <c r="G5" s="174"/>
      <c r="H5" s="174"/>
      <c r="I5" s="2"/>
      <c r="J5" s="4"/>
      <c r="K5" s="4"/>
      <c r="L5" s="2"/>
      <c r="M5" s="2"/>
      <c r="N5" s="4"/>
      <c r="O5" s="4"/>
      <c r="P5" s="4"/>
      <c r="Q5" s="2"/>
      <c r="R5" s="2"/>
    </row>
    <row r="6" spans="1:19" ht="15.75">
      <c r="A6" s="1"/>
      <c r="B6" s="2"/>
      <c r="C6" s="2"/>
      <c r="D6" s="173" t="s">
        <v>2</v>
      </c>
      <c r="E6" s="174"/>
      <c r="F6" s="174"/>
      <c r="G6" s="174"/>
      <c r="H6" s="174"/>
      <c r="I6" s="2"/>
      <c r="J6" s="4"/>
      <c r="K6" s="4"/>
      <c r="L6" s="2"/>
      <c r="M6" s="2"/>
      <c r="N6" s="4"/>
      <c r="O6" s="4"/>
      <c r="P6" s="4"/>
      <c r="Q6" s="2"/>
      <c r="R6" s="2"/>
    </row>
    <row r="7" spans="1:19" ht="15.75">
      <c r="A7" s="1"/>
      <c r="B7" s="2"/>
      <c r="C7" s="2"/>
      <c r="D7" s="173"/>
      <c r="E7" s="174"/>
      <c r="F7" s="174"/>
      <c r="G7" s="174"/>
      <c r="H7" s="174"/>
      <c r="I7" s="2"/>
      <c r="J7" s="4"/>
      <c r="K7" s="4"/>
      <c r="L7" s="2"/>
      <c r="M7" s="2"/>
      <c r="N7" s="4"/>
      <c r="O7" s="4"/>
      <c r="P7" s="4"/>
      <c r="Q7" s="2"/>
      <c r="R7" s="2"/>
    </row>
    <row r="8" spans="1:19" ht="15.75">
      <c r="A8" s="1"/>
      <c r="B8" s="2"/>
      <c r="C8" s="2"/>
      <c r="D8" s="5"/>
      <c r="E8" s="5"/>
      <c r="F8" s="5"/>
      <c r="G8" s="5"/>
      <c r="H8" s="5"/>
      <c r="I8" s="2"/>
      <c r="J8" s="4"/>
      <c r="K8" s="4"/>
      <c r="L8" s="2"/>
      <c r="M8" s="2"/>
      <c r="N8" s="4"/>
      <c r="O8" s="4"/>
      <c r="P8" s="4"/>
      <c r="Q8" s="2"/>
      <c r="R8" s="2"/>
    </row>
    <row r="9" spans="1:19" ht="15.75">
      <c r="A9" s="1"/>
      <c r="B9" s="2"/>
      <c r="C9" s="2"/>
      <c r="D9" s="3"/>
      <c r="E9" s="3"/>
      <c r="F9" s="3"/>
      <c r="G9" s="3"/>
      <c r="H9" s="3"/>
      <c r="I9" s="2"/>
      <c r="J9" s="4"/>
      <c r="K9" s="4"/>
      <c r="L9" s="2"/>
      <c r="M9" s="2"/>
      <c r="N9" s="4"/>
      <c r="O9" s="4"/>
      <c r="P9" s="4"/>
      <c r="Q9" s="2"/>
      <c r="R9" s="2"/>
    </row>
    <row r="10" spans="1:19" ht="15.75">
      <c r="A10" s="1"/>
      <c r="B10" s="2"/>
      <c r="C10" s="2"/>
      <c r="D10" s="3"/>
      <c r="E10" s="3"/>
      <c r="F10" s="3"/>
      <c r="G10" s="3"/>
      <c r="H10" s="3"/>
      <c r="I10" s="2"/>
      <c r="J10" s="4"/>
      <c r="K10" s="4"/>
      <c r="L10" s="2"/>
      <c r="M10" s="2"/>
      <c r="N10" s="4"/>
      <c r="O10" s="4"/>
      <c r="P10" s="4"/>
      <c r="Q10" s="2"/>
      <c r="R10" s="2"/>
    </row>
    <row r="11" spans="1:19" ht="15.75">
      <c r="A11" s="1"/>
      <c r="B11" s="2"/>
      <c r="C11" s="2"/>
      <c r="D11" s="3"/>
      <c r="E11" s="3"/>
      <c r="F11" s="3"/>
      <c r="G11" s="3"/>
      <c r="H11" s="3"/>
      <c r="I11" s="2"/>
      <c r="J11" s="4"/>
      <c r="K11" s="4"/>
      <c r="L11" s="2"/>
      <c r="M11" s="2"/>
      <c r="N11" s="4"/>
      <c r="O11" s="4"/>
      <c r="P11" s="4"/>
      <c r="Q11" s="2"/>
      <c r="R11" s="2"/>
    </row>
    <row r="12" spans="1:19" ht="15.75">
      <c r="A12" s="6"/>
      <c r="B12" s="7"/>
      <c r="C12" s="7"/>
      <c r="D12" s="7"/>
      <c r="E12" s="7"/>
      <c r="F12" s="7"/>
      <c r="G12" s="7"/>
      <c r="H12" s="7"/>
      <c r="I12" s="7"/>
      <c r="J12" s="8"/>
      <c r="K12" s="8"/>
      <c r="L12" s="7"/>
      <c r="M12" s="7"/>
      <c r="N12" s="8"/>
      <c r="O12" s="8"/>
      <c r="P12" s="8"/>
      <c r="Q12" s="7"/>
      <c r="R12" s="7"/>
      <c r="S12" s="9"/>
    </row>
    <row r="13" spans="1:19" ht="15.75">
      <c r="A13" s="6"/>
      <c r="B13" s="7"/>
      <c r="C13" s="10" t="s">
        <v>3</v>
      </c>
      <c r="D13" s="175" t="s">
        <v>4</v>
      </c>
      <c r="E13" s="157"/>
      <c r="F13" s="157"/>
      <c r="G13" s="157"/>
      <c r="H13" s="158"/>
      <c r="I13" s="11"/>
      <c r="J13" s="8"/>
      <c r="K13" s="8"/>
      <c r="L13" s="7"/>
      <c r="M13" s="7"/>
      <c r="N13" s="8"/>
      <c r="O13" s="8"/>
      <c r="P13" s="8"/>
      <c r="Q13" s="7"/>
      <c r="R13" s="7"/>
      <c r="S13" s="9"/>
    </row>
    <row r="14" spans="1:19" ht="15.75">
      <c r="A14" s="6"/>
      <c r="B14" s="7"/>
      <c r="C14" s="10" t="s">
        <v>5</v>
      </c>
      <c r="D14" s="162" t="s">
        <v>6</v>
      </c>
      <c r="E14" s="157"/>
      <c r="F14" s="157"/>
      <c r="G14" s="157"/>
      <c r="H14" s="158"/>
      <c r="I14" s="12" t="s">
        <v>7</v>
      </c>
      <c r="J14" s="8"/>
      <c r="K14" s="8"/>
      <c r="L14" s="7"/>
      <c r="M14" s="7"/>
      <c r="N14" s="8"/>
      <c r="O14" s="8"/>
      <c r="P14" s="8"/>
      <c r="Q14" s="7"/>
      <c r="R14" s="7"/>
      <c r="S14" s="9"/>
    </row>
    <row r="15" spans="1:19" ht="15.75">
      <c r="A15" s="6"/>
      <c r="B15" s="7"/>
      <c r="C15" s="10" t="s">
        <v>8</v>
      </c>
      <c r="D15" s="162" t="s">
        <v>9</v>
      </c>
      <c r="E15" s="157"/>
      <c r="F15" s="157"/>
      <c r="G15" s="157"/>
      <c r="H15" s="158"/>
      <c r="I15" s="12" t="s">
        <v>7</v>
      </c>
      <c r="J15" s="8"/>
      <c r="K15" s="8"/>
      <c r="L15" s="7"/>
      <c r="M15" s="7"/>
      <c r="N15" s="8"/>
      <c r="O15" s="8"/>
      <c r="P15" s="8"/>
      <c r="Q15" s="7"/>
      <c r="R15" s="7"/>
      <c r="S15" s="9"/>
    </row>
    <row r="16" spans="1:19" ht="60">
      <c r="A16" s="6"/>
      <c r="B16" s="7"/>
      <c r="C16" s="10" t="s">
        <v>10</v>
      </c>
      <c r="D16" s="162" t="s">
        <v>11</v>
      </c>
      <c r="E16" s="157"/>
      <c r="F16" s="157"/>
      <c r="G16" s="157"/>
      <c r="H16" s="158"/>
      <c r="I16" s="13" t="s">
        <v>12</v>
      </c>
      <c r="J16" s="8"/>
      <c r="K16" s="8"/>
      <c r="L16" s="7"/>
      <c r="M16" s="7"/>
      <c r="N16" s="8"/>
      <c r="O16" s="8"/>
      <c r="P16" s="8"/>
      <c r="Q16" s="7"/>
      <c r="R16" s="7"/>
      <c r="S16" s="9"/>
    </row>
    <row r="17" spans="1:33" ht="15.75">
      <c r="A17" s="6"/>
      <c r="B17" s="7"/>
      <c r="C17" s="10" t="s">
        <v>13</v>
      </c>
      <c r="D17" s="162" t="s">
        <v>14</v>
      </c>
      <c r="E17" s="157"/>
      <c r="F17" s="157"/>
      <c r="G17" s="157"/>
      <c r="H17" s="158"/>
      <c r="I17" s="12" t="s">
        <v>7</v>
      </c>
      <c r="J17" s="8"/>
      <c r="K17" s="8"/>
      <c r="L17" s="7"/>
      <c r="M17" s="7"/>
      <c r="N17" s="8"/>
      <c r="O17" s="8"/>
      <c r="P17" s="8"/>
      <c r="Q17" s="7"/>
      <c r="R17" s="7"/>
      <c r="S17" s="9"/>
    </row>
    <row r="18" spans="1:33" ht="15.75">
      <c r="A18" s="14"/>
      <c r="B18" s="14"/>
      <c r="C18" s="10" t="s">
        <v>15</v>
      </c>
      <c r="D18" s="162" t="s">
        <v>16</v>
      </c>
      <c r="E18" s="157"/>
      <c r="F18" s="157"/>
      <c r="G18" s="157"/>
      <c r="H18" s="158"/>
      <c r="I18" s="12" t="s">
        <v>7</v>
      </c>
      <c r="J18" s="8"/>
      <c r="K18" s="8"/>
      <c r="L18" s="7"/>
      <c r="M18" s="7"/>
      <c r="N18" s="8"/>
      <c r="O18" s="8"/>
      <c r="P18" s="8"/>
      <c r="Q18" s="7"/>
      <c r="R18" s="7"/>
      <c r="S18" s="9"/>
    </row>
    <row r="19" spans="1:33" ht="15.75" hidden="1">
      <c r="A19" s="15"/>
      <c r="B19" s="16"/>
      <c r="C19" s="10" t="s">
        <v>17</v>
      </c>
      <c r="D19" s="162"/>
      <c r="E19" s="157"/>
      <c r="F19" s="157"/>
      <c r="G19" s="157"/>
      <c r="H19" s="158"/>
      <c r="I19" s="11"/>
      <c r="J19" s="8"/>
      <c r="K19" s="8"/>
      <c r="L19" s="7"/>
      <c r="M19" s="7"/>
      <c r="N19" s="8"/>
      <c r="O19" s="8"/>
      <c r="P19" s="8"/>
      <c r="Q19" s="7"/>
      <c r="R19" s="7"/>
      <c r="S19" s="9"/>
    </row>
    <row r="20" spans="1:33" ht="15.75">
      <c r="C20" s="10" t="s">
        <v>17</v>
      </c>
      <c r="D20" s="162" t="s">
        <v>18</v>
      </c>
      <c r="E20" s="157"/>
      <c r="F20" s="157"/>
      <c r="G20" s="157"/>
      <c r="H20" s="158"/>
      <c r="I20" s="12" t="s">
        <v>7</v>
      </c>
      <c r="J20" s="8"/>
      <c r="K20" s="8"/>
      <c r="L20" s="7"/>
      <c r="M20" s="7"/>
      <c r="N20" s="8"/>
      <c r="O20" s="8"/>
      <c r="P20" s="8"/>
      <c r="Q20" s="7"/>
      <c r="R20" s="7"/>
      <c r="S20" s="9"/>
    </row>
    <row r="21" spans="1:33" ht="15.75">
      <c r="A21" s="17"/>
      <c r="B21" s="169" t="s">
        <v>19</v>
      </c>
      <c r="C21" s="10" t="s">
        <v>20</v>
      </c>
      <c r="D21" s="162" t="s">
        <v>21</v>
      </c>
      <c r="E21" s="157"/>
      <c r="F21" s="157"/>
      <c r="G21" s="157"/>
      <c r="H21" s="158"/>
      <c r="I21" s="12" t="s">
        <v>7</v>
      </c>
      <c r="K21" s="8"/>
      <c r="L21" s="7"/>
      <c r="M21" s="7"/>
      <c r="N21" s="8"/>
      <c r="O21" s="8"/>
      <c r="P21" s="8"/>
      <c r="Q21" s="7"/>
      <c r="R21" s="7"/>
      <c r="S21" s="9"/>
    </row>
    <row r="22" spans="1:33" ht="15.75">
      <c r="A22" s="17"/>
      <c r="B22" s="170"/>
      <c r="C22" s="10" t="s">
        <v>22</v>
      </c>
      <c r="D22" s="162" t="s">
        <v>23</v>
      </c>
      <c r="E22" s="157"/>
      <c r="F22" s="157"/>
      <c r="G22" s="157"/>
      <c r="H22" s="158"/>
      <c r="I22" s="12" t="s">
        <v>7</v>
      </c>
      <c r="J22" s="8"/>
      <c r="K22" s="8"/>
      <c r="L22" s="7"/>
      <c r="M22" s="7"/>
      <c r="N22" s="8"/>
      <c r="O22" s="8"/>
      <c r="P22" s="8"/>
      <c r="Q22" s="7"/>
      <c r="R22" s="7"/>
      <c r="S22" s="9"/>
    </row>
    <row r="23" spans="1:33" ht="15.75">
      <c r="A23" s="18"/>
      <c r="B23" s="171" t="s">
        <v>24</v>
      </c>
      <c r="C23" s="10" t="s">
        <v>25</v>
      </c>
      <c r="D23" s="162" t="s">
        <v>26</v>
      </c>
      <c r="E23" s="157"/>
      <c r="F23" s="157"/>
      <c r="G23" s="157"/>
      <c r="H23" s="158"/>
      <c r="I23" s="12" t="s">
        <v>7</v>
      </c>
      <c r="J23" s="8"/>
      <c r="K23" s="8"/>
      <c r="L23" s="7"/>
      <c r="M23" s="7"/>
      <c r="N23" s="8"/>
      <c r="O23" s="8"/>
      <c r="P23" s="8"/>
      <c r="Q23" s="7"/>
      <c r="R23" s="7"/>
      <c r="S23" s="9"/>
    </row>
    <row r="24" spans="1:33" ht="31.5">
      <c r="A24" s="18"/>
      <c r="B24" s="172"/>
      <c r="C24" s="10" t="s">
        <v>27</v>
      </c>
      <c r="D24" s="162" t="s">
        <v>28</v>
      </c>
      <c r="E24" s="157"/>
      <c r="F24" s="157"/>
      <c r="G24" s="157"/>
      <c r="H24" s="158"/>
      <c r="I24" s="12" t="s">
        <v>7</v>
      </c>
      <c r="J24" s="8"/>
      <c r="K24" s="8"/>
      <c r="L24" s="7"/>
      <c r="M24" s="7"/>
      <c r="N24" s="8"/>
      <c r="O24" s="8"/>
      <c r="P24" s="8"/>
      <c r="Q24" s="7"/>
      <c r="R24" s="7"/>
      <c r="S24" s="9"/>
    </row>
    <row r="25" spans="1:33" ht="15.75">
      <c r="A25" s="18"/>
      <c r="B25" s="171" t="s">
        <v>29</v>
      </c>
      <c r="C25" s="10" t="s">
        <v>30</v>
      </c>
      <c r="D25" s="162" t="s">
        <v>31</v>
      </c>
      <c r="E25" s="157"/>
      <c r="F25" s="157"/>
      <c r="G25" s="157"/>
      <c r="H25" s="158"/>
      <c r="I25" s="12" t="s">
        <v>7</v>
      </c>
      <c r="J25" s="8"/>
      <c r="K25" s="8"/>
      <c r="L25" s="7"/>
      <c r="M25" s="7"/>
      <c r="N25" s="8"/>
      <c r="O25" s="8"/>
      <c r="P25" s="8"/>
      <c r="Q25" s="7"/>
      <c r="R25" s="7"/>
      <c r="S25" s="9"/>
    </row>
    <row r="26" spans="1:33" ht="15.75">
      <c r="A26" s="18"/>
      <c r="B26" s="170"/>
      <c r="C26" s="10" t="s">
        <v>32</v>
      </c>
      <c r="D26" s="162" t="s">
        <v>33</v>
      </c>
      <c r="E26" s="157"/>
      <c r="F26" s="157"/>
      <c r="G26" s="157"/>
      <c r="H26" s="158"/>
      <c r="I26" s="12" t="s">
        <v>7</v>
      </c>
      <c r="J26" s="8"/>
      <c r="K26" s="8"/>
      <c r="L26" s="7"/>
      <c r="M26" s="7"/>
      <c r="N26" s="8"/>
      <c r="O26" s="8"/>
      <c r="P26" s="8"/>
      <c r="Q26" s="7"/>
      <c r="R26" s="7"/>
      <c r="S26" s="9"/>
    </row>
    <row r="27" spans="1:33" ht="15.75">
      <c r="A27" s="18"/>
      <c r="B27" s="170"/>
      <c r="C27" s="10" t="s">
        <v>34</v>
      </c>
      <c r="D27" s="162" t="s">
        <v>35</v>
      </c>
      <c r="E27" s="157"/>
      <c r="F27" s="157"/>
      <c r="G27" s="157"/>
      <c r="H27" s="158"/>
      <c r="I27" s="12" t="s">
        <v>7</v>
      </c>
      <c r="J27" s="8"/>
      <c r="K27" s="8"/>
      <c r="L27" s="7"/>
      <c r="M27" s="7"/>
      <c r="N27" s="8"/>
      <c r="O27" s="8"/>
      <c r="P27" s="8"/>
      <c r="Q27" s="7"/>
      <c r="R27" s="7"/>
      <c r="S27" s="9"/>
    </row>
    <row r="28" spans="1:33" ht="15.75">
      <c r="A28" s="18"/>
      <c r="B28" s="170"/>
      <c r="C28" s="10" t="s">
        <v>36</v>
      </c>
      <c r="D28" s="162" t="s">
        <v>37</v>
      </c>
      <c r="E28" s="157"/>
      <c r="F28" s="157"/>
      <c r="G28" s="157"/>
      <c r="H28" s="158"/>
      <c r="I28" s="7"/>
      <c r="J28" s="8"/>
      <c r="K28" s="8"/>
      <c r="L28" s="7"/>
      <c r="M28" s="7"/>
      <c r="N28" s="8"/>
      <c r="O28" s="19"/>
      <c r="P28" s="19"/>
      <c r="Q28" s="7"/>
      <c r="R28" s="7"/>
      <c r="S28" s="9"/>
    </row>
    <row r="29" spans="1:33" ht="31.5">
      <c r="A29" s="14"/>
      <c r="B29" s="14"/>
      <c r="C29" s="10" t="s">
        <v>38</v>
      </c>
      <c r="D29" s="163" t="s">
        <v>39</v>
      </c>
      <c r="E29" s="157"/>
      <c r="F29" s="157"/>
      <c r="G29" s="157"/>
      <c r="H29" s="157"/>
      <c r="I29" s="7"/>
      <c r="J29" s="8"/>
      <c r="K29" s="8"/>
      <c r="L29" s="7"/>
      <c r="M29" s="7"/>
      <c r="N29" s="8"/>
      <c r="O29" s="19"/>
      <c r="P29" s="19"/>
      <c r="Q29" s="7"/>
      <c r="R29" s="7"/>
      <c r="S29" s="9"/>
    </row>
    <row r="30" spans="1:33" ht="15.75">
      <c r="A30" s="14"/>
      <c r="B30" s="14"/>
      <c r="C30" s="20" t="s">
        <v>40</v>
      </c>
      <c r="D30" s="165"/>
      <c r="E30" s="157"/>
      <c r="F30" s="157"/>
      <c r="G30" s="157"/>
      <c r="H30" s="158"/>
      <c r="I30" s="11"/>
      <c r="J30" s="8"/>
      <c r="K30" s="8"/>
      <c r="L30" s="7"/>
      <c r="M30" s="7"/>
      <c r="N30" s="8"/>
      <c r="O30" s="8"/>
      <c r="P30" s="8"/>
      <c r="Q30" s="7"/>
      <c r="R30" s="7"/>
      <c r="S30" s="9"/>
    </row>
    <row r="31" spans="1:33" ht="15.75">
      <c r="A31" s="6"/>
      <c r="B31" s="7"/>
      <c r="C31" s="7"/>
      <c r="D31" s="21"/>
      <c r="E31" s="21"/>
      <c r="F31" s="21"/>
      <c r="G31" s="21"/>
      <c r="H31" s="21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9"/>
      <c r="AF31" s="23" t="s">
        <v>41</v>
      </c>
      <c r="AG31" s="23">
        <v>3</v>
      </c>
    </row>
    <row r="32" spans="1:33" ht="63">
      <c r="A32" s="24"/>
      <c r="B32" s="25" t="s">
        <v>42</v>
      </c>
      <c r="C32" s="26" t="s">
        <v>43</v>
      </c>
      <c r="D32" s="20" t="s">
        <v>44</v>
      </c>
      <c r="E32" s="20" t="s">
        <v>45</v>
      </c>
      <c r="F32" s="20" t="s">
        <v>46</v>
      </c>
      <c r="G32" s="20" t="s">
        <v>47</v>
      </c>
      <c r="H32" s="20" t="s">
        <v>48</v>
      </c>
      <c r="I32" s="20" t="s">
        <v>49</v>
      </c>
      <c r="J32" s="27" t="s">
        <v>50</v>
      </c>
      <c r="K32" s="27" t="s">
        <v>51</v>
      </c>
      <c r="L32" s="20" t="s">
        <v>52</v>
      </c>
      <c r="M32" s="20" t="s">
        <v>53</v>
      </c>
      <c r="N32" s="27" t="s">
        <v>54</v>
      </c>
      <c r="O32" s="27" t="s">
        <v>55</v>
      </c>
      <c r="P32" s="27" t="s">
        <v>56</v>
      </c>
      <c r="Q32" s="20" t="s">
        <v>57</v>
      </c>
      <c r="R32" s="20" t="s">
        <v>58</v>
      </c>
      <c r="S32" s="28" t="s">
        <v>59</v>
      </c>
      <c r="T32" s="29" t="s">
        <v>60</v>
      </c>
      <c r="U32" s="29" t="s">
        <v>61</v>
      </c>
      <c r="V32" s="29" t="s">
        <v>62</v>
      </c>
      <c r="W32" s="29" t="s">
        <v>63</v>
      </c>
      <c r="X32" s="29" t="s">
        <v>64</v>
      </c>
      <c r="Y32" s="29" t="s">
        <v>65</v>
      </c>
      <c r="Z32" s="29" t="s">
        <v>66</v>
      </c>
      <c r="AA32" s="29" t="s">
        <v>67</v>
      </c>
      <c r="AB32" s="29" t="s">
        <v>68</v>
      </c>
      <c r="AC32" s="29" t="s">
        <v>69</v>
      </c>
      <c r="AD32" s="29" t="s">
        <v>70</v>
      </c>
      <c r="AE32" s="30" t="s">
        <v>71</v>
      </c>
      <c r="AF32" s="30" t="s">
        <v>72</v>
      </c>
      <c r="AG32" s="30" t="s">
        <v>73</v>
      </c>
    </row>
    <row r="33" spans="1:33" ht="356.25">
      <c r="B33" s="7"/>
      <c r="C33" s="10" t="s">
        <v>74</v>
      </c>
      <c r="D33" s="31" t="s">
        <v>75</v>
      </c>
      <c r="E33" s="31" t="s">
        <v>76</v>
      </c>
      <c r="F33" s="31" t="s">
        <v>77</v>
      </c>
      <c r="G33" s="32" t="s">
        <v>78</v>
      </c>
      <c r="H33" s="32" t="s">
        <v>79</v>
      </c>
      <c r="I33" s="31" t="s">
        <v>80</v>
      </c>
      <c r="J33" s="33" t="s">
        <v>81</v>
      </c>
      <c r="K33" s="33" t="s">
        <v>82</v>
      </c>
      <c r="L33" s="32" t="s">
        <v>83</v>
      </c>
      <c r="M33" s="32" t="s">
        <v>84</v>
      </c>
      <c r="N33" s="34" t="s">
        <v>85</v>
      </c>
      <c r="O33" s="106">
        <v>44511</v>
      </c>
      <c r="P33" s="36"/>
      <c r="Q33" s="31" t="s">
        <v>86</v>
      </c>
      <c r="R33" s="31" t="s">
        <v>87</v>
      </c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107">
        <v>11637</v>
      </c>
      <c r="AF33" s="107"/>
      <c r="AG33" s="9"/>
    </row>
    <row r="34" spans="1:33" ht="199.5">
      <c r="B34" s="38" t="s">
        <v>7</v>
      </c>
      <c r="C34" s="10" t="s">
        <v>88</v>
      </c>
      <c r="D34" s="31" t="s">
        <v>89</v>
      </c>
      <c r="E34" s="31" t="s">
        <v>90</v>
      </c>
      <c r="F34" s="31" t="s">
        <v>91</v>
      </c>
      <c r="G34" s="32" t="s">
        <v>92</v>
      </c>
      <c r="H34" s="32" t="s">
        <v>79</v>
      </c>
      <c r="I34" s="31" t="s">
        <v>93</v>
      </c>
      <c r="J34" s="39" t="s">
        <v>94</v>
      </c>
      <c r="K34" s="40" t="s">
        <v>95</v>
      </c>
      <c r="L34" s="32" t="s">
        <v>83</v>
      </c>
      <c r="M34" s="32" t="s">
        <v>84</v>
      </c>
      <c r="N34" s="34" t="s">
        <v>85</v>
      </c>
      <c r="O34" s="106">
        <v>1505977</v>
      </c>
      <c r="P34" s="36"/>
      <c r="Q34" s="31" t="s">
        <v>96</v>
      </c>
      <c r="R34" s="31" t="s">
        <v>97</v>
      </c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41">
        <v>90912</v>
      </c>
      <c r="AF34" s="9"/>
      <c r="AG34" s="9"/>
    </row>
    <row r="35" spans="1:33" ht="185.25">
      <c r="B35" s="43" t="s">
        <v>98</v>
      </c>
      <c r="C35" s="44" t="s">
        <v>99</v>
      </c>
      <c r="D35" s="31" t="s">
        <v>100</v>
      </c>
      <c r="E35" s="31" t="s">
        <v>101</v>
      </c>
      <c r="F35" s="31" t="s">
        <v>102</v>
      </c>
      <c r="G35" s="31" t="s">
        <v>103</v>
      </c>
      <c r="H35" s="31" t="s">
        <v>79</v>
      </c>
      <c r="I35" s="31" t="s">
        <v>104</v>
      </c>
      <c r="J35" s="31" t="s">
        <v>105</v>
      </c>
      <c r="K35" s="45" t="s">
        <v>106</v>
      </c>
      <c r="L35" s="31" t="s">
        <v>107</v>
      </c>
      <c r="M35" s="31" t="s">
        <v>108</v>
      </c>
      <c r="N35" s="31" t="s">
        <v>85</v>
      </c>
      <c r="O35" s="108">
        <v>0.9</v>
      </c>
      <c r="P35" s="36"/>
      <c r="Q35" s="31" t="s">
        <v>86</v>
      </c>
      <c r="R35" s="31" t="s">
        <v>109</v>
      </c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46"/>
      <c r="AF35" s="46"/>
      <c r="AG35" s="46"/>
    </row>
    <row r="36" spans="1:33" ht="156.75">
      <c r="A36" s="47" t="s">
        <v>74</v>
      </c>
      <c r="B36" s="48"/>
      <c r="C36" s="49" t="s">
        <v>110</v>
      </c>
      <c r="D36" s="31" t="s">
        <v>111</v>
      </c>
      <c r="E36" s="50" t="s">
        <v>112</v>
      </c>
      <c r="F36" s="31" t="s">
        <v>113</v>
      </c>
      <c r="G36" s="51" t="s">
        <v>103</v>
      </c>
      <c r="H36" s="51" t="s">
        <v>114</v>
      </c>
      <c r="I36" s="50" t="s">
        <v>115</v>
      </c>
      <c r="J36" s="52" t="s">
        <v>116</v>
      </c>
      <c r="K36" s="33" t="s">
        <v>117</v>
      </c>
      <c r="L36" s="31" t="s">
        <v>107</v>
      </c>
      <c r="M36" s="53" t="s">
        <v>108</v>
      </c>
      <c r="N36" s="31">
        <v>517</v>
      </c>
      <c r="O36" s="31">
        <v>7450</v>
      </c>
      <c r="P36" s="54"/>
      <c r="Q36" s="32" t="s">
        <v>118</v>
      </c>
      <c r="R36" s="31" t="s">
        <v>119</v>
      </c>
      <c r="S36" s="31">
        <v>0</v>
      </c>
      <c r="T36" s="31">
        <v>6</v>
      </c>
      <c r="U36" s="31">
        <v>457</v>
      </c>
      <c r="V36" s="31">
        <v>15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46">
        <v>463</v>
      </c>
      <c r="AF36" s="46" t="s">
        <v>366</v>
      </c>
      <c r="AG36" s="46">
        <v>463</v>
      </c>
    </row>
    <row r="37" spans="1:33" ht="142.5">
      <c r="A37" s="55" t="s">
        <v>88</v>
      </c>
      <c r="B37" s="48"/>
      <c r="C37" s="49" t="s">
        <v>120</v>
      </c>
      <c r="D37" s="31" t="s">
        <v>121</v>
      </c>
      <c r="E37" s="31" t="s">
        <v>122</v>
      </c>
      <c r="F37" s="31" t="s">
        <v>123</v>
      </c>
      <c r="G37" s="51" t="s">
        <v>103</v>
      </c>
      <c r="H37" s="51" t="s">
        <v>114</v>
      </c>
      <c r="I37" s="31" t="s">
        <v>124</v>
      </c>
      <c r="J37" s="52" t="s">
        <v>125</v>
      </c>
      <c r="K37" s="33" t="s">
        <v>126</v>
      </c>
      <c r="L37" s="31" t="s">
        <v>107</v>
      </c>
      <c r="M37" s="56" t="s">
        <v>108</v>
      </c>
      <c r="N37" s="31">
        <v>925</v>
      </c>
      <c r="O37" s="63">
        <v>640</v>
      </c>
      <c r="P37" s="54"/>
      <c r="Q37" s="31" t="s">
        <v>127</v>
      </c>
      <c r="R37" s="31" t="s">
        <v>128</v>
      </c>
      <c r="S37" s="31">
        <v>50</v>
      </c>
      <c r="T37" s="31">
        <v>48</v>
      </c>
      <c r="U37" s="31">
        <v>55</v>
      </c>
      <c r="V37" s="31">
        <v>13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46">
        <v>153</v>
      </c>
      <c r="AF37" s="46" t="s">
        <v>367</v>
      </c>
      <c r="AG37" s="46">
        <v>153</v>
      </c>
    </row>
    <row r="38" spans="1:33" ht="114">
      <c r="A38" s="55" t="s">
        <v>129</v>
      </c>
      <c r="B38" s="48"/>
      <c r="C38" s="49" t="s">
        <v>130</v>
      </c>
      <c r="D38" s="31" t="s">
        <v>131</v>
      </c>
      <c r="E38" s="31" t="s">
        <v>132</v>
      </c>
      <c r="F38" s="31" t="s">
        <v>133</v>
      </c>
      <c r="G38" s="51" t="s">
        <v>103</v>
      </c>
      <c r="H38" s="51" t="s">
        <v>114</v>
      </c>
      <c r="I38" s="50" t="s">
        <v>134</v>
      </c>
      <c r="J38" s="58" t="s">
        <v>135</v>
      </c>
      <c r="K38" s="58" t="s">
        <v>136</v>
      </c>
      <c r="L38" s="31" t="s">
        <v>107</v>
      </c>
      <c r="M38" s="56" t="s">
        <v>108</v>
      </c>
      <c r="N38" s="31">
        <v>10405</v>
      </c>
      <c r="O38" s="61">
        <v>5000</v>
      </c>
      <c r="P38" s="54"/>
      <c r="Q38" s="31" t="s">
        <v>137</v>
      </c>
      <c r="R38" s="31" t="s">
        <v>138</v>
      </c>
      <c r="S38" s="31">
        <v>1086</v>
      </c>
      <c r="T38" s="31">
        <v>1126</v>
      </c>
      <c r="U38" s="31">
        <v>1236</v>
      </c>
      <c r="V38" s="31">
        <v>667</v>
      </c>
      <c r="W38" s="31">
        <v>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0</v>
      </c>
      <c r="AD38" s="31">
        <v>0</v>
      </c>
      <c r="AE38" s="46">
        <v>3448</v>
      </c>
      <c r="AF38" s="46" t="s">
        <v>368</v>
      </c>
      <c r="AG38" s="46">
        <v>3448</v>
      </c>
    </row>
    <row r="39" spans="1:33" ht="199.5">
      <c r="A39" s="55" t="s">
        <v>74</v>
      </c>
      <c r="B39" s="48"/>
      <c r="C39" s="49" t="s">
        <v>139</v>
      </c>
      <c r="D39" s="31" t="s">
        <v>140</v>
      </c>
      <c r="E39" s="31" t="s">
        <v>141</v>
      </c>
      <c r="F39" s="31" t="s">
        <v>142</v>
      </c>
      <c r="G39" s="51" t="s">
        <v>103</v>
      </c>
      <c r="H39" s="51" t="s">
        <v>114</v>
      </c>
      <c r="I39" s="50" t="s">
        <v>143</v>
      </c>
      <c r="J39" s="60" t="s">
        <v>144</v>
      </c>
      <c r="K39" s="60" t="s">
        <v>145</v>
      </c>
      <c r="L39" s="31" t="s">
        <v>107</v>
      </c>
      <c r="M39" s="56" t="s">
        <v>108</v>
      </c>
      <c r="N39" s="61">
        <v>9826</v>
      </c>
      <c r="O39" s="61">
        <v>8791</v>
      </c>
      <c r="P39" s="36"/>
      <c r="Q39" s="50" t="s">
        <v>118</v>
      </c>
      <c r="R39" s="31" t="s">
        <v>146</v>
      </c>
      <c r="S39" s="31">
        <v>0</v>
      </c>
      <c r="T39" s="31">
        <v>0</v>
      </c>
      <c r="U39" s="31">
        <v>2526</v>
      </c>
      <c r="V39" s="31">
        <v>0</v>
      </c>
      <c r="W39" s="31">
        <v>0</v>
      </c>
      <c r="X39" s="31">
        <v>0</v>
      </c>
      <c r="Y39" s="31">
        <v>0</v>
      </c>
      <c r="Z39" s="31">
        <v>0</v>
      </c>
      <c r="AA39" s="31">
        <v>0</v>
      </c>
      <c r="AB39" s="31">
        <v>0</v>
      </c>
      <c r="AC39" s="31">
        <v>0</v>
      </c>
      <c r="AD39" s="31">
        <v>0</v>
      </c>
      <c r="AE39" s="46">
        <v>2526</v>
      </c>
      <c r="AF39" s="46" t="s">
        <v>369</v>
      </c>
      <c r="AG39" s="46">
        <v>2526</v>
      </c>
    </row>
    <row r="40" spans="1:33" ht="114">
      <c r="A40" s="55" t="s">
        <v>88</v>
      </c>
      <c r="B40" s="48"/>
      <c r="C40" s="49" t="s">
        <v>147</v>
      </c>
      <c r="D40" s="31" t="s">
        <v>148</v>
      </c>
      <c r="E40" s="31" t="s">
        <v>149</v>
      </c>
      <c r="F40" s="31" t="s">
        <v>150</v>
      </c>
      <c r="G40" s="51" t="s">
        <v>103</v>
      </c>
      <c r="H40" s="31" t="s">
        <v>114</v>
      </c>
      <c r="I40" s="50" t="s">
        <v>151</v>
      </c>
      <c r="J40" s="58" t="s">
        <v>152</v>
      </c>
      <c r="K40" s="58" t="s">
        <v>153</v>
      </c>
      <c r="L40" s="31" t="s">
        <v>107</v>
      </c>
      <c r="M40" s="62" t="s">
        <v>108</v>
      </c>
      <c r="N40" s="63">
        <v>1378450</v>
      </c>
      <c r="O40" s="61">
        <v>1190350</v>
      </c>
      <c r="P40" s="36"/>
      <c r="Q40" s="32" t="s">
        <v>154</v>
      </c>
      <c r="R40" s="31" t="s">
        <v>155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1">
        <v>0</v>
      </c>
      <c r="AD40" s="31">
        <v>0</v>
      </c>
      <c r="AE40" s="46">
        <v>0</v>
      </c>
      <c r="AF40" s="46" t="s">
        <v>370</v>
      </c>
      <c r="AG40" s="46">
        <v>0</v>
      </c>
    </row>
    <row r="41" spans="1:33" ht="128.25">
      <c r="A41" s="55" t="s">
        <v>88</v>
      </c>
      <c r="B41" s="48"/>
      <c r="C41" s="49" t="s">
        <v>156</v>
      </c>
      <c r="D41" s="31" t="s">
        <v>157</v>
      </c>
      <c r="E41" s="31" t="s">
        <v>158</v>
      </c>
      <c r="F41" s="31" t="s">
        <v>159</v>
      </c>
      <c r="G41" s="51" t="s">
        <v>103</v>
      </c>
      <c r="H41" s="31" t="s">
        <v>114</v>
      </c>
      <c r="I41" s="50" t="s">
        <v>160</v>
      </c>
      <c r="J41" s="58" t="s">
        <v>152</v>
      </c>
      <c r="K41" s="58" t="s">
        <v>161</v>
      </c>
      <c r="L41" s="31" t="s">
        <v>107</v>
      </c>
      <c r="M41" s="62" t="s">
        <v>108</v>
      </c>
      <c r="N41" s="61">
        <v>26296</v>
      </c>
      <c r="O41" s="61">
        <v>26292</v>
      </c>
      <c r="P41" s="36"/>
      <c r="Q41" s="32" t="s">
        <v>154</v>
      </c>
      <c r="R41" s="31" t="s">
        <v>162</v>
      </c>
      <c r="S41" s="31">
        <v>0</v>
      </c>
      <c r="T41" s="31">
        <v>0</v>
      </c>
      <c r="U41" s="31">
        <v>6573</v>
      </c>
      <c r="V41" s="31">
        <v>0</v>
      </c>
      <c r="W41" s="31">
        <v>0</v>
      </c>
      <c r="X41" s="31">
        <v>0</v>
      </c>
      <c r="Y41" s="31">
        <v>0</v>
      </c>
      <c r="Z41" s="31">
        <v>0</v>
      </c>
      <c r="AA41" s="31">
        <v>0</v>
      </c>
      <c r="AB41" s="31">
        <v>0</v>
      </c>
      <c r="AC41" s="31">
        <v>0</v>
      </c>
      <c r="AD41" s="31">
        <v>0</v>
      </c>
      <c r="AE41" s="46">
        <v>6573</v>
      </c>
      <c r="AF41" s="46" t="s">
        <v>371</v>
      </c>
      <c r="AG41" s="46">
        <v>6573</v>
      </c>
    </row>
    <row r="42" spans="1:33" ht="156.75">
      <c r="A42" s="55" t="s">
        <v>88</v>
      </c>
      <c r="B42" s="48"/>
      <c r="C42" s="49" t="s">
        <v>163</v>
      </c>
      <c r="D42" s="31" t="s">
        <v>164</v>
      </c>
      <c r="E42" s="31" t="s">
        <v>165</v>
      </c>
      <c r="F42" s="31" t="s">
        <v>166</v>
      </c>
      <c r="G42" s="51" t="s">
        <v>103</v>
      </c>
      <c r="H42" s="31" t="s">
        <v>114</v>
      </c>
      <c r="I42" s="50" t="s">
        <v>151</v>
      </c>
      <c r="J42" s="58" t="s">
        <v>152</v>
      </c>
      <c r="K42" s="58" t="s">
        <v>153</v>
      </c>
      <c r="L42" s="31" t="s">
        <v>107</v>
      </c>
      <c r="M42" s="62" t="s">
        <v>108</v>
      </c>
      <c r="N42" s="63">
        <v>4560</v>
      </c>
      <c r="O42" s="61">
        <v>4020</v>
      </c>
      <c r="P42" s="36"/>
      <c r="Q42" s="32" t="s">
        <v>154</v>
      </c>
      <c r="R42" s="31" t="s">
        <v>167</v>
      </c>
      <c r="S42" s="31">
        <v>0</v>
      </c>
      <c r="T42" s="31">
        <v>0</v>
      </c>
      <c r="U42" s="31">
        <v>1005</v>
      </c>
      <c r="V42" s="31">
        <v>0</v>
      </c>
      <c r="W42" s="31">
        <v>0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0</v>
      </c>
      <c r="AD42" s="31">
        <v>0</v>
      </c>
      <c r="AE42" s="46">
        <v>1005</v>
      </c>
      <c r="AF42" s="46" t="s">
        <v>371</v>
      </c>
      <c r="AG42" s="46">
        <v>1005</v>
      </c>
    </row>
    <row r="43" spans="1:33" ht="114">
      <c r="A43" s="55" t="s">
        <v>129</v>
      </c>
      <c r="B43" s="48"/>
      <c r="C43" s="49" t="s">
        <v>168</v>
      </c>
      <c r="D43" s="31" t="s">
        <v>169</v>
      </c>
      <c r="E43" s="31" t="s">
        <v>170</v>
      </c>
      <c r="F43" s="31" t="s">
        <v>171</v>
      </c>
      <c r="G43" s="51" t="s">
        <v>103</v>
      </c>
      <c r="H43" s="31" t="s">
        <v>114</v>
      </c>
      <c r="I43" s="31" t="s">
        <v>172</v>
      </c>
      <c r="J43" s="58" t="s">
        <v>173</v>
      </c>
      <c r="K43" s="58" t="s">
        <v>174</v>
      </c>
      <c r="L43" s="31" t="s">
        <v>107</v>
      </c>
      <c r="M43" s="62" t="s">
        <v>108</v>
      </c>
      <c r="N43" s="63">
        <v>7997</v>
      </c>
      <c r="O43" s="61">
        <v>6000</v>
      </c>
      <c r="P43" s="36"/>
      <c r="Q43" s="31" t="s">
        <v>175</v>
      </c>
      <c r="R43" s="31" t="s">
        <v>176</v>
      </c>
      <c r="S43" s="31">
        <v>669</v>
      </c>
      <c r="T43" s="31">
        <v>562</v>
      </c>
      <c r="U43" s="31">
        <v>709</v>
      </c>
      <c r="V43" s="31">
        <v>297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46">
        <v>1940</v>
      </c>
      <c r="AF43" s="46" t="s">
        <v>372</v>
      </c>
      <c r="AG43" s="46">
        <v>1940</v>
      </c>
    </row>
    <row r="44" spans="1:33" ht="128.25">
      <c r="A44" s="55" t="s">
        <v>74</v>
      </c>
      <c r="B44" s="48"/>
      <c r="C44" s="49" t="s">
        <v>177</v>
      </c>
      <c r="D44" s="31" t="s">
        <v>178</v>
      </c>
      <c r="E44" s="31" t="s">
        <v>179</v>
      </c>
      <c r="F44" s="31" t="s">
        <v>180</v>
      </c>
      <c r="G44" s="31" t="s">
        <v>103</v>
      </c>
      <c r="H44" s="31" t="s">
        <v>114</v>
      </c>
      <c r="I44" s="31" t="s">
        <v>181</v>
      </c>
      <c r="J44" s="31" t="s">
        <v>182</v>
      </c>
      <c r="K44" s="31">
        <v>4</v>
      </c>
      <c r="L44" s="31" t="s">
        <v>183</v>
      </c>
      <c r="M44" s="31" t="s">
        <v>184</v>
      </c>
      <c r="N44" s="31">
        <v>2676</v>
      </c>
      <c r="O44" s="31">
        <v>2550</v>
      </c>
      <c r="P44" s="31"/>
      <c r="Q44" s="31" t="s">
        <v>185</v>
      </c>
      <c r="R44" s="31" t="s">
        <v>186</v>
      </c>
      <c r="S44" s="31">
        <v>654</v>
      </c>
      <c r="T44" s="31">
        <v>914</v>
      </c>
      <c r="U44" s="31">
        <v>724</v>
      </c>
      <c r="V44" s="31">
        <v>678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46">
        <v>2292</v>
      </c>
      <c r="AF44" s="46">
        <v>573</v>
      </c>
      <c r="AG44" s="46">
        <v>764</v>
      </c>
    </row>
    <row r="45" spans="1:33" ht="128.25">
      <c r="A45" s="55" t="s">
        <v>88</v>
      </c>
      <c r="B45" s="48"/>
      <c r="C45" s="49" t="s">
        <v>187</v>
      </c>
      <c r="D45" s="31" t="s">
        <v>188</v>
      </c>
      <c r="E45" s="31" t="s">
        <v>189</v>
      </c>
      <c r="F45" s="31" t="s">
        <v>190</v>
      </c>
      <c r="G45" s="31" t="s">
        <v>103</v>
      </c>
      <c r="H45" s="31" t="s">
        <v>114</v>
      </c>
      <c r="I45" s="31" t="s">
        <v>191</v>
      </c>
      <c r="J45" s="31" t="s">
        <v>192</v>
      </c>
      <c r="K45" s="31" t="s">
        <v>193</v>
      </c>
      <c r="L45" s="31" t="s">
        <v>107</v>
      </c>
      <c r="M45" s="31" t="s">
        <v>108</v>
      </c>
      <c r="N45" s="31" t="s">
        <v>85</v>
      </c>
      <c r="O45" s="31">
        <v>15000</v>
      </c>
      <c r="P45" s="31"/>
      <c r="Q45" s="31" t="s">
        <v>185</v>
      </c>
      <c r="R45" s="31" t="s">
        <v>186</v>
      </c>
      <c r="S45" s="31">
        <v>1336</v>
      </c>
      <c r="T45" s="31">
        <v>1635</v>
      </c>
      <c r="U45" s="31">
        <v>1178</v>
      </c>
      <c r="V45" s="31">
        <v>819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46">
        <v>4149</v>
      </c>
      <c r="AF45" s="46" t="s">
        <v>373</v>
      </c>
      <c r="AG45" s="46">
        <v>4149</v>
      </c>
    </row>
    <row r="46" spans="1:33" ht="128.25">
      <c r="A46" s="55" t="s">
        <v>88</v>
      </c>
      <c r="B46" s="48"/>
      <c r="C46" s="49" t="s">
        <v>194</v>
      </c>
      <c r="D46" s="31" t="s">
        <v>195</v>
      </c>
      <c r="E46" s="31" t="s">
        <v>196</v>
      </c>
      <c r="F46" s="31" t="s">
        <v>197</v>
      </c>
      <c r="G46" s="51" t="s">
        <v>103</v>
      </c>
      <c r="H46" s="31" t="s">
        <v>114</v>
      </c>
      <c r="I46" s="50" t="s">
        <v>198</v>
      </c>
      <c r="J46" s="58" t="s">
        <v>199</v>
      </c>
      <c r="K46" s="58" t="s">
        <v>200</v>
      </c>
      <c r="L46" s="31" t="s">
        <v>107</v>
      </c>
      <c r="M46" s="62" t="s">
        <v>108</v>
      </c>
      <c r="N46" s="63">
        <v>28995</v>
      </c>
      <c r="O46" s="61">
        <v>29000</v>
      </c>
      <c r="P46" s="36"/>
      <c r="Q46" s="32" t="s">
        <v>201</v>
      </c>
      <c r="R46" s="31" t="s">
        <v>202</v>
      </c>
      <c r="S46" s="31">
        <v>1527</v>
      </c>
      <c r="T46" s="31">
        <v>4190</v>
      </c>
      <c r="U46" s="31">
        <v>1152</v>
      </c>
      <c r="V46" s="31">
        <v>1286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46">
        <v>6869</v>
      </c>
      <c r="AF46" s="46" t="s">
        <v>374</v>
      </c>
      <c r="AG46" s="46">
        <v>6869</v>
      </c>
    </row>
    <row r="47" spans="1:33" ht="171">
      <c r="A47" s="55" t="s">
        <v>74</v>
      </c>
      <c r="B47" s="48"/>
      <c r="C47" s="49" t="s">
        <v>203</v>
      </c>
      <c r="D47" s="31" t="s">
        <v>204</v>
      </c>
      <c r="E47" s="31" t="s">
        <v>205</v>
      </c>
      <c r="F47" s="31" t="s">
        <v>206</v>
      </c>
      <c r="G47" s="51" t="s">
        <v>103</v>
      </c>
      <c r="H47" s="31" t="s">
        <v>114</v>
      </c>
      <c r="I47" s="31" t="s">
        <v>207</v>
      </c>
      <c r="J47" s="58" t="s">
        <v>208</v>
      </c>
      <c r="K47" s="58">
        <v>4</v>
      </c>
      <c r="L47" s="31" t="s">
        <v>183</v>
      </c>
      <c r="M47" s="62" t="s">
        <v>184</v>
      </c>
      <c r="N47" s="31" t="s">
        <v>85</v>
      </c>
      <c r="O47" s="63">
        <v>1500</v>
      </c>
      <c r="P47" s="36"/>
      <c r="Q47" s="32" t="s">
        <v>118</v>
      </c>
      <c r="R47" s="31" t="s">
        <v>209</v>
      </c>
      <c r="S47" s="31">
        <v>510</v>
      </c>
      <c r="T47" s="31">
        <v>510</v>
      </c>
      <c r="U47" s="31">
        <v>510</v>
      </c>
      <c r="V47" s="31">
        <v>510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46">
        <v>1530</v>
      </c>
      <c r="AF47" s="46">
        <v>382.5</v>
      </c>
      <c r="AG47" s="46">
        <v>510</v>
      </c>
    </row>
    <row r="48" spans="1:33" ht="171">
      <c r="A48" s="55" t="s">
        <v>88</v>
      </c>
      <c r="B48" s="48"/>
      <c r="C48" s="49" t="s">
        <v>210</v>
      </c>
      <c r="D48" s="31" t="s">
        <v>211</v>
      </c>
      <c r="E48" s="31" t="s">
        <v>212</v>
      </c>
      <c r="F48" s="31" t="s">
        <v>213</v>
      </c>
      <c r="G48" s="51" t="s">
        <v>103</v>
      </c>
      <c r="H48" s="31" t="s">
        <v>114</v>
      </c>
      <c r="I48" s="50" t="s">
        <v>214</v>
      </c>
      <c r="J48" s="58" t="s">
        <v>215</v>
      </c>
      <c r="K48" s="58" t="s">
        <v>216</v>
      </c>
      <c r="L48" s="31" t="s">
        <v>107</v>
      </c>
      <c r="M48" s="62" t="s">
        <v>108</v>
      </c>
      <c r="N48" s="63">
        <v>203457</v>
      </c>
      <c r="O48" s="63">
        <v>224400</v>
      </c>
      <c r="P48" s="36"/>
      <c r="Q48" s="32" t="s">
        <v>118</v>
      </c>
      <c r="R48" s="31" t="s">
        <v>209</v>
      </c>
      <c r="S48" s="31">
        <v>22440</v>
      </c>
      <c r="T48" s="31">
        <v>19380</v>
      </c>
      <c r="U48" s="31">
        <v>23460</v>
      </c>
      <c r="V48" s="31">
        <v>10200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46">
        <v>65280</v>
      </c>
      <c r="AF48" s="46" t="s">
        <v>375</v>
      </c>
      <c r="AG48" s="46">
        <v>65280</v>
      </c>
    </row>
    <row r="49" spans="1:33" ht="114">
      <c r="A49" s="55" t="s">
        <v>74</v>
      </c>
      <c r="B49" s="48"/>
      <c r="C49" s="49" t="s">
        <v>217</v>
      </c>
      <c r="D49" s="64" t="s">
        <v>218</v>
      </c>
      <c r="E49" s="64" t="s">
        <v>219</v>
      </c>
      <c r="F49" s="64" t="s">
        <v>220</v>
      </c>
      <c r="G49" s="65" t="s">
        <v>103</v>
      </c>
      <c r="H49" s="64" t="s">
        <v>114</v>
      </c>
      <c r="I49" s="64" t="s">
        <v>221</v>
      </c>
      <c r="J49" s="66" t="s">
        <v>222</v>
      </c>
      <c r="K49" s="66">
        <v>4</v>
      </c>
      <c r="L49" s="31" t="s">
        <v>183</v>
      </c>
      <c r="M49" s="67" t="s">
        <v>184</v>
      </c>
      <c r="N49" s="68" t="s">
        <v>85</v>
      </c>
      <c r="O49" s="68">
        <v>4500</v>
      </c>
      <c r="P49" s="70"/>
      <c r="Q49" s="31" t="s">
        <v>223</v>
      </c>
      <c r="R49" s="31" t="s">
        <v>224</v>
      </c>
      <c r="S49" s="31">
        <v>1558</v>
      </c>
      <c r="T49" s="31">
        <v>1711</v>
      </c>
      <c r="U49" s="31">
        <v>1813</v>
      </c>
      <c r="V49" s="31">
        <v>1440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46">
        <v>5082</v>
      </c>
      <c r="AF49" s="46">
        <v>1270.5</v>
      </c>
      <c r="AG49" s="46">
        <v>1694</v>
      </c>
    </row>
    <row r="50" spans="1:33" ht="99.75">
      <c r="A50" s="55" t="s">
        <v>88</v>
      </c>
      <c r="B50" s="48"/>
      <c r="C50" s="49" t="s">
        <v>225</v>
      </c>
      <c r="D50" s="31" t="s">
        <v>226</v>
      </c>
      <c r="E50" s="31" t="s">
        <v>227</v>
      </c>
      <c r="F50" s="31" t="s">
        <v>228</v>
      </c>
      <c r="G50" s="51" t="s">
        <v>103</v>
      </c>
      <c r="H50" s="31" t="s">
        <v>114</v>
      </c>
      <c r="I50" s="31" t="s">
        <v>229</v>
      </c>
      <c r="J50" s="58" t="s">
        <v>230</v>
      </c>
      <c r="K50" s="58">
        <v>4</v>
      </c>
      <c r="L50" s="31" t="s">
        <v>183</v>
      </c>
      <c r="M50" s="62" t="s">
        <v>184</v>
      </c>
      <c r="N50" s="36"/>
      <c r="O50" s="63">
        <v>780</v>
      </c>
      <c r="P50" s="36"/>
      <c r="Q50" s="31" t="s">
        <v>231</v>
      </c>
      <c r="R50" s="31" t="s">
        <v>232</v>
      </c>
      <c r="S50" s="31">
        <v>276</v>
      </c>
      <c r="T50" s="31">
        <v>307</v>
      </c>
      <c r="U50" s="31">
        <v>293</v>
      </c>
      <c r="V50" s="31">
        <v>261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46">
        <v>876</v>
      </c>
      <c r="AF50" s="46">
        <v>219</v>
      </c>
      <c r="AG50" s="46">
        <v>292</v>
      </c>
    </row>
    <row r="51" spans="1:33" ht="99.75">
      <c r="A51" s="55" t="s">
        <v>74</v>
      </c>
      <c r="B51" s="48"/>
      <c r="C51" s="49" t="s">
        <v>233</v>
      </c>
      <c r="D51" s="31" t="s">
        <v>234</v>
      </c>
      <c r="E51" s="31" t="s">
        <v>235</v>
      </c>
      <c r="F51" s="31" t="s">
        <v>236</v>
      </c>
      <c r="G51" s="51" t="s">
        <v>103</v>
      </c>
      <c r="H51" s="31" t="s">
        <v>114</v>
      </c>
      <c r="I51" s="50" t="s">
        <v>237</v>
      </c>
      <c r="J51" s="58" t="s">
        <v>238</v>
      </c>
      <c r="K51" s="58" t="s">
        <v>239</v>
      </c>
      <c r="L51" s="31" t="s">
        <v>107</v>
      </c>
      <c r="M51" s="62" t="s">
        <v>108</v>
      </c>
      <c r="N51" s="63">
        <v>2037</v>
      </c>
      <c r="O51" s="63">
        <v>2030</v>
      </c>
      <c r="P51" s="36"/>
      <c r="Q51" s="32" t="s">
        <v>240</v>
      </c>
      <c r="R51" s="31" t="s">
        <v>241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31">
        <v>0</v>
      </c>
      <c r="Z51" s="31">
        <v>0</v>
      </c>
      <c r="AA51" s="31">
        <v>0</v>
      </c>
      <c r="AB51" s="31">
        <v>0</v>
      </c>
      <c r="AC51" s="31">
        <v>0</v>
      </c>
      <c r="AD51" s="31">
        <v>0</v>
      </c>
      <c r="AE51" s="46">
        <v>0</v>
      </c>
      <c r="AF51" s="46" t="s">
        <v>370</v>
      </c>
      <c r="AG51" s="46">
        <v>0</v>
      </c>
    </row>
    <row r="52" spans="1:33" ht="99.75">
      <c r="A52" s="71" t="s">
        <v>88</v>
      </c>
      <c r="B52" s="48"/>
      <c r="C52" s="49" t="s">
        <v>242</v>
      </c>
      <c r="D52" s="31" t="s">
        <v>243</v>
      </c>
      <c r="E52" s="31" t="s">
        <v>244</v>
      </c>
      <c r="F52" s="31" t="s">
        <v>245</v>
      </c>
      <c r="G52" s="51" t="s">
        <v>103</v>
      </c>
      <c r="H52" s="31" t="s">
        <v>114</v>
      </c>
      <c r="I52" s="50" t="s">
        <v>246</v>
      </c>
      <c r="J52" s="58" t="s">
        <v>247</v>
      </c>
      <c r="K52" s="58" t="s">
        <v>248</v>
      </c>
      <c r="L52" s="31" t="s">
        <v>107</v>
      </c>
      <c r="M52" s="62" t="s">
        <v>108</v>
      </c>
      <c r="N52" s="31" t="s">
        <v>85</v>
      </c>
      <c r="O52" s="63">
        <v>1188</v>
      </c>
      <c r="P52" s="36"/>
      <c r="Q52" s="32" t="s">
        <v>249</v>
      </c>
      <c r="R52" s="31" t="s">
        <v>241</v>
      </c>
      <c r="S52" s="31">
        <v>99</v>
      </c>
      <c r="T52" s="31">
        <v>99</v>
      </c>
      <c r="U52" s="31">
        <v>99</v>
      </c>
      <c r="V52" s="31">
        <v>99</v>
      </c>
      <c r="W52" s="31">
        <v>0</v>
      </c>
      <c r="X52" s="31">
        <v>0</v>
      </c>
      <c r="Y52" s="31">
        <v>0</v>
      </c>
      <c r="Z52" s="31">
        <v>0</v>
      </c>
      <c r="AA52" s="31">
        <v>0</v>
      </c>
      <c r="AB52" s="31">
        <v>0</v>
      </c>
      <c r="AC52" s="31">
        <v>0</v>
      </c>
      <c r="AD52" s="31">
        <v>0</v>
      </c>
      <c r="AE52" s="46">
        <v>297</v>
      </c>
      <c r="AF52" s="46" t="s">
        <v>371</v>
      </c>
      <c r="AG52" s="46">
        <v>297</v>
      </c>
    </row>
    <row r="53" spans="1:33" ht="99.75">
      <c r="A53" s="23" t="s">
        <v>74</v>
      </c>
      <c r="B53" s="72" t="s">
        <v>98</v>
      </c>
      <c r="C53" s="73" t="s">
        <v>250</v>
      </c>
      <c r="D53" s="31" t="s">
        <v>251</v>
      </c>
      <c r="E53" s="31" t="s">
        <v>352</v>
      </c>
      <c r="F53" s="31" t="s">
        <v>113</v>
      </c>
      <c r="G53" s="31" t="s">
        <v>103</v>
      </c>
      <c r="H53" s="31" t="s">
        <v>79</v>
      </c>
      <c r="I53" s="31" t="s">
        <v>252</v>
      </c>
      <c r="J53" s="58" t="s">
        <v>253</v>
      </c>
      <c r="K53" s="58" t="s">
        <v>254</v>
      </c>
      <c r="L53" s="31" t="s">
        <v>107</v>
      </c>
      <c r="M53" s="31" t="s">
        <v>108</v>
      </c>
      <c r="N53" s="31">
        <v>4431</v>
      </c>
      <c r="O53" s="31">
        <v>5000</v>
      </c>
      <c r="P53" s="36"/>
      <c r="Q53" s="31" t="s">
        <v>255</v>
      </c>
      <c r="R53" s="31" t="s">
        <v>256</v>
      </c>
      <c r="S53" s="31">
        <v>0</v>
      </c>
      <c r="T53" s="31">
        <v>33</v>
      </c>
      <c r="U53" s="31">
        <v>0</v>
      </c>
      <c r="V53" s="31">
        <v>0</v>
      </c>
      <c r="W53" s="31">
        <v>0</v>
      </c>
      <c r="X53" s="31">
        <v>0</v>
      </c>
      <c r="Y53" s="31">
        <v>0</v>
      </c>
      <c r="Z53" s="31">
        <v>0</v>
      </c>
      <c r="AA53" s="31">
        <v>0</v>
      </c>
      <c r="AB53" s="31">
        <v>0</v>
      </c>
      <c r="AC53" s="31">
        <v>0</v>
      </c>
      <c r="AD53" s="31">
        <v>0</v>
      </c>
      <c r="AE53" s="46">
        <v>33</v>
      </c>
      <c r="AF53" s="46" t="s">
        <v>376</v>
      </c>
      <c r="AG53" s="46">
        <v>33</v>
      </c>
    </row>
    <row r="54" spans="1:33" ht="199.5">
      <c r="A54" s="48" t="s">
        <v>88</v>
      </c>
      <c r="B54" s="48"/>
      <c r="C54" s="74" t="s">
        <v>257</v>
      </c>
      <c r="D54" s="31" t="s">
        <v>258</v>
      </c>
      <c r="E54" s="31" t="s">
        <v>259</v>
      </c>
      <c r="F54" s="31" t="s">
        <v>260</v>
      </c>
      <c r="G54" s="31" t="s">
        <v>103</v>
      </c>
      <c r="H54" s="31" t="s">
        <v>114</v>
      </c>
      <c r="I54" s="31" t="s">
        <v>261</v>
      </c>
      <c r="J54" s="58" t="s">
        <v>262</v>
      </c>
      <c r="K54" s="58" t="s">
        <v>263</v>
      </c>
      <c r="L54" s="31" t="s">
        <v>107</v>
      </c>
      <c r="M54" s="31" t="s">
        <v>108</v>
      </c>
      <c r="N54" s="31">
        <v>17</v>
      </c>
      <c r="O54" s="31">
        <v>7</v>
      </c>
      <c r="P54" s="54"/>
      <c r="Q54" s="31" t="s">
        <v>264</v>
      </c>
      <c r="R54" s="31" t="s">
        <v>265</v>
      </c>
      <c r="S54" s="31">
        <v>1</v>
      </c>
      <c r="T54" s="31">
        <v>1</v>
      </c>
      <c r="U54" s="31">
        <v>2</v>
      </c>
      <c r="V54" s="31">
        <v>7</v>
      </c>
      <c r="W54" s="31">
        <v>0</v>
      </c>
      <c r="X54" s="31">
        <v>0</v>
      </c>
      <c r="Y54" s="31">
        <v>0</v>
      </c>
      <c r="Z54" s="31">
        <v>0</v>
      </c>
      <c r="AA54" s="31">
        <v>0</v>
      </c>
      <c r="AB54" s="31">
        <v>0</v>
      </c>
      <c r="AC54" s="31">
        <v>0</v>
      </c>
      <c r="AD54" s="31">
        <v>0</v>
      </c>
      <c r="AE54" s="46">
        <v>4</v>
      </c>
      <c r="AF54" s="46" t="s">
        <v>377</v>
      </c>
      <c r="AG54" s="46">
        <v>4</v>
      </c>
    </row>
    <row r="55" spans="1:33" ht="128.25">
      <c r="A55" s="23" t="s">
        <v>88</v>
      </c>
      <c r="B55" s="75" t="s">
        <v>98</v>
      </c>
      <c r="C55" s="44" t="s">
        <v>266</v>
      </c>
      <c r="D55" s="31" t="s">
        <v>267</v>
      </c>
      <c r="E55" s="31" t="s">
        <v>268</v>
      </c>
      <c r="F55" s="31" t="s">
        <v>269</v>
      </c>
      <c r="G55" s="31" t="s">
        <v>103</v>
      </c>
      <c r="H55" s="31" t="s">
        <v>79</v>
      </c>
      <c r="I55" s="31" t="s">
        <v>270</v>
      </c>
      <c r="J55" s="76" t="s">
        <v>271</v>
      </c>
      <c r="K55" s="77" t="s">
        <v>272</v>
      </c>
      <c r="L55" s="31" t="s">
        <v>107</v>
      </c>
      <c r="M55" s="31" t="s">
        <v>108</v>
      </c>
      <c r="N55" s="78" t="s">
        <v>85</v>
      </c>
      <c r="O55" s="31">
        <v>1100</v>
      </c>
      <c r="P55" s="36"/>
      <c r="Q55" s="31" t="s">
        <v>273</v>
      </c>
      <c r="R55" s="31" t="s">
        <v>274</v>
      </c>
      <c r="S55" s="31">
        <v>89</v>
      </c>
      <c r="T55" s="31">
        <v>101</v>
      </c>
      <c r="U55" s="31">
        <v>90</v>
      </c>
      <c r="V55" s="31">
        <v>71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  <c r="AB55" s="31">
        <v>0</v>
      </c>
      <c r="AC55" s="31">
        <v>0</v>
      </c>
      <c r="AD55" s="31">
        <v>0</v>
      </c>
      <c r="AE55" s="46">
        <v>280</v>
      </c>
      <c r="AF55" s="46" t="s">
        <v>378</v>
      </c>
      <c r="AG55" s="46">
        <v>280</v>
      </c>
    </row>
    <row r="56" spans="1:33" ht="156.75">
      <c r="A56" s="47" t="s">
        <v>74</v>
      </c>
      <c r="B56" s="79"/>
      <c r="C56" s="49" t="s">
        <v>275</v>
      </c>
      <c r="D56" s="31" t="s">
        <v>276</v>
      </c>
      <c r="E56" s="31" t="s">
        <v>277</v>
      </c>
      <c r="F56" s="31" t="s">
        <v>278</v>
      </c>
      <c r="G56" s="31" t="s">
        <v>103</v>
      </c>
      <c r="H56" s="31" t="s">
        <v>114</v>
      </c>
      <c r="I56" s="31" t="s">
        <v>279</v>
      </c>
      <c r="J56" s="58" t="s">
        <v>280</v>
      </c>
      <c r="K56" s="58" t="s">
        <v>281</v>
      </c>
      <c r="L56" s="31" t="s">
        <v>107</v>
      </c>
      <c r="M56" s="31" t="s">
        <v>108</v>
      </c>
      <c r="N56" s="78" t="s">
        <v>85</v>
      </c>
      <c r="O56" s="31">
        <v>700</v>
      </c>
      <c r="P56" s="36"/>
      <c r="Q56" s="31" t="s">
        <v>282</v>
      </c>
      <c r="R56" s="31" t="s">
        <v>283</v>
      </c>
      <c r="S56" s="31">
        <v>46</v>
      </c>
      <c r="T56" s="31">
        <v>61</v>
      </c>
      <c r="U56" s="31">
        <v>71</v>
      </c>
      <c r="V56" s="31">
        <v>30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46">
        <v>178</v>
      </c>
      <c r="AF56" s="46" t="s">
        <v>379</v>
      </c>
      <c r="AG56" s="46">
        <v>178</v>
      </c>
    </row>
    <row r="57" spans="1:33" ht="114">
      <c r="A57" s="71" t="s">
        <v>88</v>
      </c>
      <c r="B57" s="79"/>
      <c r="C57" s="49" t="s">
        <v>284</v>
      </c>
      <c r="D57" s="31" t="s">
        <v>285</v>
      </c>
      <c r="E57" s="31" t="s">
        <v>286</v>
      </c>
      <c r="F57" s="31" t="s">
        <v>287</v>
      </c>
      <c r="G57" s="31" t="s">
        <v>103</v>
      </c>
      <c r="H57" s="31" t="s">
        <v>114</v>
      </c>
      <c r="I57" s="31" t="s">
        <v>288</v>
      </c>
      <c r="J57" s="58" t="s">
        <v>289</v>
      </c>
      <c r="K57" s="58" t="s">
        <v>290</v>
      </c>
      <c r="L57" s="31" t="s">
        <v>107</v>
      </c>
      <c r="M57" s="31" t="s">
        <v>108</v>
      </c>
      <c r="N57" s="78" t="s">
        <v>85</v>
      </c>
      <c r="O57" s="31">
        <v>400</v>
      </c>
      <c r="P57" s="80"/>
      <c r="Q57" s="31" t="s">
        <v>291</v>
      </c>
      <c r="R57" s="31" t="s">
        <v>292</v>
      </c>
      <c r="S57" s="31">
        <v>36</v>
      </c>
      <c r="T57" s="31">
        <v>29</v>
      </c>
      <c r="U57" s="31">
        <v>31</v>
      </c>
      <c r="V57" s="31">
        <v>19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46">
        <v>96</v>
      </c>
      <c r="AF57" s="46" t="s">
        <v>380</v>
      </c>
      <c r="AG57" s="46">
        <v>96</v>
      </c>
    </row>
    <row r="58" spans="1:33" ht="128.25">
      <c r="B58" s="72" t="s">
        <v>293</v>
      </c>
      <c r="C58" s="44" t="s">
        <v>294</v>
      </c>
      <c r="D58" s="31" t="s">
        <v>295</v>
      </c>
      <c r="E58" s="31" t="s">
        <v>296</v>
      </c>
      <c r="F58" s="31" t="s">
        <v>297</v>
      </c>
      <c r="G58" s="31" t="s">
        <v>103</v>
      </c>
      <c r="H58" s="31" t="s">
        <v>79</v>
      </c>
      <c r="I58" s="31" t="s">
        <v>298</v>
      </c>
      <c r="J58" s="58" t="s">
        <v>299</v>
      </c>
      <c r="K58" s="58" t="s">
        <v>300</v>
      </c>
      <c r="L58" s="31" t="s">
        <v>107</v>
      </c>
      <c r="M58" s="31" t="s">
        <v>108</v>
      </c>
      <c r="N58" s="81">
        <v>12</v>
      </c>
      <c r="O58" s="31">
        <v>12</v>
      </c>
      <c r="P58" s="80"/>
      <c r="Q58" s="31" t="s">
        <v>301</v>
      </c>
      <c r="R58" s="31" t="s">
        <v>302</v>
      </c>
      <c r="S58" s="31">
        <v>1</v>
      </c>
      <c r="T58" s="31">
        <v>1</v>
      </c>
      <c r="U58" s="31">
        <v>1</v>
      </c>
      <c r="V58" s="31">
        <v>1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46">
        <v>3</v>
      </c>
      <c r="AF58" s="46" t="s">
        <v>371</v>
      </c>
      <c r="AG58" s="46">
        <v>3</v>
      </c>
    </row>
    <row r="59" spans="1:33" ht="128.25">
      <c r="A59" s="48" t="s">
        <v>74</v>
      </c>
      <c r="B59" s="48"/>
      <c r="C59" s="49" t="s">
        <v>303</v>
      </c>
      <c r="D59" s="31" t="s">
        <v>304</v>
      </c>
      <c r="E59" s="31" t="s">
        <v>305</v>
      </c>
      <c r="F59" s="32" t="s">
        <v>306</v>
      </c>
      <c r="G59" s="31" t="s">
        <v>103</v>
      </c>
      <c r="H59" s="31" t="s">
        <v>114</v>
      </c>
      <c r="I59" s="31" t="s">
        <v>381</v>
      </c>
      <c r="J59" s="58" t="s">
        <v>308</v>
      </c>
      <c r="K59" s="58">
        <v>4</v>
      </c>
      <c r="L59" s="31" t="s">
        <v>183</v>
      </c>
      <c r="M59" s="31" t="s">
        <v>184</v>
      </c>
      <c r="N59" s="78" t="s">
        <v>85</v>
      </c>
      <c r="O59" s="31">
        <v>990</v>
      </c>
      <c r="P59" s="36"/>
      <c r="Q59" s="31" t="s">
        <v>309</v>
      </c>
      <c r="R59" s="31" t="s">
        <v>310</v>
      </c>
      <c r="S59" s="31">
        <v>82</v>
      </c>
      <c r="T59" s="31">
        <v>84</v>
      </c>
      <c r="U59" s="31">
        <v>77</v>
      </c>
      <c r="V59" s="31">
        <v>62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46">
        <v>243</v>
      </c>
      <c r="AF59" s="46">
        <v>60.8</v>
      </c>
      <c r="AG59" s="46">
        <v>81</v>
      </c>
    </row>
    <row r="60" spans="1:33" ht="171.75">
      <c r="A60" s="48" t="s">
        <v>88</v>
      </c>
      <c r="B60" s="48"/>
      <c r="C60" s="49" t="s">
        <v>311</v>
      </c>
      <c r="D60" s="82" t="s">
        <v>312</v>
      </c>
      <c r="E60" s="83" t="s">
        <v>313</v>
      </c>
      <c r="F60" s="84" t="s">
        <v>314</v>
      </c>
      <c r="G60" s="83" t="s">
        <v>103</v>
      </c>
      <c r="H60" s="83" t="s">
        <v>114</v>
      </c>
      <c r="I60" s="84" t="s">
        <v>315</v>
      </c>
      <c r="J60" s="85" t="s">
        <v>316</v>
      </c>
      <c r="K60" s="86" t="s">
        <v>317</v>
      </c>
      <c r="L60" s="84" t="s">
        <v>107</v>
      </c>
      <c r="M60" s="84" t="s">
        <v>108</v>
      </c>
      <c r="N60" s="87" t="s">
        <v>85</v>
      </c>
      <c r="O60" s="84">
        <v>1800</v>
      </c>
      <c r="P60" s="89"/>
      <c r="Q60" s="83" t="s">
        <v>318</v>
      </c>
      <c r="R60" s="83" t="s">
        <v>310</v>
      </c>
      <c r="S60" s="31">
        <v>155</v>
      </c>
      <c r="T60" s="31">
        <v>164</v>
      </c>
      <c r="U60" s="31">
        <v>207</v>
      </c>
      <c r="V60" s="31">
        <v>170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46">
        <v>526</v>
      </c>
      <c r="AF60" s="46" t="s">
        <v>382</v>
      </c>
      <c r="AG60" s="46">
        <v>526</v>
      </c>
    </row>
    <row r="61" spans="1:33" ht="15.75">
      <c r="A61" s="90"/>
      <c r="B61" s="91"/>
      <c r="S61" s="9"/>
    </row>
    <row r="62" spans="1:33" ht="15.75">
      <c r="D62" s="92"/>
      <c r="E62" s="92"/>
      <c r="F62" s="92"/>
      <c r="G62" s="92"/>
      <c r="H62" s="92"/>
    </row>
    <row r="63" spans="1:33" ht="15.75">
      <c r="D63" s="92"/>
      <c r="E63" s="92"/>
      <c r="F63" s="92"/>
      <c r="G63" s="92"/>
      <c r="H63" s="92"/>
    </row>
    <row r="64" spans="1:33" ht="15.75">
      <c r="D64" s="92"/>
      <c r="E64" s="92"/>
      <c r="F64" s="92"/>
      <c r="G64" s="92"/>
      <c r="H64" s="92"/>
    </row>
    <row r="65" spans="4:8" ht="15.75">
      <c r="D65" s="92"/>
      <c r="E65" s="92"/>
      <c r="F65" s="92"/>
      <c r="G65" s="92"/>
      <c r="H65" s="92"/>
    </row>
    <row r="66" spans="4:8" ht="15.75">
      <c r="D66" s="92"/>
      <c r="E66" s="92"/>
      <c r="F66" s="92"/>
      <c r="G66" s="92"/>
      <c r="H66" s="92"/>
    </row>
    <row r="67" spans="4:8" ht="15.75">
      <c r="D67" s="92"/>
      <c r="E67" s="92"/>
      <c r="F67" s="92"/>
      <c r="G67" s="92"/>
      <c r="H67" s="92"/>
    </row>
    <row r="68" spans="4:8" ht="15.75">
      <c r="D68" s="92"/>
      <c r="E68" s="92"/>
      <c r="F68" s="92"/>
      <c r="G68" s="92"/>
      <c r="H68" s="92"/>
    </row>
    <row r="69" spans="4:8" ht="15.75">
      <c r="D69" s="92"/>
      <c r="E69" s="92"/>
      <c r="F69" s="92"/>
      <c r="G69" s="92"/>
      <c r="H69" s="92"/>
    </row>
    <row r="70" spans="4:8" ht="15.75">
      <c r="D70" s="92"/>
      <c r="E70" s="92"/>
      <c r="F70" s="92"/>
      <c r="G70" s="92"/>
      <c r="H70" s="92"/>
    </row>
    <row r="71" spans="4:8" ht="15.75">
      <c r="D71" s="92"/>
      <c r="E71" s="92"/>
      <c r="F71" s="92"/>
      <c r="G71" s="92"/>
      <c r="H71" s="92"/>
    </row>
    <row r="72" spans="4:8" ht="15.75">
      <c r="D72" s="92"/>
      <c r="E72" s="92"/>
      <c r="F72" s="92"/>
      <c r="G72" s="92"/>
      <c r="H72" s="92"/>
    </row>
    <row r="73" spans="4:8" ht="15.75">
      <c r="D73" s="92"/>
      <c r="E73" s="92"/>
      <c r="F73" s="92"/>
      <c r="G73" s="92"/>
      <c r="H73" s="92"/>
    </row>
    <row r="74" spans="4:8" ht="15.75">
      <c r="D74" s="92"/>
      <c r="E74" s="92"/>
      <c r="F74" s="92"/>
      <c r="G74" s="92"/>
      <c r="H74" s="92"/>
    </row>
    <row r="75" spans="4:8" ht="15.75">
      <c r="D75" s="92"/>
      <c r="E75" s="92"/>
      <c r="F75" s="92"/>
      <c r="G75" s="92"/>
      <c r="H75" s="92"/>
    </row>
    <row r="76" spans="4:8" ht="15.75">
      <c r="D76" s="92"/>
      <c r="E76" s="92"/>
      <c r="F76" s="92"/>
      <c r="G76" s="92"/>
      <c r="H76" s="92"/>
    </row>
    <row r="77" spans="4:8" ht="15.75">
      <c r="D77" s="92"/>
      <c r="E77" s="92"/>
      <c r="F77" s="92"/>
      <c r="G77" s="92"/>
      <c r="H77" s="92"/>
    </row>
    <row r="78" spans="4:8" ht="15.75">
      <c r="D78" s="92"/>
      <c r="E78" s="92"/>
      <c r="F78" s="92"/>
      <c r="G78" s="92"/>
      <c r="H78" s="92"/>
    </row>
    <row r="79" spans="4:8" ht="15.75">
      <c r="D79" s="92"/>
      <c r="E79" s="92"/>
      <c r="F79" s="92"/>
      <c r="G79" s="92"/>
      <c r="H79" s="92"/>
    </row>
    <row r="80" spans="4:8" ht="15.75">
      <c r="D80" s="92"/>
      <c r="E80" s="92"/>
      <c r="F80" s="92"/>
      <c r="G80" s="92"/>
      <c r="H80" s="92"/>
    </row>
    <row r="81" spans="4:8" ht="15.75">
      <c r="D81" s="92"/>
      <c r="E81" s="92"/>
      <c r="F81" s="92"/>
      <c r="G81" s="92"/>
      <c r="H81" s="92"/>
    </row>
    <row r="82" spans="4:8" ht="15.75">
      <c r="D82" s="92"/>
      <c r="E82" s="92"/>
      <c r="F82" s="92"/>
      <c r="G82" s="92"/>
      <c r="H82" s="92"/>
    </row>
    <row r="83" spans="4:8" ht="15.75">
      <c r="D83" s="92"/>
      <c r="E83" s="92"/>
      <c r="F83" s="92"/>
      <c r="G83" s="92"/>
      <c r="H83" s="92"/>
    </row>
    <row r="84" spans="4:8" ht="15.75">
      <c r="D84" s="92"/>
      <c r="E84" s="92"/>
      <c r="F84" s="92"/>
      <c r="G84" s="92"/>
      <c r="H84" s="92"/>
    </row>
    <row r="85" spans="4:8" ht="15.75">
      <c r="D85" s="92"/>
      <c r="E85" s="92"/>
      <c r="F85" s="92"/>
      <c r="G85" s="92"/>
      <c r="H85" s="92"/>
    </row>
    <row r="86" spans="4:8" ht="15.75">
      <c r="D86" s="92"/>
      <c r="E86" s="92"/>
      <c r="F86" s="92"/>
      <c r="G86" s="92"/>
      <c r="H86" s="92"/>
    </row>
    <row r="87" spans="4:8" ht="15.75">
      <c r="D87" s="92"/>
      <c r="E87" s="92"/>
      <c r="F87" s="92"/>
      <c r="G87" s="92"/>
      <c r="H87" s="92"/>
    </row>
    <row r="88" spans="4:8" ht="15.75">
      <c r="D88" s="92"/>
      <c r="E88" s="92"/>
      <c r="F88" s="92"/>
      <c r="G88" s="92"/>
      <c r="H88" s="92"/>
    </row>
    <row r="89" spans="4:8" ht="15.75">
      <c r="D89" s="92"/>
      <c r="E89" s="92"/>
      <c r="F89" s="92"/>
      <c r="G89" s="92"/>
      <c r="H89" s="92"/>
    </row>
    <row r="90" spans="4:8" ht="15.75">
      <c r="D90" s="92"/>
      <c r="E90" s="92"/>
      <c r="F90" s="92"/>
      <c r="G90" s="92"/>
      <c r="H90" s="92"/>
    </row>
    <row r="91" spans="4:8" ht="15.75">
      <c r="D91" s="92"/>
      <c r="E91" s="92"/>
      <c r="F91" s="92"/>
      <c r="G91" s="92"/>
      <c r="H91" s="92"/>
    </row>
    <row r="92" spans="4:8" ht="15.75">
      <c r="D92" s="92"/>
      <c r="E92" s="92"/>
      <c r="F92" s="92"/>
      <c r="G92" s="92"/>
      <c r="H92" s="92"/>
    </row>
    <row r="93" spans="4:8" ht="15.75">
      <c r="D93" s="92"/>
      <c r="E93" s="92"/>
      <c r="F93" s="92"/>
      <c r="G93" s="92"/>
      <c r="H93" s="92"/>
    </row>
    <row r="94" spans="4:8" ht="15.75">
      <c r="D94" s="92"/>
      <c r="E94" s="92"/>
      <c r="F94" s="92"/>
      <c r="G94" s="92"/>
      <c r="H94" s="92"/>
    </row>
    <row r="95" spans="4:8" ht="15.75">
      <c r="D95" s="92"/>
      <c r="E95" s="92"/>
      <c r="F95" s="92"/>
      <c r="G95" s="92"/>
      <c r="H95" s="92"/>
    </row>
    <row r="96" spans="4:8" ht="15.75">
      <c r="D96" s="92"/>
      <c r="E96" s="92"/>
      <c r="F96" s="92"/>
      <c r="G96" s="92"/>
      <c r="H96" s="92"/>
    </row>
    <row r="97" spans="4:8" ht="15.75">
      <c r="D97" s="92"/>
      <c r="E97" s="92"/>
      <c r="F97" s="92"/>
      <c r="G97" s="92"/>
      <c r="H97" s="92"/>
    </row>
    <row r="98" spans="4:8" ht="15.75">
      <c r="D98" s="92"/>
      <c r="E98" s="92"/>
      <c r="F98" s="92"/>
      <c r="G98" s="92"/>
      <c r="H98" s="92"/>
    </row>
    <row r="99" spans="4:8" ht="15.75">
      <c r="D99" s="92"/>
      <c r="E99" s="92"/>
      <c r="F99" s="92"/>
      <c r="G99" s="92"/>
      <c r="H99" s="92"/>
    </row>
    <row r="100" spans="4:8" ht="15.75">
      <c r="D100" s="92"/>
      <c r="E100" s="92"/>
      <c r="F100" s="92"/>
      <c r="G100" s="92"/>
      <c r="H100" s="92"/>
    </row>
    <row r="101" spans="4:8" ht="15.75">
      <c r="D101" s="92"/>
      <c r="E101" s="92"/>
      <c r="F101" s="92"/>
      <c r="G101" s="92"/>
      <c r="H101" s="92"/>
    </row>
    <row r="102" spans="4:8" ht="15.75">
      <c r="D102" s="92"/>
      <c r="E102" s="92"/>
      <c r="F102" s="92"/>
      <c r="G102" s="92"/>
      <c r="H102" s="92"/>
    </row>
    <row r="103" spans="4:8" ht="15.75">
      <c r="D103" s="92"/>
      <c r="E103" s="92"/>
      <c r="F103" s="92"/>
      <c r="G103" s="92"/>
      <c r="H103" s="92"/>
    </row>
    <row r="104" spans="4:8" ht="15.75">
      <c r="D104" s="92"/>
      <c r="E104" s="92"/>
      <c r="F104" s="92"/>
      <c r="G104" s="92"/>
      <c r="H104" s="92"/>
    </row>
    <row r="105" spans="4:8" ht="15.75">
      <c r="D105" s="92"/>
      <c r="E105" s="92"/>
      <c r="F105" s="92"/>
      <c r="G105" s="92"/>
      <c r="H105" s="92"/>
    </row>
    <row r="106" spans="4:8" ht="15.75">
      <c r="D106" s="92"/>
      <c r="E106" s="92"/>
      <c r="F106" s="92"/>
      <c r="G106" s="92"/>
      <c r="H106" s="92"/>
    </row>
    <row r="107" spans="4:8" ht="15.75">
      <c r="D107" s="92"/>
      <c r="E107" s="92"/>
      <c r="F107" s="92"/>
      <c r="G107" s="92"/>
      <c r="H107" s="92"/>
    </row>
    <row r="108" spans="4:8" ht="15.75">
      <c r="D108" s="92"/>
      <c r="E108" s="92"/>
      <c r="F108" s="92"/>
      <c r="G108" s="92"/>
      <c r="H108" s="92"/>
    </row>
    <row r="109" spans="4:8" ht="15.75">
      <c r="D109" s="92"/>
      <c r="E109" s="92"/>
      <c r="F109" s="92"/>
      <c r="G109" s="92"/>
      <c r="H109" s="92"/>
    </row>
    <row r="110" spans="4:8" ht="15.75">
      <c r="D110" s="92"/>
      <c r="E110" s="92"/>
      <c r="F110" s="92"/>
      <c r="G110" s="92"/>
      <c r="H110" s="92"/>
    </row>
    <row r="111" spans="4:8" ht="15.75">
      <c r="D111" s="92"/>
      <c r="E111" s="92"/>
      <c r="F111" s="92"/>
      <c r="G111" s="92"/>
      <c r="H111" s="92"/>
    </row>
    <row r="112" spans="4:8" ht="15.75">
      <c r="D112" s="92"/>
      <c r="E112" s="92"/>
      <c r="F112" s="92"/>
      <c r="G112" s="92"/>
      <c r="H112" s="92"/>
    </row>
    <row r="113" spans="3:20" ht="15.75">
      <c r="D113" s="92"/>
      <c r="E113" s="92"/>
      <c r="F113" s="92"/>
      <c r="G113" s="92"/>
      <c r="H113" s="92"/>
    </row>
    <row r="114" spans="3:20" ht="15.75">
      <c r="D114" s="92"/>
      <c r="E114" s="92"/>
      <c r="F114" s="92"/>
      <c r="G114" s="92"/>
      <c r="H114" s="92"/>
    </row>
    <row r="115" spans="3:20" ht="15.75">
      <c r="D115" s="92"/>
      <c r="E115" s="92"/>
      <c r="F115" s="92"/>
      <c r="G115" s="92"/>
      <c r="H115" s="92"/>
    </row>
    <row r="116" spans="3:20" ht="15.75">
      <c r="D116" s="92"/>
      <c r="E116" s="92"/>
      <c r="F116" s="92"/>
      <c r="G116" s="92"/>
      <c r="H116" s="92"/>
    </row>
    <row r="117" spans="3:20" ht="15.75">
      <c r="D117" s="92"/>
      <c r="E117" s="92"/>
      <c r="F117" s="92"/>
      <c r="G117" s="92"/>
      <c r="H117" s="92"/>
    </row>
    <row r="118" spans="3:20" ht="15.75">
      <c r="D118" s="92"/>
      <c r="E118" s="92"/>
      <c r="F118" s="92"/>
      <c r="G118" s="92"/>
      <c r="H118" s="92"/>
    </row>
    <row r="119" spans="3:20" ht="15.75">
      <c r="D119" s="92"/>
      <c r="E119" s="92"/>
      <c r="F119" s="92"/>
      <c r="G119" s="92"/>
      <c r="H119" s="92"/>
    </row>
    <row r="120" spans="3:20" ht="15.75">
      <c r="D120" s="92"/>
      <c r="E120" s="92"/>
      <c r="F120" s="92"/>
      <c r="G120" s="92"/>
      <c r="H120" s="92"/>
    </row>
    <row r="121" spans="3:20" ht="15.75">
      <c r="D121" s="92"/>
      <c r="E121" s="92"/>
      <c r="F121" s="92"/>
      <c r="G121" s="92"/>
      <c r="H121" s="92"/>
    </row>
    <row r="122" spans="3:20" ht="15.75">
      <c r="D122" s="92"/>
      <c r="E122" s="92"/>
      <c r="F122" s="92"/>
      <c r="G122" s="92"/>
      <c r="H122" s="92"/>
    </row>
    <row r="123" spans="3:20" ht="15.75">
      <c r="D123" s="92"/>
      <c r="E123" s="92"/>
      <c r="F123" s="92"/>
      <c r="G123" s="92"/>
      <c r="H123" s="92"/>
    </row>
    <row r="124" spans="3:20" ht="15.75">
      <c r="D124" s="92"/>
      <c r="E124" s="92"/>
      <c r="F124" s="92"/>
      <c r="G124" s="92"/>
      <c r="H124" s="92"/>
    </row>
    <row r="125" spans="3:20" ht="15.75">
      <c r="D125" s="92"/>
      <c r="E125" s="92"/>
      <c r="F125" s="92"/>
      <c r="G125" s="92"/>
      <c r="H125" s="92"/>
    </row>
    <row r="126" spans="3:20" ht="15.75">
      <c r="D126" s="92"/>
      <c r="E126" s="92"/>
      <c r="F126" s="92"/>
      <c r="G126" s="92"/>
      <c r="H126" s="92"/>
    </row>
    <row r="127" spans="3:20" ht="15.75">
      <c r="C127" s="93" t="s">
        <v>319</v>
      </c>
      <c r="D127" s="166"/>
      <c r="E127" s="167"/>
      <c r="F127" s="167"/>
      <c r="G127" s="168"/>
      <c r="H127" s="12" t="s">
        <v>7</v>
      </c>
      <c r="I127" s="156" t="s">
        <v>320</v>
      </c>
      <c r="J127" s="157"/>
      <c r="K127" s="157"/>
      <c r="L127" s="157"/>
      <c r="M127" s="157"/>
      <c r="N127" s="157"/>
      <c r="O127" s="157"/>
      <c r="P127" s="157"/>
      <c r="Q127" s="157"/>
      <c r="R127" s="157"/>
      <c r="S127" s="157"/>
      <c r="T127" s="158"/>
    </row>
    <row r="128" spans="3:20" ht="15.75">
      <c r="C128" s="10" t="s">
        <v>321</v>
      </c>
      <c r="D128" s="159"/>
      <c r="E128" s="157"/>
      <c r="F128" s="157"/>
      <c r="G128" s="158"/>
      <c r="H128" s="12" t="s">
        <v>7</v>
      </c>
      <c r="I128" s="94" t="s">
        <v>322</v>
      </c>
      <c r="J128" s="95" t="s">
        <v>323</v>
      </c>
      <c r="K128" s="95" t="s">
        <v>324</v>
      </c>
      <c r="L128" s="95" t="s">
        <v>325</v>
      </c>
      <c r="M128" s="95" t="s">
        <v>326</v>
      </c>
      <c r="N128" s="95" t="s">
        <v>327</v>
      </c>
      <c r="O128" s="95" t="s">
        <v>328</v>
      </c>
      <c r="P128" s="95" t="s">
        <v>329</v>
      </c>
      <c r="Q128" s="95" t="s">
        <v>330</v>
      </c>
      <c r="R128" s="95" t="s">
        <v>331</v>
      </c>
      <c r="S128" s="95" t="s">
        <v>332</v>
      </c>
      <c r="T128" s="95" t="s">
        <v>333</v>
      </c>
    </row>
    <row r="129" spans="3:20" ht="15.75">
      <c r="C129" s="10" t="s">
        <v>334</v>
      </c>
      <c r="D129" s="159"/>
      <c r="E129" s="157"/>
      <c r="F129" s="157"/>
      <c r="G129" s="158"/>
      <c r="H129" s="12" t="s">
        <v>7</v>
      </c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</row>
    <row r="130" spans="3:20" ht="15.75">
      <c r="C130" s="49" t="s">
        <v>335</v>
      </c>
      <c r="D130" s="160"/>
      <c r="E130" s="157"/>
      <c r="F130" s="157"/>
      <c r="G130" s="158"/>
      <c r="H130" s="92"/>
      <c r="I130" s="9"/>
      <c r="J130" s="9"/>
      <c r="K130" s="9"/>
      <c r="L130" s="9"/>
      <c r="M130" s="9"/>
      <c r="N130" s="9"/>
      <c r="O130" s="9"/>
      <c r="P130" s="9"/>
      <c r="Q130" s="9"/>
      <c r="R130" s="9"/>
    </row>
    <row r="131" spans="3:20" ht="15.75">
      <c r="C131" s="10" t="s">
        <v>336</v>
      </c>
      <c r="D131" s="161"/>
      <c r="E131" s="157"/>
      <c r="F131" s="157"/>
      <c r="G131" s="158"/>
      <c r="H131" s="12" t="s">
        <v>7</v>
      </c>
      <c r="I131" s="9"/>
      <c r="J131" s="9"/>
      <c r="K131" s="9"/>
      <c r="L131" s="9"/>
      <c r="M131" s="9"/>
      <c r="N131" s="9"/>
      <c r="O131" s="9"/>
      <c r="P131" s="9"/>
      <c r="Q131" s="9"/>
      <c r="R131" s="9"/>
    </row>
    <row r="132" spans="3:20" ht="31.5">
      <c r="C132" s="10" t="s">
        <v>337</v>
      </c>
      <c r="D132" s="159"/>
      <c r="E132" s="157"/>
      <c r="F132" s="157"/>
      <c r="G132" s="158"/>
      <c r="H132" s="92"/>
      <c r="I132" s="9"/>
      <c r="J132" s="9"/>
      <c r="K132" s="9"/>
      <c r="L132" s="9"/>
      <c r="M132" s="9"/>
      <c r="N132" s="9"/>
      <c r="O132" s="9"/>
      <c r="P132" s="9"/>
      <c r="Q132" s="9"/>
      <c r="R132" s="9"/>
    </row>
    <row r="133" spans="3:20" ht="31.5">
      <c r="C133" s="10" t="s">
        <v>338</v>
      </c>
      <c r="D133" s="164"/>
      <c r="E133" s="157"/>
      <c r="F133" s="157"/>
      <c r="G133" s="158"/>
      <c r="H133" s="92"/>
      <c r="I133" s="9"/>
      <c r="J133" s="9"/>
      <c r="K133" s="9"/>
      <c r="L133" s="9"/>
      <c r="M133" s="9"/>
      <c r="N133" s="9"/>
      <c r="O133" s="9"/>
      <c r="P133" s="9"/>
      <c r="Q133" s="9"/>
      <c r="R133" s="9"/>
    </row>
    <row r="134" spans="3:20" ht="15.75">
      <c r="D134" s="92"/>
      <c r="E134" s="92"/>
      <c r="F134" s="92"/>
      <c r="G134" s="92"/>
      <c r="H134" s="92"/>
    </row>
    <row r="135" spans="3:20" ht="15.75">
      <c r="D135" s="92"/>
      <c r="E135" s="92"/>
      <c r="F135" s="92"/>
      <c r="G135" s="92"/>
      <c r="H135" s="92"/>
    </row>
    <row r="136" spans="3:20" ht="15.75">
      <c r="D136" s="92"/>
      <c r="E136" s="92"/>
      <c r="F136" s="92"/>
      <c r="G136" s="92"/>
      <c r="H136" s="92"/>
    </row>
    <row r="137" spans="3:20" ht="15.75">
      <c r="D137" s="92"/>
      <c r="E137" s="92"/>
      <c r="F137" s="92"/>
      <c r="G137" s="92"/>
      <c r="H137" s="92"/>
    </row>
    <row r="138" spans="3:20" ht="15.75">
      <c r="D138" s="92"/>
      <c r="E138" s="92"/>
      <c r="F138" s="92"/>
      <c r="G138" s="92"/>
      <c r="H138" s="92"/>
    </row>
    <row r="139" spans="3:20" ht="15.75">
      <c r="D139" s="92"/>
      <c r="E139" s="92"/>
      <c r="F139" s="92"/>
      <c r="G139" s="92"/>
      <c r="H139" s="92"/>
    </row>
    <row r="140" spans="3:20" ht="15.75">
      <c r="D140" s="92"/>
      <c r="E140" s="92"/>
      <c r="F140" s="92"/>
      <c r="G140" s="92"/>
      <c r="H140" s="92"/>
    </row>
    <row r="141" spans="3:20" ht="15.75">
      <c r="D141" s="92"/>
      <c r="E141" s="92"/>
      <c r="F141" s="92"/>
      <c r="G141" s="92"/>
      <c r="H141" s="92"/>
    </row>
    <row r="142" spans="3:20" ht="15.75">
      <c r="D142" s="92"/>
      <c r="E142" s="92"/>
      <c r="F142" s="92"/>
      <c r="G142" s="92"/>
      <c r="H142" s="92"/>
    </row>
    <row r="143" spans="3:20" ht="15.75">
      <c r="D143" s="92"/>
      <c r="E143" s="92"/>
      <c r="F143" s="92"/>
      <c r="G143" s="92"/>
      <c r="H143" s="92"/>
    </row>
    <row r="144" spans="3:20" ht="15.75">
      <c r="D144" s="92"/>
      <c r="E144" s="92"/>
      <c r="F144" s="92"/>
      <c r="G144" s="92"/>
      <c r="H144" s="92"/>
    </row>
    <row r="145" spans="4:8" ht="15.75">
      <c r="D145" s="92"/>
      <c r="E145" s="92"/>
      <c r="F145" s="92"/>
      <c r="G145" s="92"/>
      <c r="H145" s="92"/>
    </row>
    <row r="146" spans="4:8" ht="15.75">
      <c r="D146" s="92"/>
      <c r="E146" s="92"/>
      <c r="F146" s="92"/>
      <c r="G146" s="92"/>
      <c r="H146" s="92"/>
    </row>
    <row r="147" spans="4:8" ht="15.75">
      <c r="D147" s="92"/>
      <c r="E147" s="92"/>
      <c r="F147" s="92"/>
      <c r="G147" s="92"/>
      <c r="H147" s="92"/>
    </row>
    <row r="148" spans="4:8" ht="15.75">
      <c r="D148" s="92"/>
      <c r="E148" s="92"/>
      <c r="F148" s="92"/>
      <c r="G148" s="92"/>
      <c r="H148" s="92"/>
    </row>
    <row r="149" spans="4:8" ht="15.75">
      <c r="D149" s="92"/>
      <c r="E149" s="92"/>
      <c r="F149" s="92"/>
      <c r="G149" s="92"/>
      <c r="H149" s="92"/>
    </row>
    <row r="150" spans="4:8" ht="15.75">
      <c r="D150" s="92"/>
      <c r="E150" s="92"/>
      <c r="F150" s="92"/>
      <c r="G150" s="92"/>
      <c r="H150" s="92"/>
    </row>
    <row r="151" spans="4:8" ht="15.75">
      <c r="D151" s="92"/>
      <c r="E151" s="92"/>
      <c r="F151" s="92"/>
      <c r="G151" s="92"/>
      <c r="H151" s="92"/>
    </row>
    <row r="152" spans="4:8" ht="15.75">
      <c r="D152" s="92"/>
      <c r="E152" s="92"/>
      <c r="F152" s="92"/>
      <c r="G152" s="92"/>
      <c r="H152" s="92"/>
    </row>
    <row r="153" spans="4:8" ht="15.75">
      <c r="D153" s="92"/>
      <c r="E153" s="92"/>
      <c r="F153" s="92"/>
      <c r="G153" s="92"/>
      <c r="H153" s="92"/>
    </row>
    <row r="154" spans="4:8" ht="15.75">
      <c r="D154" s="92"/>
      <c r="E154" s="92"/>
      <c r="F154" s="92"/>
      <c r="G154" s="92"/>
      <c r="H154" s="92"/>
    </row>
    <row r="155" spans="4:8" ht="15.75">
      <c r="D155" s="92"/>
      <c r="E155" s="92"/>
      <c r="F155" s="92"/>
      <c r="G155" s="92"/>
      <c r="H155" s="92"/>
    </row>
    <row r="156" spans="4:8" ht="15.75">
      <c r="D156" s="92"/>
      <c r="E156" s="92"/>
      <c r="F156" s="92"/>
      <c r="G156" s="92"/>
      <c r="H156" s="92"/>
    </row>
    <row r="157" spans="4:8" ht="15.75">
      <c r="D157" s="92"/>
      <c r="E157" s="92"/>
      <c r="F157" s="92"/>
      <c r="G157" s="92"/>
      <c r="H157" s="92"/>
    </row>
    <row r="158" spans="4:8" ht="15.75">
      <c r="D158" s="92"/>
      <c r="E158" s="92"/>
      <c r="F158" s="92"/>
      <c r="G158" s="92"/>
      <c r="H158" s="92"/>
    </row>
    <row r="159" spans="4:8" ht="15.75">
      <c r="D159" s="92"/>
      <c r="E159" s="92"/>
      <c r="F159" s="92"/>
      <c r="G159" s="92"/>
      <c r="H159" s="92"/>
    </row>
    <row r="160" spans="4:8" ht="15.75">
      <c r="D160" s="92"/>
      <c r="E160" s="92"/>
      <c r="F160" s="92"/>
      <c r="G160" s="92"/>
      <c r="H160" s="92"/>
    </row>
    <row r="161" spans="4:8" ht="15.75">
      <c r="D161" s="92"/>
      <c r="E161" s="92"/>
      <c r="F161" s="92"/>
      <c r="G161" s="92"/>
      <c r="H161" s="92"/>
    </row>
    <row r="162" spans="4:8" ht="15.75">
      <c r="D162" s="92"/>
      <c r="E162" s="92"/>
      <c r="F162" s="92"/>
      <c r="G162" s="92"/>
      <c r="H162" s="92"/>
    </row>
    <row r="163" spans="4:8" ht="15.75">
      <c r="D163" s="92"/>
      <c r="E163" s="92"/>
      <c r="F163" s="92"/>
      <c r="G163" s="92"/>
      <c r="H163" s="92"/>
    </row>
    <row r="164" spans="4:8" ht="15.75">
      <c r="D164" s="92"/>
      <c r="E164" s="92"/>
      <c r="F164" s="92"/>
      <c r="G164" s="92"/>
      <c r="H164" s="92"/>
    </row>
    <row r="165" spans="4:8" ht="15.75">
      <c r="D165" s="92"/>
      <c r="E165" s="92"/>
      <c r="F165" s="92"/>
      <c r="G165" s="92"/>
      <c r="H165" s="92"/>
    </row>
    <row r="166" spans="4:8" ht="15.75">
      <c r="D166" s="92"/>
      <c r="E166" s="92"/>
      <c r="F166" s="92"/>
      <c r="G166" s="92"/>
      <c r="H166" s="92"/>
    </row>
    <row r="167" spans="4:8" ht="15.75">
      <c r="D167" s="92"/>
      <c r="E167" s="92"/>
      <c r="F167" s="92"/>
      <c r="G167" s="92"/>
      <c r="H167" s="92"/>
    </row>
    <row r="168" spans="4:8" ht="15.75">
      <c r="D168" s="92"/>
      <c r="E168" s="92"/>
      <c r="F168" s="92"/>
      <c r="G168" s="92"/>
      <c r="H168" s="92"/>
    </row>
    <row r="169" spans="4:8" ht="15.75">
      <c r="D169" s="92"/>
      <c r="E169" s="92"/>
      <c r="F169" s="92"/>
      <c r="G169" s="92"/>
      <c r="H169" s="92"/>
    </row>
    <row r="170" spans="4:8" ht="15.75">
      <c r="D170" s="92"/>
      <c r="E170" s="92"/>
      <c r="F170" s="92"/>
      <c r="G170" s="92"/>
      <c r="H170" s="92"/>
    </row>
    <row r="171" spans="4:8" ht="15.75">
      <c r="D171" s="92"/>
      <c r="E171" s="92"/>
      <c r="F171" s="92"/>
      <c r="G171" s="92"/>
      <c r="H171" s="92"/>
    </row>
    <row r="172" spans="4:8" ht="15.75">
      <c r="D172" s="92"/>
      <c r="E172" s="92"/>
      <c r="F172" s="92"/>
      <c r="G172" s="92"/>
      <c r="H172" s="92"/>
    </row>
    <row r="173" spans="4:8" ht="15.75">
      <c r="D173" s="92"/>
      <c r="E173" s="92"/>
      <c r="F173" s="92"/>
      <c r="G173" s="92"/>
      <c r="H173" s="92"/>
    </row>
    <row r="174" spans="4:8" ht="15.75">
      <c r="D174" s="92"/>
      <c r="E174" s="92"/>
      <c r="F174" s="92"/>
      <c r="G174" s="92"/>
      <c r="H174" s="92"/>
    </row>
    <row r="175" spans="4:8" ht="15.75">
      <c r="D175" s="92"/>
      <c r="E175" s="92"/>
      <c r="F175" s="92"/>
      <c r="G175" s="92"/>
      <c r="H175" s="92"/>
    </row>
    <row r="176" spans="4:8" ht="15.75">
      <c r="D176" s="92"/>
      <c r="E176" s="92"/>
      <c r="F176" s="92"/>
      <c r="G176" s="92"/>
      <c r="H176" s="92"/>
    </row>
    <row r="177" spans="4:8" ht="15.75">
      <c r="D177" s="92"/>
      <c r="E177" s="92"/>
      <c r="F177" s="92"/>
      <c r="G177" s="92"/>
      <c r="H177" s="92"/>
    </row>
    <row r="178" spans="4:8" ht="15.75">
      <c r="D178" s="92"/>
      <c r="E178" s="92"/>
      <c r="F178" s="92"/>
      <c r="G178" s="92"/>
      <c r="H178" s="92"/>
    </row>
    <row r="179" spans="4:8" ht="15.75">
      <c r="D179" s="92"/>
      <c r="E179" s="92"/>
      <c r="F179" s="92"/>
      <c r="G179" s="92"/>
      <c r="H179" s="92"/>
    </row>
    <row r="180" spans="4:8" ht="15.75">
      <c r="D180" s="92"/>
      <c r="E180" s="92"/>
      <c r="F180" s="92"/>
      <c r="G180" s="92"/>
      <c r="H180" s="92"/>
    </row>
    <row r="181" spans="4:8" ht="15.75">
      <c r="D181" s="92"/>
      <c r="E181" s="92"/>
      <c r="F181" s="92"/>
      <c r="G181" s="92"/>
      <c r="H181" s="92"/>
    </row>
    <row r="182" spans="4:8" ht="15.75">
      <c r="D182" s="92"/>
      <c r="E182" s="92"/>
      <c r="F182" s="92"/>
      <c r="G182" s="92"/>
      <c r="H182" s="92"/>
    </row>
    <row r="183" spans="4:8" ht="15.75">
      <c r="D183" s="92"/>
      <c r="E183" s="92"/>
      <c r="F183" s="92"/>
      <c r="G183" s="92"/>
      <c r="H183" s="92"/>
    </row>
    <row r="184" spans="4:8" ht="15.75">
      <c r="D184" s="92"/>
      <c r="E184" s="92"/>
      <c r="F184" s="92"/>
      <c r="G184" s="92"/>
      <c r="H184" s="92"/>
    </row>
    <row r="185" spans="4:8" ht="15.75">
      <c r="D185" s="92"/>
      <c r="E185" s="92"/>
      <c r="F185" s="92"/>
      <c r="G185" s="92"/>
      <c r="H185" s="92"/>
    </row>
    <row r="186" spans="4:8" ht="15.75">
      <c r="D186" s="92"/>
      <c r="E186" s="92"/>
      <c r="F186" s="92"/>
      <c r="G186" s="92"/>
      <c r="H186" s="92"/>
    </row>
    <row r="187" spans="4:8" ht="15.75">
      <c r="D187" s="92"/>
      <c r="E187" s="92"/>
      <c r="F187" s="92"/>
      <c r="G187" s="92"/>
      <c r="H187" s="92"/>
    </row>
    <row r="188" spans="4:8" ht="15.75">
      <c r="D188" s="92"/>
      <c r="E188" s="92"/>
      <c r="F188" s="92"/>
      <c r="G188" s="92"/>
      <c r="H188" s="92"/>
    </row>
    <row r="189" spans="4:8" ht="15.75">
      <c r="D189" s="92"/>
      <c r="E189" s="92"/>
      <c r="F189" s="92"/>
      <c r="G189" s="92"/>
      <c r="H189" s="92"/>
    </row>
    <row r="190" spans="4:8" ht="15.75">
      <c r="D190" s="92"/>
      <c r="E190" s="92"/>
      <c r="F190" s="92"/>
      <c r="G190" s="92"/>
      <c r="H190" s="92"/>
    </row>
    <row r="191" spans="4:8" ht="15.75">
      <c r="D191" s="92"/>
      <c r="E191" s="92"/>
      <c r="F191" s="92"/>
      <c r="G191" s="92"/>
      <c r="H191" s="92"/>
    </row>
    <row r="192" spans="4:8" ht="15.75">
      <c r="D192" s="92"/>
      <c r="E192" s="92"/>
      <c r="F192" s="92"/>
      <c r="G192" s="92"/>
      <c r="H192" s="92"/>
    </row>
    <row r="193" spans="4:8" ht="15.75">
      <c r="D193" s="92"/>
      <c r="E193" s="92"/>
      <c r="F193" s="92"/>
      <c r="G193" s="92"/>
      <c r="H193" s="92"/>
    </row>
    <row r="194" spans="4:8" ht="15.75">
      <c r="D194" s="92"/>
      <c r="E194" s="92"/>
      <c r="F194" s="92"/>
      <c r="G194" s="92"/>
      <c r="H194" s="92"/>
    </row>
    <row r="195" spans="4:8" ht="15.75">
      <c r="D195" s="92"/>
      <c r="E195" s="92"/>
      <c r="F195" s="92"/>
      <c r="G195" s="92"/>
      <c r="H195" s="92"/>
    </row>
    <row r="196" spans="4:8" ht="15.75">
      <c r="D196" s="92"/>
      <c r="E196" s="92"/>
      <c r="F196" s="92"/>
      <c r="G196" s="92"/>
      <c r="H196" s="92"/>
    </row>
    <row r="197" spans="4:8" ht="15.75">
      <c r="D197" s="92"/>
      <c r="E197" s="92"/>
      <c r="F197" s="92"/>
      <c r="G197" s="92"/>
      <c r="H197" s="92"/>
    </row>
    <row r="198" spans="4:8" ht="15.75">
      <c r="D198" s="92"/>
      <c r="E198" s="92"/>
      <c r="F198" s="92"/>
      <c r="G198" s="92"/>
      <c r="H198" s="92"/>
    </row>
    <row r="199" spans="4:8" ht="15.75">
      <c r="D199" s="92"/>
      <c r="E199" s="92"/>
      <c r="F199" s="92"/>
      <c r="G199" s="92"/>
      <c r="H199" s="92"/>
    </row>
    <row r="200" spans="4:8" ht="15.75">
      <c r="D200" s="92"/>
      <c r="E200" s="92"/>
      <c r="F200" s="92"/>
      <c r="G200" s="92"/>
      <c r="H200" s="92"/>
    </row>
    <row r="201" spans="4:8" ht="15.75">
      <c r="D201" s="92"/>
      <c r="E201" s="92"/>
      <c r="F201" s="92"/>
      <c r="G201" s="92"/>
      <c r="H201" s="92"/>
    </row>
    <row r="202" spans="4:8" ht="15.75">
      <c r="D202" s="92"/>
      <c r="E202" s="92"/>
      <c r="F202" s="92"/>
      <c r="G202" s="92"/>
      <c r="H202" s="92"/>
    </row>
    <row r="203" spans="4:8" ht="15.75">
      <c r="D203" s="92"/>
      <c r="E203" s="92"/>
      <c r="F203" s="92"/>
      <c r="G203" s="92"/>
      <c r="H203" s="92"/>
    </row>
    <row r="204" spans="4:8" ht="15.75">
      <c r="D204" s="92"/>
      <c r="E204" s="92"/>
      <c r="F204" s="92"/>
      <c r="G204" s="92"/>
      <c r="H204" s="92"/>
    </row>
    <row r="205" spans="4:8" ht="15.75">
      <c r="D205" s="92"/>
      <c r="E205" s="92"/>
      <c r="F205" s="92"/>
      <c r="G205" s="92"/>
      <c r="H205" s="92"/>
    </row>
    <row r="206" spans="4:8" ht="15.75">
      <c r="D206" s="92"/>
      <c r="E206" s="92"/>
      <c r="F206" s="92"/>
      <c r="G206" s="92"/>
      <c r="H206" s="92"/>
    </row>
    <row r="207" spans="4:8" ht="15.75">
      <c r="D207" s="92"/>
      <c r="E207" s="92"/>
      <c r="F207" s="92"/>
      <c r="G207" s="92"/>
      <c r="H207" s="92"/>
    </row>
    <row r="208" spans="4:8" ht="15.75">
      <c r="D208" s="92"/>
      <c r="E208" s="92"/>
      <c r="F208" s="92"/>
      <c r="G208" s="92"/>
      <c r="H208" s="92"/>
    </row>
    <row r="209" spans="4:8" ht="15.75">
      <c r="D209" s="92"/>
      <c r="E209" s="92"/>
      <c r="F209" s="92"/>
      <c r="G209" s="92"/>
      <c r="H209" s="92"/>
    </row>
    <row r="210" spans="4:8" ht="15.75">
      <c r="D210" s="92"/>
      <c r="E210" s="92"/>
      <c r="F210" s="92"/>
      <c r="G210" s="92"/>
      <c r="H210" s="92"/>
    </row>
    <row r="211" spans="4:8" ht="15.75">
      <c r="D211" s="92"/>
      <c r="E211" s="92"/>
      <c r="F211" s="92"/>
      <c r="G211" s="92"/>
      <c r="H211" s="92"/>
    </row>
    <row r="212" spans="4:8" ht="15.75">
      <c r="D212" s="92"/>
      <c r="E212" s="92"/>
      <c r="F212" s="92"/>
      <c r="G212" s="92"/>
      <c r="H212" s="92"/>
    </row>
    <row r="213" spans="4:8" ht="15.75">
      <c r="D213" s="92"/>
      <c r="E213" s="92"/>
      <c r="F213" s="92"/>
      <c r="G213" s="92"/>
      <c r="H213" s="92"/>
    </row>
    <row r="214" spans="4:8" ht="15.75">
      <c r="D214" s="92"/>
      <c r="E214" s="92"/>
      <c r="F214" s="92"/>
      <c r="G214" s="92"/>
      <c r="H214" s="92"/>
    </row>
    <row r="215" spans="4:8" ht="15.75">
      <c r="D215" s="92"/>
      <c r="E215" s="92"/>
      <c r="F215" s="92"/>
      <c r="G215" s="92"/>
      <c r="H215" s="92"/>
    </row>
    <row r="216" spans="4:8" ht="15.75">
      <c r="D216" s="92"/>
      <c r="E216" s="92"/>
      <c r="F216" s="92"/>
      <c r="G216" s="92"/>
      <c r="H216" s="92"/>
    </row>
    <row r="217" spans="4:8" ht="15.75">
      <c r="D217" s="92"/>
      <c r="E217" s="92"/>
      <c r="F217" s="92"/>
      <c r="G217" s="92"/>
      <c r="H217" s="92"/>
    </row>
    <row r="218" spans="4:8" ht="15.75">
      <c r="D218" s="92"/>
      <c r="E218" s="92"/>
      <c r="F218" s="92"/>
      <c r="G218" s="92"/>
      <c r="H218" s="92"/>
    </row>
    <row r="219" spans="4:8" ht="15.75">
      <c r="D219" s="92"/>
      <c r="E219" s="92"/>
      <c r="F219" s="92"/>
      <c r="G219" s="92"/>
      <c r="H219" s="92"/>
    </row>
    <row r="220" spans="4:8" ht="15.75">
      <c r="D220" s="92"/>
      <c r="E220" s="92"/>
      <c r="F220" s="92"/>
      <c r="G220" s="92"/>
      <c r="H220" s="92"/>
    </row>
    <row r="221" spans="4:8" ht="15.75">
      <c r="D221" s="92"/>
      <c r="E221" s="92"/>
      <c r="F221" s="92"/>
      <c r="G221" s="92"/>
      <c r="H221" s="92"/>
    </row>
    <row r="222" spans="4:8" ht="15.75">
      <c r="D222" s="92"/>
      <c r="E222" s="92"/>
      <c r="F222" s="92"/>
      <c r="G222" s="92"/>
      <c r="H222" s="92"/>
    </row>
    <row r="223" spans="4:8" ht="15.75">
      <c r="D223" s="92"/>
      <c r="E223" s="92"/>
      <c r="F223" s="92"/>
      <c r="G223" s="92"/>
      <c r="H223" s="92"/>
    </row>
    <row r="224" spans="4:8" ht="15.75">
      <c r="D224" s="92"/>
      <c r="E224" s="92"/>
      <c r="F224" s="92"/>
      <c r="G224" s="92"/>
      <c r="H224" s="92"/>
    </row>
    <row r="225" spans="4:8" ht="15.75">
      <c r="D225" s="92"/>
      <c r="E225" s="92"/>
      <c r="F225" s="92"/>
      <c r="G225" s="92"/>
      <c r="H225" s="92"/>
    </row>
    <row r="226" spans="4:8" ht="15.75">
      <c r="D226" s="92"/>
      <c r="E226" s="92"/>
      <c r="F226" s="92"/>
      <c r="G226" s="92"/>
      <c r="H226" s="92"/>
    </row>
    <row r="227" spans="4:8" ht="15.75">
      <c r="D227" s="92"/>
      <c r="E227" s="92"/>
      <c r="F227" s="92"/>
      <c r="G227" s="92"/>
      <c r="H227" s="92"/>
    </row>
    <row r="228" spans="4:8" ht="15.75">
      <c r="D228" s="92"/>
      <c r="E228" s="92"/>
      <c r="F228" s="92"/>
      <c r="G228" s="92"/>
      <c r="H228" s="92"/>
    </row>
    <row r="229" spans="4:8" ht="15.75">
      <c r="D229" s="92"/>
      <c r="E229" s="92"/>
      <c r="F229" s="92"/>
      <c r="G229" s="92"/>
      <c r="H229" s="92"/>
    </row>
    <row r="230" spans="4:8" ht="15.75">
      <c r="D230" s="92"/>
      <c r="E230" s="92"/>
      <c r="F230" s="92"/>
      <c r="G230" s="92"/>
      <c r="H230" s="92"/>
    </row>
    <row r="231" spans="4:8" ht="15.75">
      <c r="D231" s="92"/>
      <c r="E231" s="92"/>
      <c r="F231" s="92"/>
      <c r="G231" s="92"/>
      <c r="H231" s="92"/>
    </row>
    <row r="232" spans="4:8" ht="15.75">
      <c r="D232" s="92"/>
      <c r="E232" s="92"/>
      <c r="F232" s="92"/>
      <c r="G232" s="92"/>
      <c r="H232" s="92"/>
    </row>
    <row r="233" spans="4:8" ht="15.75">
      <c r="D233" s="92"/>
      <c r="E233" s="92"/>
      <c r="F233" s="92"/>
      <c r="G233" s="92"/>
      <c r="H233" s="92"/>
    </row>
    <row r="234" spans="4:8" ht="15.75">
      <c r="D234" s="92"/>
      <c r="E234" s="92"/>
      <c r="F234" s="92"/>
      <c r="G234" s="92"/>
      <c r="H234" s="92"/>
    </row>
    <row r="235" spans="4:8" ht="15.75">
      <c r="D235" s="92"/>
      <c r="E235" s="92"/>
      <c r="F235" s="92"/>
      <c r="G235" s="92"/>
      <c r="H235" s="92"/>
    </row>
    <row r="236" spans="4:8" ht="15.75">
      <c r="D236" s="92"/>
      <c r="E236" s="92"/>
      <c r="F236" s="92"/>
      <c r="G236" s="92"/>
      <c r="H236" s="92"/>
    </row>
    <row r="237" spans="4:8" ht="15.75">
      <c r="D237" s="92"/>
      <c r="E237" s="92"/>
      <c r="F237" s="92"/>
      <c r="G237" s="92"/>
      <c r="H237" s="92"/>
    </row>
    <row r="238" spans="4:8" ht="15.75">
      <c r="D238" s="92"/>
      <c r="E238" s="92"/>
      <c r="F238" s="92"/>
      <c r="G238" s="92"/>
      <c r="H238" s="92"/>
    </row>
    <row r="239" spans="4:8" ht="15.75">
      <c r="D239" s="92"/>
      <c r="E239" s="92"/>
      <c r="F239" s="92"/>
      <c r="G239" s="92"/>
      <c r="H239" s="92"/>
    </row>
    <row r="240" spans="4:8" ht="15.75">
      <c r="D240" s="92"/>
      <c r="E240" s="92"/>
      <c r="F240" s="92"/>
      <c r="G240" s="92"/>
      <c r="H240" s="92"/>
    </row>
    <row r="241" spans="4:8" ht="15.75">
      <c r="D241" s="92"/>
      <c r="E241" s="92"/>
      <c r="F241" s="92"/>
      <c r="G241" s="92"/>
      <c r="H241" s="92"/>
    </row>
    <row r="242" spans="4:8" ht="15.75">
      <c r="D242" s="92"/>
      <c r="E242" s="92"/>
      <c r="F242" s="92"/>
      <c r="G242" s="92"/>
      <c r="H242" s="92"/>
    </row>
    <row r="243" spans="4:8" ht="15.75">
      <c r="D243" s="92"/>
      <c r="E243" s="92"/>
      <c r="F243" s="92"/>
      <c r="G243" s="92"/>
      <c r="H243" s="92"/>
    </row>
    <row r="244" spans="4:8" ht="15.75">
      <c r="D244" s="92"/>
      <c r="E244" s="92"/>
      <c r="F244" s="92"/>
      <c r="G244" s="92"/>
      <c r="H244" s="92"/>
    </row>
    <row r="245" spans="4:8" ht="15.75">
      <c r="D245" s="92"/>
      <c r="E245" s="92"/>
      <c r="F245" s="92"/>
      <c r="G245" s="92"/>
      <c r="H245" s="92"/>
    </row>
    <row r="246" spans="4:8" ht="15.75">
      <c r="D246" s="92"/>
      <c r="E246" s="92"/>
      <c r="F246" s="92"/>
      <c r="G246" s="92"/>
      <c r="H246" s="92"/>
    </row>
    <row r="247" spans="4:8" ht="15.75">
      <c r="D247" s="92"/>
      <c r="E247" s="92"/>
      <c r="F247" s="92"/>
      <c r="G247" s="92"/>
      <c r="H247" s="92"/>
    </row>
    <row r="248" spans="4:8" ht="15.75">
      <c r="D248" s="92"/>
      <c r="E248" s="92"/>
      <c r="F248" s="92"/>
      <c r="G248" s="92"/>
      <c r="H248" s="92"/>
    </row>
    <row r="249" spans="4:8" ht="15.75">
      <c r="D249" s="92"/>
      <c r="E249" s="92"/>
      <c r="F249" s="92"/>
      <c r="G249" s="92"/>
      <c r="H249" s="92"/>
    </row>
    <row r="250" spans="4:8" ht="15.75">
      <c r="D250" s="92"/>
      <c r="E250" s="92"/>
      <c r="F250" s="92"/>
      <c r="G250" s="92"/>
      <c r="H250" s="92"/>
    </row>
    <row r="251" spans="4:8" ht="15.75">
      <c r="D251" s="92"/>
      <c r="E251" s="92"/>
      <c r="F251" s="92"/>
      <c r="G251" s="92"/>
      <c r="H251" s="92"/>
    </row>
    <row r="252" spans="4:8" ht="15.75">
      <c r="D252" s="92"/>
      <c r="E252" s="92"/>
      <c r="F252" s="92"/>
      <c r="G252" s="92"/>
      <c r="H252" s="92"/>
    </row>
    <row r="253" spans="4:8" ht="15.75">
      <c r="D253" s="92"/>
      <c r="E253" s="92"/>
      <c r="F253" s="92"/>
      <c r="G253" s="92"/>
      <c r="H253" s="92"/>
    </row>
    <row r="254" spans="4:8" ht="15.75">
      <c r="D254" s="92"/>
      <c r="E254" s="92"/>
      <c r="F254" s="92"/>
      <c r="G254" s="92"/>
      <c r="H254" s="92"/>
    </row>
    <row r="255" spans="4:8" ht="15.75">
      <c r="D255" s="92"/>
      <c r="E255" s="92"/>
      <c r="F255" s="92"/>
      <c r="G255" s="92"/>
      <c r="H255" s="92"/>
    </row>
    <row r="256" spans="4:8" ht="15.75">
      <c r="D256" s="92"/>
      <c r="E256" s="92"/>
      <c r="F256" s="92"/>
      <c r="G256" s="92"/>
      <c r="H256" s="92"/>
    </row>
    <row r="257" spans="4:8" ht="15.75">
      <c r="D257" s="92"/>
      <c r="E257" s="92"/>
      <c r="F257" s="92"/>
      <c r="G257" s="92"/>
      <c r="H257" s="92"/>
    </row>
    <row r="258" spans="4:8" ht="15.75">
      <c r="D258" s="92"/>
      <c r="E258" s="92"/>
      <c r="F258" s="92"/>
      <c r="G258" s="92"/>
      <c r="H258" s="92"/>
    </row>
    <row r="259" spans="4:8" ht="15.75">
      <c r="D259" s="92"/>
      <c r="E259" s="92"/>
      <c r="F259" s="92"/>
      <c r="G259" s="92"/>
      <c r="H259" s="92"/>
    </row>
    <row r="260" spans="4:8" ht="15.75">
      <c r="D260" s="92"/>
      <c r="E260" s="92"/>
      <c r="F260" s="92"/>
      <c r="G260" s="92"/>
      <c r="H260" s="92"/>
    </row>
    <row r="261" spans="4:8" ht="15.75">
      <c r="D261" s="92"/>
      <c r="E261" s="92"/>
      <c r="F261" s="92"/>
      <c r="G261" s="92"/>
      <c r="H261" s="92"/>
    </row>
    <row r="262" spans="4:8" ht="15.75">
      <c r="D262" s="92"/>
      <c r="E262" s="92"/>
      <c r="F262" s="92"/>
      <c r="G262" s="92"/>
      <c r="H262" s="92"/>
    </row>
    <row r="263" spans="4:8" ht="15.75">
      <c r="D263" s="92"/>
      <c r="E263" s="92"/>
      <c r="F263" s="92"/>
      <c r="G263" s="92"/>
      <c r="H263" s="92"/>
    </row>
    <row r="264" spans="4:8" ht="15.75">
      <c r="D264" s="92"/>
      <c r="E264" s="92"/>
      <c r="F264" s="92"/>
      <c r="G264" s="92"/>
      <c r="H264" s="92"/>
    </row>
    <row r="265" spans="4:8" ht="15.75">
      <c r="D265" s="92"/>
      <c r="E265" s="92"/>
      <c r="F265" s="92"/>
      <c r="G265" s="92"/>
      <c r="H265" s="92"/>
    </row>
    <row r="266" spans="4:8" ht="15.75">
      <c r="D266" s="92"/>
      <c r="E266" s="92"/>
      <c r="F266" s="92"/>
      <c r="G266" s="92"/>
      <c r="H266" s="92"/>
    </row>
    <row r="267" spans="4:8" ht="15.75">
      <c r="D267" s="92"/>
      <c r="E267" s="92"/>
      <c r="F267" s="92"/>
      <c r="G267" s="92"/>
      <c r="H267" s="92"/>
    </row>
    <row r="268" spans="4:8" ht="15.75">
      <c r="D268" s="92"/>
      <c r="E268" s="92"/>
      <c r="F268" s="92"/>
      <c r="G268" s="92"/>
      <c r="H268" s="92"/>
    </row>
    <row r="269" spans="4:8" ht="15.75">
      <c r="D269" s="92"/>
      <c r="E269" s="92"/>
      <c r="F269" s="92"/>
      <c r="G269" s="92"/>
      <c r="H269" s="92"/>
    </row>
    <row r="270" spans="4:8" ht="15.75">
      <c r="D270" s="92"/>
      <c r="E270" s="92"/>
      <c r="F270" s="92"/>
      <c r="G270" s="92"/>
      <c r="H270" s="92"/>
    </row>
    <row r="271" spans="4:8" ht="15.75">
      <c r="D271" s="92"/>
      <c r="E271" s="92"/>
      <c r="F271" s="92"/>
      <c r="G271" s="92"/>
      <c r="H271" s="92"/>
    </row>
    <row r="272" spans="4:8" ht="15.75">
      <c r="D272" s="92"/>
      <c r="E272" s="92"/>
      <c r="F272" s="92"/>
      <c r="G272" s="92"/>
      <c r="H272" s="92"/>
    </row>
    <row r="273" spans="4:8" ht="15.75">
      <c r="D273" s="92"/>
      <c r="E273" s="92"/>
      <c r="F273" s="92"/>
      <c r="G273" s="92"/>
      <c r="H273" s="92"/>
    </row>
    <row r="274" spans="4:8" ht="15.75">
      <c r="D274" s="92"/>
      <c r="E274" s="92"/>
      <c r="F274" s="92"/>
      <c r="G274" s="92"/>
      <c r="H274" s="92"/>
    </row>
    <row r="275" spans="4:8" ht="15.75">
      <c r="D275" s="92"/>
      <c r="E275" s="92"/>
      <c r="F275" s="92"/>
      <c r="G275" s="92"/>
      <c r="H275" s="92"/>
    </row>
    <row r="276" spans="4:8" ht="15.75">
      <c r="D276" s="92"/>
      <c r="E276" s="92"/>
      <c r="F276" s="92"/>
      <c r="G276" s="92"/>
      <c r="H276" s="92"/>
    </row>
    <row r="277" spans="4:8" ht="15.75">
      <c r="D277" s="92"/>
      <c r="E277" s="92"/>
      <c r="F277" s="92"/>
      <c r="G277" s="92"/>
      <c r="H277" s="92"/>
    </row>
    <row r="278" spans="4:8" ht="15.75">
      <c r="D278" s="92"/>
      <c r="E278" s="92"/>
      <c r="F278" s="92"/>
      <c r="G278" s="92"/>
      <c r="H278" s="92"/>
    </row>
    <row r="279" spans="4:8" ht="15.75">
      <c r="D279" s="92"/>
      <c r="E279" s="92"/>
      <c r="F279" s="92"/>
      <c r="G279" s="92"/>
      <c r="H279" s="92"/>
    </row>
    <row r="280" spans="4:8" ht="15.75">
      <c r="D280" s="92"/>
      <c r="E280" s="92"/>
      <c r="F280" s="92"/>
      <c r="G280" s="92"/>
      <c r="H280" s="92"/>
    </row>
    <row r="281" spans="4:8" ht="15.75">
      <c r="D281" s="92"/>
      <c r="E281" s="92"/>
      <c r="F281" s="92"/>
      <c r="G281" s="92"/>
      <c r="H281" s="92"/>
    </row>
    <row r="282" spans="4:8" ht="15.75">
      <c r="D282" s="92"/>
      <c r="E282" s="92"/>
      <c r="F282" s="92"/>
      <c r="G282" s="92"/>
      <c r="H282" s="92"/>
    </row>
    <row r="283" spans="4:8" ht="15.75">
      <c r="D283" s="92"/>
      <c r="E283" s="92"/>
      <c r="F283" s="92"/>
      <c r="G283" s="92"/>
      <c r="H283" s="92"/>
    </row>
    <row r="284" spans="4:8" ht="15.75">
      <c r="D284" s="92"/>
      <c r="E284" s="92"/>
      <c r="F284" s="92"/>
      <c r="G284" s="92"/>
      <c r="H284" s="92"/>
    </row>
    <row r="285" spans="4:8" ht="15.75">
      <c r="D285" s="92"/>
      <c r="E285" s="92"/>
      <c r="F285" s="92"/>
      <c r="G285" s="92"/>
      <c r="H285" s="92"/>
    </row>
    <row r="286" spans="4:8" ht="15.75">
      <c r="D286" s="92"/>
      <c r="E286" s="92"/>
      <c r="F286" s="92"/>
      <c r="G286" s="92"/>
      <c r="H286" s="92"/>
    </row>
    <row r="287" spans="4:8" ht="15.75">
      <c r="D287" s="92"/>
      <c r="E287" s="92"/>
      <c r="F287" s="92"/>
      <c r="G287" s="92"/>
      <c r="H287" s="92"/>
    </row>
    <row r="288" spans="4:8" ht="15.75">
      <c r="D288" s="92"/>
      <c r="E288" s="92"/>
      <c r="F288" s="92"/>
      <c r="G288" s="92"/>
      <c r="H288" s="92"/>
    </row>
    <row r="289" spans="4:8" ht="15.75">
      <c r="D289" s="92"/>
      <c r="E289" s="92"/>
      <c r="F289" s="92"/>
      <c r="G289" s="92"/>
      <c r="H289" s="92"/>
    </row>
    <row r="290" spans="4:8" ht="15.75">
      <c r="D290" s="92"/>
      <c r="E290" s="92"/>
      <c r="F290" s="92"/>
      <c r="G290" s="92"/>
      <c r="H290" s="92"/>
    </row>
    <row r="291" spans="4:8" ht="15.75">
      <c r="D291" s="92"/>
      <c r="E291" s="92"/>
      <c r="F291" s="92"/>
      <c r="G291" s="92"/>
      <c r="H291" s="92"/>
    </row>
    <row r="292" spans="4:8" ht="15.75">
      <c r="D292" s="92"/>
      <c r="E292" s="92"/>
      <c r="F292" s="92"/>
      <c r="G292" s="92"/>
      <c r="H292" s="92"/>
    </row>
    <row r="293" spans="4:8" ht="15.75">
      <c r="D293" s="92"/>
      <c r="E293" s="92"/>
      <c r="F293" s="92"/>
      <c r="G293" s="92"/>
      <c r="H293" s="92"/>
    </row>
    <row r="294" spans="4:8" ht="15.75">
      <c r="D294" s="92"/>
      <c r="E294" s="92"/>
      <c r="F294" s="92"/>
      <c r="G294" s="92"/>
      <c r="H294" s="92"/>
    </row>
    <row r="295" spans="4:8" ht="15.75">
      <c r="D295" s="92"/>
      <c r="E295" s="92"/>
      <c r="F295" s="92"/>
      <c r="G295" s="92"/>
      <c r="H295" s="92"/>
    </row>
    <row r="296" spans="4:8" ht="15.75">
      <c r="D296" s="92"/>
      <c r="E296" s="92"/>
      <c r="F296" s="92"/>
      <c r="G296" s="92"/>
      <c r="H296" s="92"/>
    </row>
    <row r="297" spans="4:8" ht="15.75">
      <c r="D297" s="92"/>
      <c r="E297" s="92"/>
      <c r="F297" s="92"/>
      <c r="G297" s="92"/>
      <c r="H297" s="92"/>
    </row>
    <row r="298" spans="4:8" ht="15.75">
      <c r="D298" s="92"/>
      <c r="E298" s="92"/>
      <c r="F298" s="92"/>
      <c r="G298" s="92"/>
      <c r="H298" s="92"/>
    </row>
    <row r="299" spans="4:8" ht="15.75">
      <c r="D299" s="92"/>
      <c r="E299" s="92"/>
      <c r="F299" s="92"/>
      <c r="G299" s="92"/>
      <c r="H299" s="92"/>
    </row>
    <row r="300" spans="4:8" ht="15.75">
      <c r="D300" s="92"/>
      <c r="E300" s="92"/>
      <c r="F300" s="92"/>
      <c r="G300" s="92"/>
      <c r="H300" s="92"/>
    </row>
    <row r="301" spans="4:8" ht="15.75">
      <c r="D301" s="92"/>
      <c r="E301" s="92"/>
      <c r="F301" s="92"/>
      <c r="G301" s="92"/>
      <c r="H301" s="92"/>
    </row>
    <row r="302" spans="4:8" ht="15.75">
      <c r="D302" s="92"/>
      <c r="E302" s="92"/>
      <c r="F302" s="92"/>
      <c r="G302" s="92"/>
      <c r="H302" s="92"/>
    </row>
    <row r="303" spans="4:8" ht="15.75">
      <c r="D303" s="92"/>
      <c r="E303" s="92"/>
      <c r="F303" s="92"/>
      <c r="G303" s="92"/>
      <c r="H303" s="92"/>
    </row>
    <row r="304" spans="4:8" ht="15.75">
      <c r="D304" s="92"/>
      <c r="E304" s="92"/>
      <c r="F304" s="92"/>
      <c r="G304" s="92"/>
      <c r="H304" s="92"/>
    </row>
    <row r="305" spans="4:8" ht="15.75">
      <c r="D305" s="92"/>
      <c r="E305" s="92"/>
      <c r="F305" s="92"/>
      <c r="G305" s="92"/>
      <c r="H305" s="92"/>
    </row>
    <row r="306" spans="4:8" ht="15.75">
      <c r="D306" s="92"/>
      <c r="E306" s="92"/>
      <c r="F306" s="92"/>
      <c r="G306" s="92"/>
      <c r="H306" s="92"/>
    </row>
    <row r="307" spans="4:8" ht="15.75">
      <c r="D307" s="92"/>
      <c r="E307" s="92"/>
      <c r="F307" s="92"/>
      <c r="G307" s="92"/>
      <c r="H307" s="92"/>
    </row>
    <row r="308" spans="4:8" ht="15.75">
      <c r="D308" s="92"/>
      <c r="E308" s="92"/>
      <c r="F308" s="92"/>
      <c r="G308" s="92"/>
      <c r="H308" s="92"/>
    </row>
    <row r="309" spans="4:8" ht="15.75">
      <c r="D309" s="92"/>
      <c r="E309" s="92"/>
      <c r="F309" s="92"/>
      <c r="G309" s="92"/>
      <c r="H309" s="92"/>
    </row>
    <row r="310" spans="4:8" ht="15.75">
      <c r="D310" s="92"/>
      <c r="E310" s="92"/>
      <c r="F310" s="92"/>
      <c r="G310" s="92"/>
      <c r="H310" s="92"/>
    </row>
    <row r="311" spans="4:8" ht="15.75">
      <c r="D311" s="92"/>
      <c r="E311" s="92"/>
      <c r="F311" s="92"/>
      <c r="G311" s="92"/>
      <c r="H311" s="92"/>
    </row>
    <row r="312" spans="4:8" ht="15.75">
      <c r="D312" s="92"/>
      <c r="E312" s="92"/>
      <c r="F312" s="92"/>
      <c r="G312" s="92"/>
      <c r="H312" s="92"/>
    </row>
    <row r="313" spans="4:8" ht="15.75">
      <c r="D313" s="92"/>
      <c r="E313" s="92"/>
      <c r="F313" s="92"/>
      <c r="G313" s="92"/>
      <c r="H313" s="92"/>
    </row>
    <row r="314" spans="4:8" ht="15.75">
      <c r="D314" s="92"/>
      <c r="E314" s="92"/>
      <c r="F314" s="92"/>
      <c r="G314" s="92"/>
      <c r="H314" s="92"/>
    </row>
    <row r="315" spans="4:8" ht="15.75">
      <c r="D315" s="92"/>
      <c r="E315" s="92"/>
      <c r="F315" s="92"/>
      <c r="G315" s="92"/>
      <c r="H315" s="92"/>
    </row>
    <row r="316" spans="4:8" ht="15.75">
      <c r="D316" s="92"/>
      <c r="E316" s="92"/>
      <c r="F316" s="92"/>
      <c r="G316" s="92"/>
      <c r="H316" s="92"/>
    </row>
    <row r="317" spans="4:8" ht="15.75">
      <c r="D317" s="92"/>
      <c r="E317" s="92"/>
      <c r="F317" s="92"/>
      <c r="G317" s="92"/>
      <c r="H317" s="92"/>
    </row>
    <row r="318" spans="4:8" ht="15.75">
      <c r="D318" s="92"/>
      <c r="E318" s="92"/>
      <c r="F318" s="92"/>
      <c r="G318" s="92"/>
      <c r="H318" s="92"/>
    </row>
    <row r="319" spans="4:8" ht="15.75">
      <c r="D319" s="92"/>
      <c r="E319" s="92"/>
      <c r="F319" s="92"/>
      <c r="G319" s="92"/>
      <c r="H319" s="92"/>
    </row>
    <row r="320" spans="4:8" ht="15.75">
      <c r="D320" s="92"/>
      <c r="E320" s="92"/>
      <c r="F320" s="92"/>
      <c r="G320" s="92"/>
      <c r="H320" s="92"/>
    </row>
    <row r="321" spans="4:8" ht="15.75">
      <c r="D321" s="92"/>
      <c r="E321" s="92"/>
      <c r="F321" s="92"/>
      <c r="G321" s="92"/>
      <c r="H321" s="92"/>
    </row>
    <row r="322" spans="4:8" ht="15.75">
      <c r="D322" s="92"/>
      <c r="E322" s="92"/>
      <c r="F322" s="92"/>
      <c r="G322" s="92"/>
      <c r="H322" s="92"/>
    </row>
    <row r="323" spans="4:8" ht="15.75">
      <c r="D323" s="92"/>
      <c r="E323" s="92"/>
      <c r="F323" s="92"/>
      <c r="G323" s="92"/>
      <c r="H323" s="92"/>
    </row>
    <row r="324" spans="4:8" ht="15.75">
      <c r="D324" s="92"/>
      <c r="E324" s="92"/>
      <c r="F324" s="92"/>
      <c r="G324" s="92"/>
      <c r="H324" s="92"/>
    </row>
    <row r="325" spans="4:8" ht="15.75">
      <c r="D325" s="92"/>
      <c r="E325" s="92"/>
      <c r="F325" s="92"/>
      <c r="G325" s="92"/>
      <c r="H325" s="92"/>
    </row>
    <row r="326" spans="4:8" ht="15.75">
      <c r="D326" s="92"/>
      <c r="E326" s="92"/>
      <c r="F326" s="92"/>
      <c r="G326" s="92"/>
      <c r="H326" s="92"/>
    </row>
    <row r="327" spans="4:8" ht="15.75">
      <c r="D327" s="92"/>
      <c r="E327" s="92"/>
      <c r="F327" s="92"/>
      <c r="G327" s="92"/>
      <c r="H327" s="92"/>
    </row>
    <row r="328" spans="4:8" ht="15.75">
      <c r="D328" s="92"/>
      <c r="E328" s="92"/>
      <c r="F328" s="92"/>
      <c r="G328" s="92"/>
      <c r="H328" s="92"/>
    </row>
    <row r="329" spans="4:8" ht="15.75">
      <c r="D329" s="92"/>
      <c r="E329" s="92"/>
      <c r="F329" s="92"/>
      <c r="G329" s="92"/>
      <c r="H329" s="92"/>
    </row>
    <row r="330" spans="4:8" ht="15.75">
      <c r="D330" s="92"/>
      <c r="E330" s="92"/>
      <c r="F330" s="92"/>
      <c r="G330" s="92"/>
      <c r="H330" s="92"/>
    </row>
    <row r="331" spans="4:8" ht="15.75">
      <c r="D331" s="92"/>
      <c r="E331" s="92"/>
      <c r="F331" s="92"/>
      <c r="G331" s="92"/>
      <c r="H331" s="92"/>
    </row>
    <row r="332" spans="4:8" ht="15.75">
      <c r="D332" s="92"/>
      <c r="E332" s="92"/>
      <c r="F332" s="92"/>
      <c r="G332" s="92"/>
      <c r="H332" s="92"/>
    </row>
    <row r="333" spans="4:8" ht="15.75">
      <c r="D333" s="92"/>
      <c r="E333" s="92"/>
      <c r="F333" s="92"/>
      <c r="G333" s="92"/>
      <c r="H333" s="92"/>
    </row>
    <row r="334" spans="4:8" ht="15.75">
      <c r="D334" s="92"/>
      <c r="E334" s="92"/>
      <c r="F334" s="92"/>
      <c r="G334" s="92"/>
      <c r="H334" s="92"/>
    </row>
    <row r="335" spans="4:8" ht="15.75">
      <c r="D335" s="92"/>
      <c r="E335" s="92"/>
      <c r="F335" s="92"/>
      <c r="G335" s="92"/>
      <c r="H335" s="92"/>
    </row>
    <row r="336" spans="4:8" ht="15.75">
      <c r="D336" s="92"/>
      <c r="E336" s="92"/>
      <c r="F336" s="92"/>
      <c r="G336" s="92"/>
      <c r="H336" s="92"/>
    </row>
    <row r="337" spans="4:8" ht="15.75">
      <c r="D337" s="92"/>
      <c r="E337" s="92"/>
      <c r="F337" s="92"/>
      <c r="G337" s="92"/>
      <c r="H337" s="92"/>
    </row>
    <row r="338" spans="4:8" ht="15.75">
      <c r="D338" s="92"/>
      <c r="E338" s="92"/>
      <c r="F338" s="92"/>
      <c r="G338" s="92"/>
      <c r="H338" s="92"/>
    </row>
    <row r="339" spans="4:8" ht="15.75">
      <c r="D339" s="92"/>
      <c r="E339" s="92"/>
      <c r="F339" s="92"/>
      <c r="G339" s="92"/>
      <c r="H339" s="92"/>
    </row>
    <row r="340" spans="4:8" ht="15.75">
      <c r="D340" s="92"/>
      <c r="E340" s="92"/>
      <c r="F340" s="92"/>
      <c r="G340" s="92"/>
      <c r="H340" s="92"/>
    </row>
    <row r="341" spans="4:8" ht="15.75">
      <c r="D341" s="92"/>
      <c r="E341" s="92"/>
      <c r="F341" s="92"/>
      <c r="G341" s="92"/>
      <c r="H341" s="92"/>
    </row>
    <row r="342" spans="4:8" ht="15.75">
      <c r="D342" s="92"/>
      <c r="E342" s="92"/>
      <c r="F342" s="92"/>
      <c r="G342" s="92"/>
      <c r="H342" s="92"/>
    </row>
    <row r="343" spans="4:8" ht="15.75">
      <c r="D343" s="92"/>
      <c r="E343" s="92"/>
      <c r="F343" s="92"/>
      <c r="G343" s="92"/>
      <c r="H343" s="92"/>
    </row>
    <row r="344" spans="4:8" ht="15.75">
      <c r="D344" s="92"/>
      <c r="E344" s="92"/>
      <c r="F344" s="92"/>
      <c r="G344" s="92"/>
      <c r="H344" s="92"/>
    </row>
    <row r="345" spans="4:8" ht="15.75">
      <c r="D345" s="92"/>
      <c r="E345" s="92"/>
      <c r="F345" s="92"/>
      <c r="G345" s="92"/>
      <c r="H345" s="92"/>
    </row>
    <row r="346" spans="4:8" ht="15.75">
      <c r="D346" s="92"/>
      <c r="E346" s="92"/>
      <c r="F346" s="92"/>
      <c r="G346" s="92"/>
      <c r="H346" s="92"/>
    </row>
    <row r="347" spans="4:8" ht="15.75">
      <c r="D347" s="92"/>
      <c r="E347" s="92"/>
      <c r="F347" s="92"/>
      <c r="G347" s="92"/>
      <c r="H347" s="92"/>
    </row>
    <row r="348" spans="4:8" ht="15.75">
      <c r="D348" s="92"/>
      <c r="E348" s="92"/>
      <c r="F348" s="92"/>
      <c r="G348" s="92"/>
      <c r="H348" s="92"/>
    </row>
    <row r="349" spans="4:8" ht="15.75">
      <c r="D349" s="92"/>
      <c r="E349" s="92"/>
      <c r="F349" s="92"/>
      <c r="G349" s="92"/>
      <c r="H349" s="92"/>
    </row>
    <row r="350" spans="4:8" ht="15.75">
      <c r="D350" s="92"/>
      <c r="E350" s="92"/>
      <c r="F350" s="92"/>
      <c r="G350" s="92"/>
      <c r="H350" s="92"/>
    </row>
    <row r="351" spans="4:8" ht="15.75">
      <c r="D351" s="92"/>
      <c r="E351" s="92"/>
      <c r="F351" s="92"/>
      <c r="G351" s="92"/>
      <c r="H351" s="92"/>
    </row>
    <row r="352" spans="4:8" ht="15.75">
      <c r="D352" s="92"/>
      <c r="E352" s="92"/>
      <c r="F352" s="92"/>
      <c r="G352" s="92"/>
      <c r="H352" s="92"/>
    </row>
    <row r="353" spans="4:8" ht="15.75">
      <c r="D353" s="92"/>
      <c r="E353" s="92"/>
      <c r="F353" s="92"/>
      <c r="G353" s="92"/>
      <c r="H353" s="92"/>
    </row>
    <row r="354" spans="4:8" ht="15.75">
      <c r="D354" s="92"/>
      <c r="E354" s="92"/>
      <c r="F354" s="92"/>
      <c r="G354" s="92"/>
      <c r="H354" s="92"/>
    </row>
    <row r="355" spans="4:8" ht="15.75">
      <c r="D355" s="92"/>
      <c r="E355" s="92"/>
      <c r="F355" s="92"/>
      <c r="G355" s="92"/>
      <c r="H355" s="92"/>
    </row>
    <row r="356" spans="4:8" ht="15.75">
      <c r="D356" s="92"/>
      <c r="E356" s="92"/>
      <c r="F356" s="92"/>
      <c r="G356" s="92"/>
      <c r="H356" s="92"/>
    </row>
    <row r="357" spans="4:8" ht="15.75">
      <c r="D357" s="92"/>
      <c r="E357" s="92"/>
      <c r="F357" s="92"/>
      <c r="G357" s="92"/>
      <c r="H357" s="92"/>
    </row>
    <row r="358" spans="4:8" ht="15.75">
      <c r="D358" s="92"/>
      <c r="E358" s="92"/>
      <c r="F358" s="92"/>
      <c r="G358" s="92"/>
      <c r="H358" s="92"/>
    </row>
    <row r="359" spans="4:8" ht="15.75">
      <c r="D359" s="92"/>
      <c r="E359" s="92"/>
      <c r="F359" s="92"/>
      <c r="G359" s="92"/>
      <c r="H359" s="92"/>
    </row>
    <row r="360" spans="4:8" ht="15.75">
      <c r="D360" s="92"/>
      <c r="E360" s="92"/>
      <c r="F360" s="92"/>
      <c r="G360" s="92"/>
      <c r="H360" s="92"/>
    </row>
    <row r="361" spans="4:8" ht="15.75">
      <c r="D361" s="92"/>
      <c r="E361" s="92"/>
      <c r="F361" s="92"/>
      <c r="G361" s="92"/>
      <c r="H361" s="92"/>
    </row>
    <row r="362" spans="4:8" ht="15.75">
      <c r="D362" s="92"/>
      <c r="E362" s="92"/>
      <c r="F362" s="92"/>
      <c r="G362" s="92"/>
      <c r="H362" s="92"/>
    </row>
    <row r="363" spans="4:8" ht="15.75">
      <c r="D363" s="92"/>
      <c r="E363" s="92"/>
      <c r="F363" s="92"/>
      <c r="G363" s="92"/>
      <c r="H363" s="92"/>
    </row>
    <row r="364" spans="4:8" ht="15.75">
      <c r="D364" s="92"/>
      <c r="E364" s="92"/>
      <c r="F364" s="92"/>
      <c r="G364" s="92"/>
      <c r="H364" s="92"/>
    </row>
    <row r="365" spans="4:8" ht="15.75">
      <c r="D365" s="92"/>
      <c r="E365" s="92"/>
      <c r="F365" s="92"/>
      <c r="G365" s="92"/>
      <c r="H365" s="92"/>
    </row>
    <row r="366" spans="4:8" ht="15.75">
      <c r="D366" s="92"/>
      <c r="E366" s="92"/>
      <c r="F366" s="92"/>
      <c r="G366" s="92"/>
      <c r="H366" s="92"/>
    </row>
    <row r="367" spans="4:8" ht="15.75">
      <c r="D367" s="92"/>
      <c r="E367" s="92"/>
      <c r="F367" s="92"/>
      <c r="G367" s="92"/>
      <c r="H367" s="92"/>
    </row>
    <row r="368" spans="4:8" ht="15.75">
      <c r="D368" s="92"/>
      <c r="E368" s="92"/>
      <c r="F368" s="92"/>
      <c r="G368" s="92"/>
      <c r="H368" s="92"/>
    </row>
    <row r="369" spans="4:8" ht="15.75">
      <c r="D369" s="92"/>
      <c r="E369" s="92"/>
      <c r="F369" s="92"/>
      <c r="G369" s="92"/>
      <c r="H369" s="92"/>
    </row>
    <row r="370" spans="4:8" ht="15.75">
      <c r="D370" s="92"/>
      <c r="E370" s="92"/>
      <c r="F370" s="92"/>
      <c r="G370" s="92"/>
      <c r="H370" s="92"/>
    </row>
    <row r="371" spans="4:8" ht="15.75">
      <c r="D371" s="92"/>
      <c r="E371" s="92"/>
      <c r="F371" s="92"/>
      <c r="G371" s="92"/>
      <c r="H371" s="92"/>
    </row>
    <row r="372" spans="4:8" ht="15.75">
      <c r="D372" s="92"/>
      <c r="E372" s="92"/>
      <c r="F372" s="92"/>
      <c r="G372" s="92"/>
      <c r="H372" s="92"/>
    </row>
    <row r="373" spans="4:8" ht="15.75">
      <c r="D373" s="92"/>
      <c r="E373" s="92"/>
      <c r="F373" s="92"/>
      <c r="G373" s="92"/>
      <c r="H373" s="92"/>
    </row>
    <row r="374" spans="4:8" ht="15.75">
      <c r="D374" s="92"/>
      <c r="E374" s="92"/>
      <c r="F374" s="92"/>
      <c r="G374" s="92"/>
      <c r="H374" s="92"/>
    </row>
    <row r="375" spans="4:8" ht="15.75">
      <c r="D375" s="92"/>
      <c r="E375" s="92"/>
      <c r="F375" s="92"/>
      <c r="G375" s="92"/>
      <c r="H375" s="92"/>
    </row>
    <row r="376" spans="4:8" ht="15.75">
      <c r="D376" s="92"/>
      <c r="E376" s="92"/>
      <c r="F376" s="92"/>
      <c r="G376" s="92"/>
      <c r="H376" s="92"/>
    </row>
    <row r="377" spans="4:8" ht="15.75">
      <c r="D377" s="92"/>
      <c r="E377" s="92"/>
      <c r="F377" s="92"/>
      <c r="G377" s="92"/>
      <c r="H377" s="92"/>
    </row>
    <row r="378" spans="4:8" ht="15.75">
      <c r="D378" s="92"/>
      <c r="E378" s="92"/>
      <c r="F378" s="92"/>
      <c r="G378" s="92"/>
      <c r="H378" s="92"/>
    </row>
    <row r="379" spans="4:8" ht="15.75">
      <c r="D379" s="92"/>
      <c r="E379" s="92"/>
      <c r="F379" s="92"/>
      <c r="G379" s="92"/>
      <c r="H379" s="92"/>
    </row>
    <row r="380" spans="4:8" ht="15.75">
      <c r="D380" s="92"/>
      <c r="E380" s="92"/>
      <c r="F380" s="92"/>
      <c r="G380" s="92"/>
      <c r="H380" s="92"/>
    </row>
    <row r="381" spans="4:8" ht="15.75">
      <c r="D381" s="92"/>
      <c r="E381" s="92"/>
      <c r="F381" s="92"/>
      <c r="G381" s="92"/>
      <c r="H381" s="92"/>
    </row>
    <row r="382" spans="4:8" ht="15.75">
      <c r="D382" s="92"/>
      <c r="E382" s="92"/>
      <c r="F382" s="92"/>
      <c r="G382" s="92"/>
      <c r="H382" s="92"/>
    </row>
    <row r="383" spans="4:8" ht="15.75">
      <c r="D383" s="92"/>
      <c r="E383" s="92"/>
      <c r="F383" s="92"/>
      <c r="G383" s="92"/>
      <c r="H383" s="92"/>
    </row>
    <row r="384" spans="4:8" ht="15.75">
      <c r="D384" s="92"/>
      <c r="E384" s="92"/>
      <c r="F384" s="92"/>
      <c r="G384" s="92"/>
      <c r="H384" s="92"/>
    </row>
    <row r="385" spans="4:8" ht="15.75">
      <c r="D385" s="92"/>
      <c r="E385" s="92"/>
      <c r="F385" s="92"/>
      <c r="G385" s="92"/>
      <c r="H385" s="92"/>
    </row>
    <row r="386" spans="4:8" ht="15.75">
      <c r="D386" s="92"/>
      <c r="E386" s="92"/>
      <c r="F386" s="92"/>
      <c r="G386" s="92"/>
      <c r="H386" s="92"/>
    </row>
    <row r="387" spans="4:8" ht="15.75">
      <c r="D387" s="92"/>
      <c r="E387" s="92"/>
      <c r="F387" s="92"/>
      <c r="G387" s="92"/>
      <c r="H387" s="92"/>
    </row>
    <row r="388" spans="4:8" ht="15.75">
      <c r="D388" s="92"/>
      <c r="E388" s="92"/>
      <c r="F388" s="92"/>
      <c r="G388" s="92"/>
      <c r="H388" s="92"/>
    </row>
    <row r="389" spans="4:8" ht="15.75">
      <c r="D389" s="92"/>
      <c r="E389" s="92"/>
      <c r="F389" s="92"/>
      <c r="G389" s="92"/>
      <c r="H389" s="92"/>
    </row>
    <row r="390" spans="4:8" ht="15.75">
      <c r="D390" s="92"/>
      <c r="E390" s="92"/>
      <c r="F390" s="92"/>
      <c r="G390" s="92"/>
      <c r="H390" s="92"/>
    </row>
    <row r="391" spans="4:8" ht="15.75">
      <c r="D391" s="92"/>
      <c r="E391" s="92"/>
      <c r="F391" s="92"/>
      <c r="G391" s="92"/>
      <c r="H391" s="92"/>
    </row>
    <row r="392" spans="4:8" ht="15.75">
      <c r="D392" s="92"/>
      <c r="E392" s="92"/>
      <c r="F392" s="92"/>
      <c r="G392" s="92"/>
      <c r="H392" s="92"/>
    </row>
    <row r="393" spans="4:8" ht="15.75">
      <c r="D393" s="92"/>
      <c r="E393" s="92"/>
      <c r="F393" s="92"/>
      <c r="G393" s="92"/>
      <c r="H393" s="92"/>
    </row>
    <row r="394" spans="4:8" ht="15.75">
      <c r="D394" s="92"/>
      <c r="E394" s="92"/>
      <c r="F394" s="92"/>
      <c r="G394" s="92"/>
      <c r="H394" s="92"/>
    </row>
    <row r="395" spans="4:8" ht="15.75">
      <c r="D395" s="92"/>
      <c r="E395" s="92"/>
      <c r="F395" s="92"/>
      <c r="G395" s="92"/>
      <c r="H395" s="92"/>
    </row>
    <row r="396" spans="4:8" ht="15.75">
      <c r="D396" s="92"/>
      <c r="E396" s="92"/>
      <c r="F396" s="92"/>
      <c r="G396" s="92"/>
      <c r="H396" s="92"/>
    </row>
    <row r="397" spans="4:8" ht="15.75">
      <c r="D397" s="92"/>
      <c r="E397" s="92"/>
      <c r="F397" s="92"/>
      <c r="G397" s="92"/>
      <c r="H397" s="92"/>
    </row>
    <row r="398" spans="4:8" ht="15.75">
      <c r="D398" s="92"/>
      <c r="E398" s="92"/>
      <c r="F398" s="92"/>
      <c r="G398" s="92"/>
      <c r="H398" s="92"/>
    </row>
    <row r="399" spans="4:8" ht="15.75">
      <c r="D399" s="92"/>
      <c r="E399" s="92"/>
      <c r="F399" s="92"/>
      <c r="G399" s="92"/>
      <c r="H399" s="92"/>
    </row>
    <row r="400" spans="4:8" ht="15.75">
      <c r="D400" s="92"/>
      <c r="E400" s="92"/>
      <c r="F400" s="92"/>
      <c r="G400" s="92"/>
      <c r="H400" s="92"/>
    </row>
    <row r="401" spans="4:8" ht="15.75">
      <c r="D401" s="92"/>
      <c r="E401" s="92"/>
      <c r="F401" s="92"/>
      <c r="G401" s="92"/>
      <c r="H401" s="92"/>
    </row>
    <row r="402" spans="4:8" ht="15.75">
      <c r="D402" s="92"/>
      <c r="E402" s="92"/>
      <c r="F402" s="92"/>
      <c r="G402" s="92"/>
      <c r="H402" s="92"/>
    </row>
    <row r="403" spans="4:8" ht="15.75">
      <c r="D403" s="92"/>
      <c r="E403" s="92"/>
      <c r="F403" s="92"/>
      <c r="G403" s="92"/>
      <c r="H403" s="92"/>
    </row>
    <row r="404" spans="4:8" ht="15.75">
      <c r="D404" s="92"/>
      <c r="E404" s="92"/>
      <c r="F404" s="92"/>
      <c r="G404" s="92"/>
      <c r="H404" s="92"/>
    </row>
    <row r="405" spans="4:8" ht="15.75">
      <c r="D405" s="92"/>
      <c r="E405" s="92"/>
      <c r="F405" s="92"/>
      <c r="G405" s="92"/>
      <c r="H405" s="92"/>
    </row>
    <row r="406" spans="4:8" ht="15.75">
      <c r="D406" s="92"/>
      <c r="E406" s="92"/>
      <c r="F406" s="92"/>
      <c r="G406" s="92"/>
      <c r="H406" s="92"/>
    </row>
    <row r="407" spans="4:8" ht="15.75">
      <c r="D407" s="92"/>
      <c r="E407" s="92"/>
      <c r="F407" s="92"/>
      <c r="G407" s="92"/>
      <c r="H407" s="92"/>
    </row>
    <row r="408" spans="4:8" ht="15.75">
      <c r="D408" s="92"/>
      <c r="E408" s="92"/>
      <c r="F408" s="92"/>
      <c r="G408" s="92"/>
      <c r="H408" s="92"/>
    </row>
    <row r="409" spans="4:8" ht="15.75">
      <c r="D409" s="92"/>
      <c r="E409" s="92"/>
      <c r="F409" s="92"/>
      <c r="G409" s="92"/>
      <c r="H409" s="92"/>
    </row>
    <row r="410" spans="4:8" ht="15.75">
      <c r="D410" s="92"/>
      <c r="E410" s="92"/>
      <c r="F410" s="92"/>
      <c r="G410" s="92"/>
      <c r="H410" s="92"/>
    </row>
    <row r="411" spans="4:8" ht="15.75">
      <c r="D411" s="92"/>
      <c r="E411" s="92"/>
      <c r="F411" s="92"/>
      <c r="G411" s="92"/>
      <c r="H411" s="92"/>
    </row>
    <row r="412" spans="4:8" ht="15.75">
      <c r="D412" s="92"/>
      <c r="E412" s="92"/>
      <c r="F412" s="92"/>
      <c r="G412" s="92"/>
      <c r="H412" s="92"/>
    </row>
    <row r="413" spans="4:8" ht="15.75">
      <c r="D413" s="92"/>
      <c r="E413" s="92"/>
      <c r="F413" s="92"/>
      <c r="G413" s="92"/>
      <c r="H413" s="92"/>
    </row>
    <row r="414" spans="4:8" ht="15.75">
      <c r="D414" s="92"/>
      <c r="E414" s="92"/>
      <c r="F414" s="92"/>
      <c r="G414" s="92"/>
      <c r="H414" s="92"/>
    </row>
    <row r="415" spans="4:8" ht="15.75">
      <c r="D415" s="92"/>
      <c r="E415" s="92"/>
      <c r="F415" s="92"/>
      <c r="G415" s="92"/>
      <c r="H415" s="92"/>
    </row>
    <row r="416" spans="4:8" ht="15.75">
      <c r="D416" s="92"/>
      <c r="E416" s="92"/>
      <c r="F416" s="92"/>
      <c r="G416" s="92"/>
      <c r="H416" s="92"/>
    </row>
    <row r="417" spans="4:8" ht="15.75">
      <c r="D417" s="92"/>
      <c r="E417" s="92"/>
      <c r="F417" s="92"/>
      <c r="G417" s="92"/>
      <c r="H417" s="92"/>
    </row>
    <row r="418" spans="4:8" ht="15.75">
      <c r="D418" s="92"/>
      <c r="E418" s="92"/>
      <c r="F418" s="92"/>
      <c r="G418" s="92"/>
      <c r="H418" s="92"/>
    </row>
    <row r="419" spans="4:8" ht="15.75">
      <c r="D419" s="92"/>
      <c r="E419" s="92"/>
      <c r="F419" s="92"/>
      <c r="G419" s="92"/>
      <c r="H419" s="92"/>
    </row>
    <row r="420" spans="4:8" ht="15.75">
      <c r="D420" s="92"/>
      <c r="E420" s="92"/>
      <c r="F420" s="92"/>
      <c r="G420" s="92"/>
      <c r="H420" s="92"/>
    </row>
    <row r="421" spans="4:8" ht="15.75">
      <c r="D421" s="92"/>
      <c r="E421" s="92"/>
      <c r="F421" s="92"/>
      <c r="G421" s="92"/>
      <c r="H421" s="92"/>
    </row>
    <row r="422" spans="4:8" ht="15.75">
      <c r="D422" s="92"/>
      <c r="E422" s="92"/>
      <c r="F422" s="92"/>
      <c r="G422" s="92"/>
      <c r="H422" s="92"/>
    </row>
    <row r="423" spans="4:8" ht="15.75">
      <c r="D423" s="92"/>
      <c r="E423" s="92"/>
      <c r="F423" s="92"/>
      <c r="G423" s="92"/>
      <c r="H423" s="92"/>
    </row>
    <row r="424" spans="4:8" ht="15.75">
      <c r="D424" s="92"/>
      <c r="E424" s="92"/>
      <c r="F424" s="92"/>
      <c r="G424" s="92"/>
      <c r="H424" s="92"/>
    </row>
    <row r="425" spans="4:8" ht="15.75">
      <c r="D425" s="92"/>
      <c r="E425" s="92"/>
      <c r="F425" s="92"/>
      <c r="G425" s="92"/>
      <c r="H425" s="92"/>
    </row>
    <row r="426" spans="4:8" ht="15.75">
      <c r="D426" s="92"/>
      <c r="E426" s="92"/>
      <c r="F426" s="92"/>
      <c r="G426" s="92"/>
      <c r="H426" s="92"/>
    </row>
    <row r="427" spans="4:8" ht="15.75">
      <c r="D427" s="92"/>
      <c r="E427" s="92"/>
      <c r="F427" s="92"/>
      <c r="G427" s="92"/>
      <c r="H427" s="92"/>
    </row>
    <row r="428" spans="4:8" ht="15.75">
      <c r="D428" s="92"/>
      <c r="E428" s="92"/>
      <c r="F428" s="92"/>
      <c r="G428" s="92"/>
      <c r="H428" s="92"/>
    </row>
    <row r="429" spans="4:8" ht="15.75">
      <c r="D429" s="92"/>
      <c r="E429" s="92"/>
      <c r="F429" s="92"/>
      <c r="G429" s="92"/>
      <c r="H429" s="92"/>
    </row>
    <row r="430" spans="4:8" ht="15.75">
      <c r="D430" s="92"/>
      <c r="E430" s="92"/>
      <c r="F430" s="92"/>
      <c r="G430" s="92"/>
      <c r="H430" s="92"/>
    </row>
    <row r="431" spans="4:8" ht="15.75">
      <c r="D431" s="92"/>
      <c r="E431" s="92"/>
      <c r="F431" s="92"/>
      <c r="G431" s="92"/>
      <c r="H431" s="92"/>
    </row>
    <row r="432" spans="4:8" ht="15.75">
      <c r="D432" s="92"/>
      <c r="E432" s="92"/>
      <c r="F432" s="92"/>
      <c r="G432" s="92"/>
      <c r="H432" s="92"/>
    </row>
    <row r="433" spans="4:8" ht="15.75">
      <c r="D433" s="92"/>
      <c r="E433" s="92"/>
      <c r="F433" s="92"/>
      <c r="G433" s="92"/>
      <c r="H433" s="92"/>
    </row>
    <row r="434" spans="4:8" ht="15.75">
      <c r="D434" s="92"/>
      <c r="E434" s="92"/>
      <c r="F434" s="92"/>
      <c r="G434" s="92"/>
      <c r="H434" s="92"/>
    </row>
    <row r="435" spans="4:8" ht="15.75">
      <c r="D435" s="92"/>
      <c r="E435" s="92"/>
      <c r="F435" s="92"/>
      <c r="G435" s="92"/>
      <c r="H435" s="92"/>
    </row>
    <row r="436" spans="4:8" ht="15.75">
      <c r="D436" s="92"/>
      <c r="E436" s="92"/>
      <c r="F436" s="92"/>
      <c r="G436" s="92"/>
      <c r="H436" s="92"/>
    </row>
    <row r="437" spans="4:8" ht="15.75">
      <c r="D437" s="92"/>
      <c r="E437" s="92"/>
      <c r="F437" s="92"/>
      <c r="G437" s="92"/>
      <c r="H437" s="92"/>
    </row>
    <row r="438" spans="4:8" ht="15.75">
      <c r="D438" s="92"/>
      <c r="E438" s="92"/>
      <c r="F438" s="92"/>
      <c r="G438" s="92"/>
      <c r="H438" s="92"/>
    </row>
    <row r="439" spans="4:8" ht="15.75">
      <c r="D439" s="92"/>
      <c r="E439" s="92"/>
      <c r="F439" s="92"/>
      <c r="G439" s="92"/>
      <c r="H439" s="92"/>
    </row>
    <row r="440" spans="4:8" ht="15.75">
      <c r="D440" s="92"/>
      <c r="E440" s="92"/>
      <c r="F440" s="92"/>
      <c r="G440" s="92"/>
      <c r="H440" s="92"/>
    </row>
    <row r="441" spans="4:8" ht="15.75">
      <c r="D441" s="92"/>
      <c r="E441" s="92"/>
      <c r="F441" s="92"/>
      <c r="G441" s="92"/>
      <c r="H441" s="92"/>
    </row>
    <row r="442" spans="4:8" ht="15.75">
      <c r="D442" s="92"/>
      <c r="E442" s="92"/>
      <c r="F442" s="92"/>
      <c r="G442" s="92"/>
      <c r="H442" s="92"/>
    </row>
    <row r="443" spans="4:8" ht="15.75">
      <c r="D443" s="92"/>
      <c r="E443" s="92"/>
      <c r="F443" s="92"/>
      <c r="G443" s="92"/>
      <c r="H443" s="92"/>
    </row>
    <row r="444" spans="4:8" ht="15.75">
      <c r="D444" s="92"/>
      <c r="E444" s="92"/>
      <c r="F444" s="92"/>
      <c r="G444" s="92"/>
      <c r="H444" s="92"/>
    </row>
    <row r="445" spans="4:8" ht="15.75">
      <c r="D445" s="92"/>
      <c r="E445" s="92"/>
      <c r="F445" s="92"/>
      <c r="G445" s="92"/>
      <c r="H445" s="92"/>
    </row>
    <row r="446" spans="4:8" ht="15.75">
      <c r="D446" s="92"/>
      <c r="E446" s="92"/>
      <c r="F446" s="92"/>
      <c r="G446" s="92"/>
      <c r="H446" s="92"/>
    </row>
    <row r="447" spans="4:8" ht="15.75">
      <c r="D447" s="92"/>
      <c r="E447" s="92"/>
      <c r="F447" s="92"/>
      <c r="G447" s="92"/>
      <c r="H447" s="92"/>
    </row>
    <row r="448" spans="4:8" ht="15.75">
      <c r="D448" s="92"/>
      <c r="E448" s="92"/>
      <c r="F448" s="92"/>
      <c r="G448" s="92"/>
      <c r="H448" s="92"/>
    </row>
    <row r="449" spans="4:8" ht="15.75">
      <c r="D449" s="92"/>
      <c r="E449" s="92"/>
      <c r="F449" s="92"/>
      <c r="G449" s="92"/>
      <c r="H449" s="92"/>
    </row>
    <row r="450" spans="4:8" ht="15.75">
      <c r="D450" s="92"/>
      <c r="E450" s="92"/>
      <c r="F450" s="92"/>
      <c r="G450" s="92"/>
      <c r="H450" s="92"/>
    </row>
    <row r="451" spans="4:8" ht="15.75">
      <c r="D451" s="92"/>
      <c r="E451" s="92"/>
      <c r="F451" s="92"/>
      <c r="G451" s="92"/>
      <c r="H451" s="92"/>
    </row>
    <row r="452" spans="4:8" ht="15.75">
      <c r="D452" s="92"/>
      <c r="E452" s="92"/>
      <c r="F452" s="92"/>
      <c r="G452" s="92"/>
      <c r="H452" s="92"/>
    </row>
    <row r="453" spans="4:8" ht="15.75">
      <c r="D453" s="92"/>
      <c r="E453" s="92"/>
      <c r="F453" s="92"/>
      <c r="G453" s="92"/>
      <c r="H453" s="92"/>
    </row>
    <row r="454" spans="4:8" ht="15.75">
      <c r="D454" s="92"/>
      <c r="E454" s="92"/>
      <c r="F454" s="92"/>
      <c r="G454" s="92"/>
      <c r="H454" s="92"/>
    </row>
    <row r="455" spans="4:8" ht="15.75">
      <c r="D455" s="92"/>
      <c r="E455" s="92"/>
      <c r="F455" s="92"/>
      <c r="G455" s="92"/>
      <c r="H455" s="92"/>
    </row>
    <row r="456" spans="4:8" ht="15.75">
      <c r="D456" s="92"/>
      <c r="E456" s="92"/>
      <c r="F456" s="92"/>
      <c r="G456" s="92"/>
      <c r="H456" s="92"/>
    </row>
    <row r="457" spans="4:8" ht="15.75">
      <c r="D457" s="92"/>
      <c r="E457" s="92"/>
      <c r="F457" s="92"/>
      <c r="G457" s="92"/>
      <c r="H457" s="92"/>
    </row>
    <row r="458" spans="4:8" ht="15.75">
      <c r="D458" s="92"/>
      <c r="E458" s="92"/>
      <c r="F458" s="92"/>
      <c r="G458" s="92"/>
      <c r="H458" s="92"/>
    </row>
    <row r="459" spans="4:8" ht="15.75">
      <c r="D459" s="92"/>
      <c r="E459" s="92"/>
      <c r="F459" s="92"/>
      <c r="G459" s="92"/>
      <c r="H459" s="92"/>
    </row>
    <row r="460" spans="4:8" ht="15.75">
      <c r="D460" s="92"/>
      <c r="E460" s="92"/>
      <c r="F460" s="92"/>
      <c r="G460" s="92"/>
      <c r="H460" s="92"/>
    </row>
    <row r="461" spans="4:8" ht="15.75">
      <c r="D461" s="92"/>
      <c r="E461" s="92"/>
      <c r="F461" s="92"/>
      <c r="G461" s="92"/>
      <c r="H461" s="92"/>
    </row>
    <row r="462" spans="4:8" ht="15.75">
      <c r="D462" s="92"/>
      <c r="E462" s="92"/>
      <c r="F462" s="92"/>
      <c r="G462" s="92"/>
      <c r="H462" s="92"/>
    </row>
    <row r="463" spans="4:8" ht="15.75">
      <c r="D463" s="92"/>
      <c r="E463" s="92"/>
      <c r="F463" s="92"/>
      <c r="G463" s="92"/>
      <c r="H463" s="92"/>
    </row>
    <row r="464" spans="4:8" ht="15.75">
      <c r="D464" s="92"/>
      <c r="E464" s="92"/>
      <c r="F464" s="92"/>
      <c r="G464" s="92"/>
      <c r="H464" s="92"/>
    </row>
    <row r="465" spans="4:8" ht="15.75">
      <c r="D465" s="92"/>
      <c r="E465" s="92"/>
      <c r="F465" s="92"/>
      <c r="G465" s="92"/>
      <c r="H465" s="92"/>
    </row>
    <row r="466" spans="4:8" ht="15.75">
      <c r="D466" s="92"/>
      <c r="E466" s="92"/>
      <c r="F466" s="92"/>
      <c r="G466" s="92"/>
      <c r="H466" s="92"/>
    </row>
    <row r="467" spans="4:8" ht="15.75">
      <c r="D467" s="92"/>
      <c r="E467" s="92"/>
      <c r="F467" s="92"/>
      <c r="G467" s="92"/>
      <c r="H467" s="92"/>
    </row>
    <row r="468" spans="4:8" ht="15.75">
      <c r="D468" s="92"/>
      <c r="E468" s="92"/>
      <c r="F468" s="92"/>
      <c r="G468" s="92"/>
      <c r="H468" s="92"/>
    </row>
    <row r="469" spans="4:8" ht="15.75">
      <c r="D469" s="92"/>
      <c r="E469" s="92"/>
      <c r="F469" s="92"/>
      <c r="G469" s="92"/>
      <c r="H469" s="92"/>
    </row>
    <row r="470" spans="4:8" ht="15.75">
      <c r="D470" s="92"/>
      <c r="E470" s="92"/>
      <c r="F470" s="92"/>
      <c r="G470" s="92"/>
      <c r="H470" s="92"/>
    </row>
    <row r="471" spans="4:8" ht="15.75">
      <c r="D471" s="92"/>
      <c r="E471" s="92"/>
      <c r="F471" s="92"/>
      <c r="G471" s="92"/>
      <c r="H471" s="92"/>
    </row>
    <row r="472" spans="4:8" ht="15.75">
      <c r="D472" s="92"/>
      <c r="E472" s="92"/>
      <c r="F472" s="92"/>
      <c r="G472" s="92"/>
      <c r="H472" s="92"/>
    </row>
    <row r="473" spans="4:8" ht="15.75">
      <c r="D473" s="92"/>
      <c r="E473" s="92"/>
      <c r="F473" s="92"/>
      <c r="G473" s="92"/>
      <c r="H473" s="92"/>
    </row>
    <row r="474" spans="4:8" ht="15.75">
      <c r="D474" s="92"/>
      <c r="E474" s="92"/>
      <c r="F474" s="92"/>
      <c r="G474" s="92"/>
      <c r="H474" s="92"/>
    </row>
    <row r="475" spans="4:8" ht="15.75">
      <c r="D475" s="92"/>
      <c r="E475" s="92"/>
      <c r="F475" s="92"/>
      <c r="G475" s="92"/>
      <c r="H475" s="92"/>
    </row>
    <row r="476" spans="4:8" ht="15.75">
      <c r="D476" s="92"/>
      <c r="E476" s="92"/>
      <c r="F476" s="92"/>
      <c r="G476" s="92"/>
      <c r="H476" s="92"/>
    </row>
    <row r="477" spans="4:8" ht="15.75">
      <c r="D477" s="92"/>
      <c r="E477" s="92"/>
      <c r="F477" s="92"/>
      <c r="G477" s="92"/>
      <c r="H477" s="92"/>
    </row>
    <row r="478" spans="4:8" ht="15.75">
      <c r="D478" s="92"/>
      <c r="E478" s="92"/>
      <c r="F478" s="92"/>
      <c r="G478" s="92"/>
      <c r="H478" s="92"/>
    </row>
    <row r="479" spans="4:8" ht="15.75">
      <c r="D479" s="92"/>
      <c r="E479" s="92"/>
      <c r="F479" s="92"/>
      <c r="G479" s="92"/>
      <c r="H479" s="92"/>
    </row>
    <row r="480" spans="4:8" ht="15.75">
      <c r="D480" s="92"/>
      <c r="E480" s="92"/>
      <c r="F480" s="92"/>
      <c r="G480" s="92"/>
      <c r="H480" s="92"/>
    </row>
    <row r="481" spans="4:8" ht="15.75">
      <c r="D481" s="92"/>
      <c r="E481" s="92"/>
      <c r="F481" s="92"/>
      <c r="G481" s="92"/>
      <c r="H481" s="92"/>
    </row>
    <row r="482" spans="4:8" ht="15.75">
      <c r="D482" s="92"/>
      <c r="E482" s="92"/>
      <c r="F482" s="92"/>
      <c r="G482" s="92"/>
      <c r="H482" s="92"/>
    </row>
    <row r="483" spans="4:8" ht="15.75">
      <c r="D483" s="92"/>
      <c r="E483" s="92"/>
      <c r="F483" s="92"/>
      <c r="G483" s="92"/>
      <c r="H483" s="92"/>
    </row>
    <row r="484" spans="4:8" ht="15.75">
      <c r="D484" s="92"/>
      <c r="E484" s="92"/>
      <c r="F484" s="92"/>
      <c r="G484" s="92"/>
      <c r="H484" s="92"/>
    </row>
    <row r="485" spans="4:8" ht="15.75">
      <c r="D485" s="92"/>
      <c r="E485" s="92"/>
      <c r="F485" s="92"/>
      <c r="G485" s="92"/>
      <c r="H485" s="92"/>
    </row>
    <row r="486" spans="4:8" ht="15.75">
      <c r="D486" s="92"/>
      <c r="E486" s="92"/>
      <c r="F486" s="92"/>
      <c r="G486" s="92"/>
      <c r="H486" s="92"/>
    </row>
    <row r="487" spans="4:8" ht="15.75">
      <c r="D487" s="92"/>
      <c r="E487" s="92"/>
      <c r="F487" s="92"/>
      <c r="G487" s="92"/>
      <c r="H487" s="92"/>
    </row>
    <row r="488" spans="4:8" ht="15.75">
      <c r="D488" s="92"/>
      <c r="E488" s="92"/>
      <c r="F488" s="92"/>
      <c r="G488" s="92"/>
      <c r="H488" s="92"/>
    </row>
    <row r="489" spans="4:8" ht="15.75">
      <c r="D489" s="92"/>
      <c r="E489" s="92"/>
      <c r="F489" s="92"/>
      <c r="G489" s="92"/>
      <c r="H489" s="92"/>
    </row>
    <row r="490" spans="4:8" ht="15.75">
      <c r="D490" s="92"/>
      <c r="E490" s="92"/>
      <c r="F490" s="92"/>
      <c r="G490" s="92"/>
      <c r="H490" s="92"/>
    </row>
    <row r="491" spans="4:8" ht="15.75">
      <c r="D491" s="92"/>
      <c r="E491" s="92"/>
      <c r="F491" s="92"/>
      <c r="G491" s="92"/>
      <c r="H491" s="92"/>
    </row>
    <row r="492" spans="4:8" ht="15.75">
      <c r="D492" s="92"/>
      <c r="E492" s="92"/>
      <c r="F492" s="92"/>
      <c r="G492" s="92"/>
      <c r="H492" s="92"/>
    </row>
    <row r="493" spans="4:8" ht="15.75">
      <c r="D493" s="92"/>
      <c r="E493" s="92"/>
      <c r="F493" s="92"/>
      <c r="G493" s="92"/>
      <c r="H493" s="92"/>
    </row>
    <row r="494" spans="4:8" ht="15.75">
      <c r="D494" s="92"/>
      <c r="E494" s="92"/>
      <c r="F494" s="92"/>
      <c r="G494" s="92"/>
      <c r="H494" s="92"/>
    </row>
    <row r="495" spans="4:8" ht="15.75">
      <c r="D495" s="92"/>
      <c r="E495" s="92"/>
      <c r="F495" s="92"/>
      <c r="G495" s="92"/>
      <c r="H495" s="92"/>
    </row>
    <row r="496" spans="4:8" ht="15.75">
      <c r="D496" s="92"/>
      <c r="E496" s="92"/>
      <c r="F496" s="92"/>
      <c r="G496" s="92"/>
      <c r="H496" s="92"/>
    </row>
    <row r="497" spans="4:8" ht="15.75">
      <c r="D497" s="92"/>
      <c r="E497" s="92"/>
      <c r="F497" s="92"/>
      <c r="G497" s="92"/>
      <c r="H497" s="92"/>
    </row>
    <row r="498" spans="4:8" ht="15.75">
      <c r="D498" s="92"/>
      <c r="E498" s="92"/>
      <c r="F498" s="92"/>
      <c r="G498" s="92"/>
      <c r="H498" s="92"/>
    </row>
    <row r="499" spans="4:8" ht="15.75">
      <c r="D499" s="92"/>
      <c r="E499" s="92"/>
      <c r="F499" s="92"/>
      <c r="G499" s="92"/>
      <c r="H499" s="92"/>
    </row>
    <row r="500" spans="4:8" ht="15.75">
      <c r="D500" s="92"/>
      <c r="E500" s="92"/>
      <c r="F500" s="92"/>
      <c r="G500" s="92"/>
      <c r="H500" s="92"/>
    </row>
    <row r="501" spans="4:8" ht="15.75">
      <c r="D501" s="92"/>
      <c r="E501" s="92"/>
      <c r="F501" s="92"/>
      <c r="G501" s="92"/>
      <c r="H501" s="92"/>
    </row>
    <row r="502" spans="4:8" ht="15.75">
      <c r="D502" s="92"/>
      <c r="E502" s="92"/>
      <c r="F502" s="92"/>
      <c r="G502" s="92"/>
      <c r="H502" s="92"/>
    </row>
    <row r="503" spans="4:8" ht="15.75">
      <c r="D503" s="92"/>
      <c r="E503" s="92"/>
      <c r="F503" s="92"/>
      <c r="G503" s="92"/>
      <c r="H503" s="92"/>
    </row>
    <row r="504" spans="4:8" ht="15.75">
      <c r="D504" s="92"/>
      <c r="E504" s="92"/>
      <c r="F504" s="92"/>
      <c r="G504" s="92"/>
      <c r="H504" s="92"/>
    </row>
    <row r="505" spans="4:8" ht="15.75">
      <c r="D505" s="92"/>
      <c r="E505" s="92"/>
      <c r="F505" s="92"/>
      <c r="G505" s="92"/>
      <c r="H505" s="92"/>
    </row>
    <row r="506" spans="4:8" ht="15.75">
      <c r="D506" s="92"/>
      <c r="E506" s="92"/>
      <c r="F506" s="92"/>
      <c r="G506" s="92"/>
      <c r="H506" s="92"/>
    </row>
    <row r="507" spans="4:8" ht="15.75">
      <c r="D507" s="92"/>
      <c r="E507" s="92"/>
      <c r="F507" s="92"/>
      <c r="G507" s="92"/>
      <c r="H507" s="92"/>
    </row>
    <row r="508" spans="4:8" ht="15.75">
      <c r="D508" s="92"/>
      <c r="E508" s="92"/>
      <c r="F508" s="92"/>
      <c r="G508" s="92"/>
      <c r="H508" s="92"/>
    </row>
    <row r="509" spans="4:8" ht="15.75">
      <c r="D509" s="92"/>
      <c r="E509" s="92"/>
      <c r="F509" s="92"/>
      <c r="G509" s="92"/>
      <c r="H509" s="92"/>
    </row>
    <row r="510" spans="4:8" ht="15.75">
      <c r="D510" s="92"/>
      <c r="E510" s="92"/>
      <c r="F510" s="92"/>
      <c r="G510" s="92"/>
      <c r="H510" s="92"/>
    </row>
    <row r="511" spans="4:8" ht="15.75">
      <c r="D511" s="92"/>
      <c r="E511" s="92"/>
      <c r="F511" s="92"/>
      <c r="G511" s="92"/>
      <c r="H511" s="92"/>
    </row>
    <row r="512" spans="4:8" ht="15.75">
      <c r="D512" s="92"/>
      <c r="E512" s="92"/>
      <c r="F512" s="92"/>
      <c r="G512" s="92"/>
      <c r="H512" s="92"/>
    </row>
    <row r="513" spans="4:8" ht="15.75">
      <c r="D513" s="92"/>
      <c r="E513" s="92"/>
      <c r="F513" s="92"/>
      <c r="G513" s="92"/>
      <c r="H513" s="92"/>
    </row>
    <row r="514" spans="4:8" ht="15.75">
      <c r="D514" s="92"/>
      <c r="E514" s="92"/>
      <c r="F514" s="92"/>
      <c r="G514" s="92"/>
      <c r="H514" s="92"/>
    </row>
    <row r="515" spans="4:8" ht="15.75">
      <c r="D515" s="92"/>
      <c r="E515" s="92"/>
      <c r="F515" s="92"/>
      <c r="G515" s="92"/>
      <c r="H515" s="92"/>
    </row>
    <row r="516" spans="4:8" ht="15.75">
      <c r="D516" s="92"/>
      <c r="E516" s="92"/>
      <c r="F516" s="92"/>
      <c r="G516" s="92"/>
      <c r="H516" s="92"/>
    </row>
    <row r="517" spans="4:8" ht="15.75">
      <c r="D517" s="92"/>
      <c r="E517" s="92"/>
      <c r="F517" s="92"/>
      <c r="G517" s="92"/>
      <c r="H517" s="92"/>
    </row>
    <row r="518" spans="4:8" ht="15.75">
      <c r="D518" s="92"/>
      <c r="E518" s="92"/>
      <c r="F518" s="92"/>
      <c r="G518" s="92"/>
      <c r="H518" s="92"/>
    </row>
    <row r="519" spans="4:8" ht="15.75">
      <c r="D519" s="92"/>
      <c r="E519" s="92"/>
      <c r="F519" s="92"/>
      <c r="G519" s="92"/>
      <c r="H519" s="92"/>
    </row>
    <row r="520" spans="4:8" ht="15.75">
      <c r="D520" s="92"/>
      <c r="E520" s="92"/>
      <c r="F520" s="92"/>
      <c r="G520" s="92"/>
      <c r="H520" s="92"/>
    </row>
    <row r="521" spans="4:8" ht="15.75">
      <c r="D521" s="92"/>
      <c r="E521" s="92"/>
      <c r="F521" s="92"/>
      <c r="G521" s="92"/>
      <c r="H521" s="92"/>
    </row>
    <row r="522" spans="4:8" ht="15.75">
      <c r="D522" s="92"/>
      <c r="E522" s="92"/>
      <c r="F522" s="92"/>
      <c r="G522" s="92"/>
      <c r="H522" s="92"/>
    </row>
    <row r="523" spans="4:8" ht="15.75">
      <c r="D523" s="92"/>
      <c r="E523" s="92"/>
      <c r="F523" s="92"/>
      <c r="G523" s="92"/>
      <c r="H523" s="92"/>
    </row>
    <row r="524" spans="4:8" ht="15.75">
      <c r="D524" s="92"/>
      <c r="E524" s="92"/>
      <c r="F524" s="92"/>
      <c r="G524" s="92"/>
      <c r="H524" s="92"/>
    </row>
    <row r="525" spans="4:8" ht="15.75">
      <c r="D525" s="92"/>
      <c r="E525" s="92"/>
      <c r="F525" s="92"/>
      <c r="G525" s="92"/>
      <c r="H525" s="92"/>
    </row>
    <row r="526" spans="4:8" ht="15.75">
      <c r="D526" s="92"/>
      <c r="E526" s="92"/>
      <c r="F526" s="92"/>
      <c r="G526" s="92"/>
      <c r="H526" s="92"/>
    </row>
    <row r="527" spans="4:8" ht="15.75">
      <c r="D527" s="92"/>
      <c r="E527" s="92"/>
      <c r="F527" s="92"/>
      <c r="G527" s="92"/>
      <c r="H527" s="92"/>
    </row>
    <row r="528" spans="4:8" ht="15.75">
      <c r="D528" s="92"/>
      <c r="E528" s="92"/>
      <c r="F528" s="92"/>
      <c r="G528" s="92"/>
      <c r="H528" s="92"/>
    </row>
    <row r="529" spans="4:8" ht="15.75">
      <c r="D529" s="92"/>
      <c r="E529" s="92"/>
      <c r="F529" s="92"/>
      <c r="G529" s="92"/>
      <c r="H529" s="92"/>
    </row>
    <row r="530" spans="4:8" ht="15.75">
      <c r="D530" s="92"/>
      <c r="E530" s="92"/>
      <c r="F530" s="92"/>
      <c r="G530" s="92"/>
      <c r="H530" s="92"/>
    </row>
    <row r="531" spans="4:8" ht="15.75">
      <c r="D531" s="92"/>
      <c r="E531" s="92"/>
      <c r="F531" s="92"/>
      <c r="G531" s="92"/>
      <c r="H531" s="92"/>
    </row>
    <row r="532" spans="4:8" ht="15.75">
      <c r="D532" s="92"/>
      <c r="E532" s="92"/>
      <c r="F532" s="92"/>
      <c r="G532" s="92"/>
      <c r="H532" s="92"/>
    </row>
    <row r="533" spans="4:8" ht="15.75">
      <c r="D533" s="92"/>
      <c r="E533" s="92"/>
      <c r="F533" s="92"/>
      <c r="G533" s="92"/>
      <c r="H533" s="92"/>
    </row>
    <row r="534" spans="4:8" ht="15.75">
      <c r="D534" s="92"/>
      <c r="E534" s="92"/>
      <c r="F534" s="92"/>
      <c r="G534" s="92"/>
      <c r="H534" s="92"/>
    </row>
    <row r="535" spans="4:8" ht="15.75">
      <c r="D535" s="92"/>
      <c r="E535" s="92"/>
      <c r="F535" s="92"/>
      <c r="G535" s="92"/>
      <c r="H535" s="92"/>
    </row>
    <row r="536" spans="4:8" ht="15.75">
      <c r="D536" s="92"/>
      <c r="E536" s="92"/>
      <c r="F536" s="92"/>
      <c r="G536" s="92"/>
      <c r="H536" s="92"/>
    </row>
    <row r="537" spans="4:8" ht="15.75">
      <c r="D537" s="92"/>
      <c r="E537" s="92"/>
      <c r="F537" s="92"/>
      <c r="G537" s="92"/>
      <c r="H537" s="92"/>
    </row>
    <row r="538" spans="4:8" ht="15.75">
      <c r="D538" s="92"/>
      <c r="E538" s="92"/>
      <c r="F538" s="92"/>
      <c r="G538" s="92"/>
      <c r="H538" s="92"/>
    </row>
    <row r="539" spans="4:8" ht="15.75">
      <c r="D539" s="92"/>
      <c r="E539" s="92"/>
      <c r="F539" s="92"/>
      <c r="G539" s="92"/>
      <c r="H539" s="92"/>
    </row>
    <row r="540" spans="4:8" ht="15.75">
      <c r="D540" s="92"/>
      <c r="E540" s="92"/>
      <c r="F540" s="92"/>
      <c r="G540" s="92"/>
      <c r="H540" s="92"/>
    </row>
    <row r="541" spans="4:8" ht="15.75">
      <c r="D541" s="92"/>
      <c r="E541" s="92"/>
      <c r="F541" s="92"/>
      <c r="G541" s="92"/>
      <c r="H541" s="92"/>
    </row>
    <row r="542" spans="4:8" ht="15.75">
      <c r="D542" s="92"/>
      <c r="E542" s="92"/>
      <c r="F542" s="92"/>
      <c r="G542" s="92"/>
      <c r="H542" s="92"/>
    </row>
    <row r="543" spans="4:8" ht="15.75">
      <c r="D543" s="92"/>
      <c r="E543" s="92"/>
      <c r="F543" s="92"/>
      <c r="G543" s="92"/>
      <c r="H543" s="92"/>
    </row>
    <row r="544" spans="4:8" ht="15.75">
      <c r="D544" s="92"/>
      <c r="E544" s="92"/>
      <c r="F544" s="92"/>
      <c r="G544" s="92"/>
      <c r="H544" s="92"/>
    </row>
    <row r="545" spans="4:8" ht="15.75">
      <c r="D545" s="92"/>
      <c r="E545" s="92"/>
      <c r="F545" s="92"/>
      <c r="G545" s="92"/>
      <c r="H545" s="92"/>
    </row>
    <row r="546" spans="4:8" ht="15.75">
      <c r="D546" s="92"/>
      <c r="E546" s="92"/>
      <c r="F546" s="92"/>
      <c r="G546" s="92"/>
      <c r="H546" s="92"/>
    </row>
    <row r="547" spans="4:8" ht="15.75">
      <c r="D547" s="92"/>
      <c r="E547" s="92"/>
      <c r="F547" s="92"/>
      <c r="G547" s="92"/>
      <c r="H547" s="92"/>
    </row>
    <row r="548" spans="4:8" ht="15.75">
      <c r="D548" s="92"/>
      <c r="E548" s="92"/>
      <c r="F548" s="92"/>
      <c r="G548" s="92"/>
      <c r="H548" s="92"/>
    </row>
    <row r="549" spans="4:8" ht="15.75">
      <c r="D549" s="92"/>
      <c r="E549" s="92"/>
      <c r="F549" s="92"/>
      <c r="G549" s="92"/>
      <c r="H549" s="92"/>
    </row>
    <row r="550" spans="4:8" ht="15.75">
      <c r="D550" s="92"/>
      <c r="E550" s="92"/>
      <c r="F550" s="92"/>
      <c r="G550" s="92"/>
      <c r="H550" s="92"/>
    </row>
    <row r="551" spans="4:8" ht="15.75">
      <c r="D551" s="92"/>
      <c r="E551" s="92"/>
      <c r="F551" s="92"/>
      <c r="G551" s="92"/>
      <c r="H551" s="92"/>
    </row>
    <row r="552" spans="4:8" ht="15.75">
      <c r="D552" s="92"/>
      <c r="E552" s="92"/>
      <c r="F552" s="92"/>
      <c r="G552" s="92"/>
      <c r="H552" s="92"/>
    </row>
    <row r="553" spans="4:8" ht="15.75">
      <c r="D553" s="92"/>
      <c r="E553" s="92"/>
      <c r="F553" s="92"/>
      <c r="G553" s="92"/>
      <c r="H553" s="92"/>
    </row>
    <row r="554" spans="4:8" ht="15.75">
      <c r="D554" s="92"/>
      <c r="E554" s="92"/>
      <c r="F554" s="92"/>
      <c r="G554" s="92"/>
      <c r="H554" s="92"/>
    </row>
    <row r="555" spans="4:8" ht="15.75">
      <c r="D555" s="92"/>
      <c r="E555" s="92"/>
      <c r="F555" s="92"/>
      <c r="G555" s="92"/>
      <c r="H555" s="92"/>
    </row>
    <row r="556" spans="4:8" ht="15.75">
      <c r="D556" s="92"/>
      <c r="E556" s="92"/>
      <c r="F556" s="92"/>
      <c r="G556" s="92"/>
      <c r="H556" s="92"/>
    </row>
    <row r="557" spans="4:8" ht="15.75">
      <c r="D557" s="92"/>
      <c r="E557" s="92"/>
      <c r="F557" s="92"/>
      <c r="G557" s="92"/>
      <c r="H557" s="92"/>
    </row>
    <row r="558" spans="4:8" ht="15.75">
      <c r="D558" s="92"/>
      <c r="E558" s="92"/>
      <c r="F558" s="92"/>
      <c r="G558" s="92"/>
      <c r="H558" s="92"/>
    </row>
    <row r="559" spans="4:8" ht="15.75">
      <c r="D559" s="92"/>
      <c r="E559" s="92"/>
      <c r="F559" s="92"/>
      <c r="G559" s="92"/>
      <c r="H559" s="92"/>
    </row>
    <row r="560" spans="4:8" ht="15.75">
      <c r="D560" s="92"/>
      <c r="E560" s="92"/>
      <c r="F560" s="92"/>
      <c r="G560" s="92"/>
      <c r="H560" s="92"/>
    </row>
    <row r="561" spans="4:8" ht="15.75">
      <c r="D561" s="92"/>
      <c r="E561" s="92"/>
      <c r="F561" s="92"/>
      <c r="G561" s="92"/>
      <c r="H561" s="92"/>
    </row>
    <row r="562" spans="4:8" ht="15.75">
      <c r="D562" s="92"/>
      <c r="E562" s="92"/>
      <c r="F562" s="92"/>
      <c r="G562" s="92"/>
      <c r="H562" s="92"/>
    </row>
    <row r="563" spans="4:8" ht="15.75">
      <c r="D563" s="92"/>
      <c r="E563" s="92"/>
      <c r="F563" s="92"/>
      <c r="G563" s="92"/>
      <c r="H563" s="92"/>
    </row>
    <row r="564" spans="4:8" ht="15.75">
      <c r="D564" s="92"/>
      <c r="E564" s="92"/>
      <c r="F564" s="92"/>
      <c r="G564" s="92"/>
      <c r="H564" s="92"/>
    </row>
    <row r="565" spans="4:8" ht="15.75">
      <c r="D565" s="92"/>
      <c r="E565" s="92"/>
      <c r="F565" s="92"/>
      <c r="G565" s="92"/>
      <c r="H565" s="92"/>
    </row>
    <row r="566" spans="4:8" ht="15.75">
      <c r="D566" s="92"/>
      <c r="E566" s="92"/>
      <c r="F566" s="92"/>
      <c r="G566" s="92"/>
      <c r="H566" s="92"/>
    </row>
    <row r="567" spans="4:8" ht="15.75">
      <c r="D567" s="92"/>
      <c r="E567" s="92"/>
      <c r="F567" s="92"/>
      <c r="G567" s="92"/>
      <c r="H567" s="92"/>
    </row>
    <row r="568" spans="4:8" ht="15.75">
      <c r="D568" s="92"/>
      <c r="E568" s="92"/>
      <c r="F568" s="92"/>
      <c r="G568" s="92"/>
      <c r="H568" s="92"/>
    </row>
    <row r="569" spans="4:8" ht="15.75">
      <c r="D569" s="92"/>
      <c r="E569" s="92"/>
      <c r="F569" s="92"/>
      <c r="G569" s="92"/>
      <c r="H569" s="92"/>
    </row>
    <row r="570" spans="4:8" ht="15.75">
      <c r="D570" s="92"/>
      <c r="E570" s="92"/>
      <c r="F570" s="92"/>
      <c r="G570" s="92"/>
      <c r="H570" s="92"/>
    </row>
    <row r="571" spans="4:8" ht="15.75">
      <c r="D571" s="92"/>
      <c r="E571" s="92"/>
      <c r="F571" s="92"/>
      <c r="G571" s="92"/>
      <c r="H571" s="92"/>
    </row>
    <row r="572" spans="4:8" ht="15.75">
      <c r="D572" s="92"/>
      <c r="E572" s="92"/>
      <c r="F572" s="92"/>
      <c r="G572" s="92"/>
      <c r="H572" s="92"/>
    </row>
    <row r="573" spans="4:8" ht="15.75">
      <c r="D573" s="92"/>
      <c r="E573" s="92"/>
      <c r="F573" s="92"/>
      <c r="G573" s="92"/>
      <c r="H573" s="92"/>
    </row>
    <row r="574" spans="4:8" ht="15.75">
      <c r="D574" s="92"/>
      <c r="E574" s="92"/>
      <c r="F574" s="92"/>
      <c r="G574" s="92"/>
      <c r="H574" s="92"/>
    </row>
    <row r="575" spans="4:8" ht="15.75">
      <c r="D575" s="92"/>
      <c r="E575" s="92"/>
      <c r="F575" s="92"/>
      <c r="G575" s="92"/>
      <c r="H575" s="92"/>
    </row>
    <row r="576" spans="4:8" ht="15.75">
      <c r="D576" s="92"/>
      <c r="E576" s="92"/>
      <c r="F576" s="92"/>
      <c r="G576" s="92"/>
      <c r="H576" s="92"/>
    </row>
    <row r="577" spans="4:8" ht="15.75">
      <c r="D577" s="92"/>
      <c r="E577" s="92"/>
      <c r="F577" s="92"/>
      <c r="G577" s="92"/>
      <c r="H577" s="92"/>
    </row>
    <row r="578" spans="4:8" ht="15.75">
      <c r="D578" s="92"/>
      <c r="E578" s="92"/>
      <c r="F578" s="92"/>
      <c r="G578" s="92"/>
      <c r="H578" s="92"/>
    </row>
    <row r="579" spans="4:8" ht="15.75">
      <c r="D579" s="92"/>
      <c r="E579" s="92"/>
      <c r="F579" s="92"/>
      <c r="G579" s="92"/>
      <c r="H579" s="92"/>
    </row>
    <row r="580" spans="4:8" ht="15.75">
      <c r="D580" s="92"/>
      <c r="E580" s="92"/>
      <c r="F580" s="92"/>
      <c r="G580" s="92"/>
      <c r="H580" s="92"/>
    </row>
    <row r="581" spans="4:8" ht="15.75">
      <c r="D581" s="92"/>
      <c r="E581" s="92"/>
      <c r="F581" s="92"/>
      <c r="G581" s="92"/>
      <c r="H581" s="92"/>
    </row>
    <row r="582" spans="4:8" ht="15.75">
      <c r="D582" s="92"/>
      <c r="E582" s="92"/>
      <c r="F582" s="92"/>
      <c r="G582" s="92"/>
      <c r="H582" s="92"/>
    </row>
    <row r="583" spans="4:8" ht="15.75">
      <c r="D583" s="92"/>
      <c r="E583" s="92"/>
      <c r="F583" s="92"/>
      <c r="G583" s="92"/>
      <c r="H583" s="92"/>
    </row>
    <row r="584" spans="4:8" ht="15.75">
      <c r="D584" s="92"/>
      <c r="E584" s="92"/>
      <c r="F584" s="92"/>
      <c r="G584" s="92"/>
      <c r="H584" s="92"/>
    </row>
    <row r="585" spans="4:8" ht="15.75">
      <c r="D585" s="92"/>
      <c r="E585" s="92"/>
      <c r="F585" s="92"/>
      <c r="G585" s="92"/>
      <c r="H585" s="92"/>
    </row>
    <row r="586" spans="4:8" ht="15.75">
      <c r="D586" s="92"/>
      <c r="E586" s="92"/>
      <c r="F586" s="92"/>
      <c r="G586" s="92"/>
      <c r="H586" s="92"/>
    </row>
    <row r="587" spans="4:8" ht="15.75">
      <c r="D587" s="92"/>
      <c r="E587" s="92"/>
      <c r="F587" s="92"/>
      <c r="G587" s="92"/>
      <c r="H587" s="92"/>
    </row>
    <row r="588" spans="4:8" ht="15.75">
      <c r="D588" s="92"/>
      <c r="E588" s="92"/>
      <c r="F588" s="92"/>
      <c r="G588" s="92"/>
      <c r="H588" s="92"/>
    </row>
    <row r="589" spans="4:8" ht="15.75">
      <c r="D589" s="92"/>
      <c r="E589" s="92"/>
      <c r="F589" s="92"/>
      <c r="G589" s="92"/>
      <c r="H589" s="92"/>
    </row>
    <row r="590" spans="4:8" ht="15.75">
      <c r="D590" s="92"/>
      <c r="E590" s="92"/>
      <c r="F590" s="92"/>
      <c r="G590" s="92"/>
      <c r="H590" s="92"/>
    </row>
    <row r="591" spans="4:8" ht="15.75">
      <c r="D591" s="92"/>
      <c r="E591" s="92"/>
      <c r="F591" s="92"/>
      <c r="G591" s="92"/>
      <c r="H591" s="92"/>
    </row>
    <row r="592" spans="4:8" ht="15.75">
      <c r="D592" s="92"/>
      <c r="E592" s="92"/>
      <c r="F592" s="92"/>
      <c r="G592" s="92"/>
      <c r="H592" s="92"/>
    </row>
    <row r="593" spans="4:8" ht="15.75">
      <c r="D593" s="92"/>
      <c r="E593" s="92"/>
      <c r="F593" s="92"/>
      <c r="G593" s="92"/>
      <c r="H593" s="92"/>
    </row>
    <row r="594" spans="4:8" ht="15.75">
      <c r="D594" s="92"/>
      <c r="E594" s="92"/>
      <c r="F594" s="92"/>
      <c r="G594" s="92"/>
      <c r="H594" s="92"/>
    </row>
    <row r="595" spans="4:8" ht="15.75">
      <c r="D595" s="92"/>
      <c r="E595" s="92"/>
      <c r="F595" s="92"/>
      <c r="G595" s="92"/>
      <c r="H595" s="92"/>
    </row>
    <row r="596" spans="4:8" ht="15.75">
      <c r="D596" s="92"/>
      <c r="E596" s="92"/>
      <c r="F596" s="92"/>
      <c r="G596" s="92"/>
      <c r="H596" s="92"/>
    </row>
    <row r="597" spans="4:8" ht="15.75">
      <c r="D597" s="92"/>
      <c r="E597" s="92"/>
      <c r="F597" s="92"/>
      <c r="G597" s="92"/>
      <c r="H597" s="92"/>
    </row>
    <row r="598" spans="4:8" ht="15.75">
      <c r="D598" s="92"/>
      <c r="E598" s="92"/>
      <c r="F598" s="92"/>
      <c r="G598" s="92"/>
      <c r="H598" s="92"/>
    </row>
    <row r="599" spans="4:8" ht="15.75">
      <c r="D599" s="92"/>
      <c r="E599" s="92"/>
      <c r="F599" s="92"/>
      <c r="G599" s="92"/>
      <c r="H599" s="92"/>
    </row>
    <row r="600" spans="4:8" ht="15.75">
      <c r="D600" s="92"/>
      <c r="E600" s="92"/>
      <c r="F600" s="92"/>
      <c r="G600" s="92"/>
      <c r="H600" s="92"/>
    </row>
    <row r="601" spans="4:8" ht="15.75">
      <c r="D601" s="92"/>
      <c r="E601" s="92"/>
      <c r="F601" s="92"/>
      <c r="G601" s="92"/>
      <c r="H601" s="92"/>
    </row>
    <row r="602" spans="4:8" ht="15.75">
      <c r="D602" s="92"/>
      <c r="E602" s="92"/>
      <c r="F602" s="92"/>
      <c r="G602" s="92"/>
      <c r="H602" s="92"/>
    </row>
    <row r="603" spans="4:8" ht="15.75">
      <c r="D603" s="92"/>
      <c r="E603" s="92"/>
      <c r="F603" s="92"/>
      <c r="G603" s="92"/>
      <c r="H603" s="92"/>
    </row>
    <row r="604" spans="4:8" ht="15.75">
      <c r="D604" s="92"/>
      <c r="E604" s="92"/>
      <c r="F604" s="92"/>
      <c r="G604" s="92"/>
      <c r="H604" s="92"/>
    </row>
    <row r="605" spans="4:8" ht="15.75">
      <c r="D605" s="92"/>
      <c r="E605" s="92"/>
      <c r="F605" s="92"/>
      <c r="G605" s="92"/>
      <c r="H605" s="92"/>
    </row>
    <row r="606" spans="4:8" ht="15.75">
      <c r="D606" s="92"/>
      <c r="E606" s="92"/>
      <c r="F606" s="92"/>
      <c r="G606" s="92"/>
      <c r="H606" s="92"/>
    </row>
    <row r="607" spans="4:8" ht="15.75">
      <c r="D607" s="92"/>
      <c r="E607" s="92"/>
      <c r="F607" s="92"/>
      <c r="G607" s="92"/>
      <c r="H607" s="92"/>
    </row>
    <row r="608" spans="4:8" ht="15.75">
      <c r="D608" s="92"/>
      <c r="E608" s="92"/>
      <c r="F608" s="92"/>
      <c r="G608" s="92"/>
      <c r="H608" s="92"/>
    </row>
    <row r="609" spans="4:8" ht="15.75">
      <c r="D609" s="92"/>
      <c r="E609" s="92"/>
      <c r="F609" s="92"/>
      <c r="G609" s="92"/>
      <c r="H609" s="92"/>
    </row>
    <row r="610" spans="4:8" ht="15.75">
      <c r="D610" s="92"/>
      <c r="E610" s="92"/>
      <c r="F610" s="92"/>
      <c r="G610" s="92"/>
      <c r="H610" s="92"/>
    </row>
    <row r="611" spans="4:8" ht="15.75">
      <c r="D611" s="92"/>
      <c r="E611" s="92"/>
      <c r="F611" s="92"/>
      <c r="G611" s="92"/>
      <c r="H611" s="92"/>
    </row>
    <row r="612" spans="4:8" ht="15.75">
      <c r="D612" s="92"/>
      <c r="E612" s="92"/>
      <c r="F612" s="92"/>
      <c r="G612" s="92"/>
      <c r="H612" s="92"/>
    </row>
    <row r="613" spans="4:8" ht="15.75">
      <c r="D613" s="92"/>
      <c r="E613" s="92"/>
      <c r="F613" s="92"/>
      <c r="G613" s="92"/>
      <c r="H613" s="92"/>
    </row>
    <row r="614" spans="4:8" ht="15.75">
      <c r="D614" s="92"/>
      <c r="E614" s="92"/>
      <c r="F614" s="92"/>
      <c r="G614" s="92"/>
      <c r="H614" s="92"/>
    </row>
    <row r="615" spans="4:8" ht="15.75">
      <c r="D615" s="92"/>
      <c r="E615" s="92"/>
      <c r="F615" s="92"/>
      <c r="G615" s="92"/>
      <c r="H615" s="92"/>
    </row>
    <row r="616" spans="4:8" ht="15.75">
      <c r="D616" s="92"/>
      <c r="E616" s="92"/>
      <c r="F616" s="92"/>
      <c r="G616" s="92"/>
      <c r="H616" s="92"/>
    </row>
    <row r="617" spans="4:8" ht="15.75">
      <c r="D617" s="92"/>
      <c r="E617" s="92"/>
      <c r="F617" s="92"/>
      <c r="G617" s="92"/>
      <c r="H617" s="92"/>
    </row>
    <row r="618" spans="4:8" ht="15.75">
      <c r="D618" s="92"/>
      <c r="E618" s="92"/>
      <c r="F618" s="92"/>
      <c r="G618" s="92"/>
      <c r="H618" s="92"/>
    </row>
    <row r="619" spans="4:8" ht="15.75">
      <c r="D619" s="92"/>
      <c r="E619" s="92"/>
      <c r="F619" s="92"/>
      <c r="G619" s="92"/>
      <c r="H619" s="92"/>
    </row>
    <row r="620" spans="4:8" ht="15.75">
      <c r="D620" s="92"/>
      <c r="E620" s="92"/>
      <c r="F620" s="92"/>
      <c r="G620" s="92"/>
      <c r="H620" s="92"/>
    </row>
    <row r="621" spans="4:8" ht="15.75">
      <c r="D621" s="92"/>
      <c r="E621" s="92"/>
      <c r="F621" s="92"/>
      <c r="G621" s="92"/>
      <c r="H621" s="92"/>
    </row>
    <row r="622" spans="4:8" ht="15.75">
      <c r="D622" s="92"/>
      <c r="E622" s="92"/>
      <c r="F622" s="92"/>
      <c r="G622" s="92"/>
      <c r="H622" s="92"/>
    </row>
    <row r="623" spans="4:8" ht="15.75">
      <c r="D623" s="92"/>
      <c r="E623" s="92"/>
      <c r="F623" s="92"/>
      <c r="G623" s="92"/>
      <c r="H623" s="92"/>
    </row>
    <row r="624" spans="4:8" ht="15.75">
      <c r="D624" s="92"/>
      <c r="E624" s="92"/>
      <c r="F624" s="92"/>
      <c r="G624" s="92"/>
      <c r="H624" s="92"/>
    </row>
    <row r="625" spans="4:8" ht="15.75">
      <c r="D625" s="92"/>
      <c r="E625" s="92"/>
      <c r="F625" s="92"/>
      <c r="G625" s="92"/>
      <c r="H625" s="92"/>
    </row>
    <row r="626" spans="4:8" ht="15.75">
      <c r="D626" s="92"/>
      <c r="E626" s="92"/>
      <c r="F626" s="92"/>
      <c r="G626" s="92"/>
      <c r="H626" s="92"/>
    </row>
    <row r="627" spans="4:8" ht="15.75">
      <c r="D627" s="92"/>
      <c r="E627" s="92"/>
      <c r="F627" s="92"/>
      <c r="G627" s="92"/>
      <c r="H627" s="92"/>
    </row>
    <row r="628" spans="4:8" ht="15.75">
      <c r="D628" s="92"/>
      <c r="E628" s="92"/>
      <c r="F628" s="92"/>
      <c r="G628" s="92"/>
      <c r="H628" s="92"/>
    </row>
    <row r="629" spans="4:8" ht="15.75">
      <c r="D629" s="92"/>
      <c r="E629" s="92"/>
      <c r="F629" s="92"/>
      <c r="G629" s="92"/>
      <c r="H629" s="92"/>
    </row>
    <row r="630" spans="4:8" ht="15.75">
      <c r="D630" s="92"/>
      <c r="E630" s="92"/>
      <c r="F630" s="92"/>
      <c r="G630" s="92"/>
      <c r="H630" s="92"/>
    </row>
    <row r="631" spans="4:8" ht="15.75">
      <c r="D631" s="92"/>
      <c r="E631" s="92"/>
      <c r="F631" s="92"/>
      <c r="G631" s="92"/>
      <c r="H631" s="92"/>
    </row>
    <row r="632" spans="4:8" ht="15.75">
      <c r="D632" s="92"/>
      <c r="E632" s="92"/>
      <c r="F632" s="92"/>
      <c r="G632" s="92"/>
      <c r="H632" s="92"/>
    </row>
    <row r="633" spans="4:8" ht="15.75">
      <c r="D633" s="92"/>
      <c r="E633" s="92"/>
      <c r="F633" s="92"/>
      <c r="G633" s="92"/>
      <c r="H633" s="92"/>
    </row>
    <row r="634" spans="4:8" ht="15.75">
      <c r="D634" s="92"/>
      <c r="E634" s="92"/>
      <c r="F634" s="92"/>
      <c r="G634" s="92"/>
      <c r="H634" s="92"/>
    </row>
    <row r="635" spans="4:8" ht="15.75">
      <c r="D635" s="92"/>
      <c r="E635" s="92"/>
      <c r="F635" s="92"/>
      <c r="G635" s="92"/>
      <c r="H635" s="92"/>
    </row>
    <row r="636" spans="4:8" ht="15.75">
      <c r="D636" s="92"/>
      <c r="E636" s="92"/>
      <c r="F636" s="92"/>
      <c r="G636" s="92"/>
      <c r="H636" s="92"/>
    </row>
    <row r="637" spans="4:8" ht="15.75">
      <c r="D637" s="92"/>
      <c r="E637" s="92"/>
      <c r="F637" s="92"/>
      <c r="G637" s="92"/>
      <c r="H637" s="92"/>
    </row>
    <row r="638" spans="4:8" ht="15.75">
      <c r="D638" s="92"/>
      <c r="E638" s="92"/>
      <c r="F638" s="92"/>
      <c r="G638" s="92"/>
      <c r="H638" s="92"/>
    </row>
    <row r="639" spans="4:8" ht="15.75">
      <c r="D639" s="92"/>
      <c r="E639" s="92"/>
      <c r="F639" s="92"/>
      <c r="G639" s="92"/>
      <c r="H639" s="92"/>
    </row>
    <row r="640" spans="4:8" ht="15.75">
      <c r="D640" s="92"/>
      <c r="E640" s="92"/>
      <c r="F640" s="92"/>
      <c r="G640" s="92"/>
      <c r="H640" s="92"/>
    </row>
    <row r="641" spans="4:8" ht="15.75">
      <c r="D641" s="92"/>
      <c r="E641" s="92"/>
      <c r="F641" s="92"/>
      <c r="G641" s="92"/>
      <c r="H641" s="92"/>
    </row>
    <row r="642" spans="4:8" ht="15.75">
      <c r="D642" s="92"/>
      <c r="E642" s="92"/>
      <c r="F642" s="92"/>
      <c r="G642" s="92"/>
      <c r="H642" s="92"/>
    </row>
    <row r="643" spans="4:8" ht="15.75">
      <c r="D643" s="92"/>
      <c r="E643" s="92"/>
      <c r="F643" s="92"/>
      <c r="G643" s="92"/>
      <c r="H643" s="92"/>
    </row>
    <row r="644" spans="4:8" ht="15.75">
      <c r="D644" s="92"/>
      <c r="E644" s="92"/>
      <c r="F644" s="92"/>
      <c r="G644" s="92"/>
      <c r="H644" s="92"/>
    </row>
    <row r="645" spans="4:8" ht="15.75">
      <c r="D645" s="92"/>
      <c r="E645" s="92"/>
      <c r="F645" s="92"/>
      <c r="G645" s="92"/>
      <c r="H645" s="92"/>
    </row>
    <row r="646" spans="4:8" ht="15.75">
      <c r="D646" s="92"/>
      <c r="E646" s="92"/>
      <c r="F646" s="92"/>
      <c r="G646" s="92"/>
      <c r="H646" s="92"/>
    </row>
    <row r="647" spans="4:8" ht="15.75">
      <c r="D647" s="92"/>
      <c r="E647" s="92"/>
      <c r="F647" s="92"/>
      <c r="G647" s="92"/>
      <c r="H647" s="92"/>
    </row>
    <row r="648" spans="4:8" ht="15.75">
      <c r="D648" s="92"/>
      <c r="E648" s="92"/>
      <c r="F648" s="92"/>
      <c r="G648" s="92"/>
      <c r="H648" s="92"/>
    </row>
    <row r="649" spans="4:8" ht="15.75">
      <c r="D649" s="92"/>
      <c r="E649" s="92"/>
      <c r="F649" s="92"/>
      <c r="G649" s="92"/>
      <c r="H649" s="92"/>
    </row>
    <row r="650" spans="4:8" ht="15.75">
      <c r="D650" s="92"/>
      <c r="E650" s="92"/>
      <c r="F650" s="92"/>
      <c r="G650" s="92"/>
      <c r="H650" s="92"/>
    </row>
    <row r="651" spans="4:8" ht="15.75">
      <c r="D651" s="92"/>
      <c r="E651" s="92"/>
      <c r="F651" s="92"/>
      <c r="G651" s="92"/>
      <c r="H651" s="92"/>
    </row>
    <row r="652" spans="4:8" ht="15.75">
      <c r="D652" s="92"/>
      <c r="E652" s="92"/>
      <c r="F652" s="92"/>
      <c r="G652" s="92"/>
      <c r="H652" s="92"/>
    </row>
    <row r="653" spans="4:8" ht="15.75">
      <c r="D653" s="92"/>
      <c r="E653" s="92"/>
      <c r="F653" s="92"/>
      <c r="G653" s="92"/>
      <c r="H653" s="92"/>
    </row>
    <row r="654" spans="4:8" ht="15.75">
      <c r="D654" s="92"/>
      <c r="E654" s="92"/>
      <c r="F654" s="92"/>
      <c r="G654" s="92"/>
      <c r="H654" s="92"/>
    </row>
    <row r="655" spans="4:8" ht="15.75">
      <c r="D655" s="92"/>
      <c r="E655" s="92"/>
      <c r="F655" s="92"/>
      <c r="G655" s="92"/>
      <c r="H655" s="92"/>
    </row>
    <row r="656" spans="4:8" ht="15.75">
      <c r="D656" s="92"/>
      <c r="E656" s="92"/>
      <c r="F656" s="92"/>
      <c r="G656" s="92"/>
      <c r="H656" s="92"/>
    </row>
    <row r="657" spans="4:8" ht="15.75">
      <c r="D657" s="92"/>
      <c r="E657" s="92"/>
      <c r="F657" s="92"/>
      <c r="G657" s="92"/>
      <c r="H657" s="92"/>
    </row>
    <row r="658" spans="4:8" ht="15.75">
      <c r="D658" s="92"/>
      <c r="E658" s="92"/>
      <c r="F658" s="92"/>
      <c r="G658" s="92"/>
      <c r="H658" s="92"/>
    </row>
    <row r="659" spans="4:8" ht="15.75">
      <c r="D659" s="92"/>
      <c r="E659" s="92"/>
      <c r="F659" s="92"/>
      <c r="G659" s="92"/>
      <c r="H659" s="92"/>
    </row>
    <row r="660" spans="4:8" ht="15.75">
      <c r="D660" s="92"/>
      <c r="E660" s="92"/>
      <c r="F660" s="92"/>
      <c r="G660" s="92"/>
      <c r="H660" s="92"/>
    </row>
    <row r="661" spans="4:8" ht="15.75">
      <c r="D661" s="92"/>
      <c r="E661" s="92"/>
      <c r="F661" s="92"/>
      <c r="G661" s="92"/>
      <c r="H661" s="92"/>
    </row>
    <row r="662" spans="4:8" ht="15.75">
      <c r="D662" s="92"/>
      <c r="E662" s="92"/>
      <c r="F662" s="92"/>
      <c r="G662" s="92"/>
      <c r="H662" s="92"/>
    </row>
    <row r="663" spans="4:8" ht="15.75">
      <c r="D663" s="92"/>
      <c r="E663" s="92"/>
      <c r="F663" s="92"/>
      <c r="G663" s="92"/>
      <c r="H663" s="92"/>
    </row>
    <row r="664" spans="4:8" ht="15.75">
      <c r="D664" s="92"/>
      <c r="E664" s="92"/>
      <c r="F664" s="92"/>
      <c r="G664" s="92"/>
      <c r="H664" s="92"/>
    </row>
    <row r="665" spans="4:8" ht="15.75">
      <c r="D665" s="92"/>
      <c r="E665" s="92"/>
      <c r="F665" s="92"/>
      <c r="G665" s="92"/>
      <c r="H665" s="92"/>
    </row>
    <row r="666" spans="4:8" ht="15.75">
      <c r="D666" s="92"/>
      <c r="E666" s="92"/>
      <c r="F666" s="92"/>
      <c r="G666" s="92"/>
      <c r="H666" s="92"/>
    </row>
    <row r="667" spans="4:8" ht="15.75">
      <c r="D667" s="92"/>
      <c r="E667" s="92"/>
      <c r="F667" s="92"/>
      <c r="G667" s="92"/>
      <c r="H667" s="92"/>
    </row>
    <row r="668" spans="4:8" ht="15.75">
      <c r="D668" s="92"/>
      <c r="E668" s="92"/>
      <c r="F668" s="92"/>
      <c r="G668" s="92"/>
      <c r="H668" s="92"/>
    </row>
    <row r="669" spans="4:8" ht="15.75">
      <c r="D669" s="92"/>
      <c r="E669" s="92"/>
      <c r="F669" s="92"/>
      <c r="G669" s="92"/>
      <c r="H669" s="92"/>
    </row>
    <row r="670" spans="4:8" ht="15.75">
      <c r="D670" s="92"/>
      <c r="E670" s="92"/>
      <c r="F670" s="92"/>
      <c r="G670" s="92"/>
      <c r="H670" s="92"/>
    </row>
    <row r="671" spans="4:8" ht="15.75">
      <c r="D671" s="92"/>
      <c r="E671" s="92"/>
      <c r="F671" s="92"/>
      <c r="G671" s="92"/>
      <c r="H671" s="92"/>
    </row>
    <row r="672" spans="4:8" ht="15.75">
      <c r="D672" s="92"/>
      <c r="E672" s="92"/>
      <c r="F672" s="92"/>
      <c r="G672" s="92"/>
      <c r="H672" s="92"/>
    </row>
    <row r="673" spans="4:8" ht="15.75">
      <c r="D673" s="92"/>
      <c r="E673" s="92"/>
      <c r="F673" s="92"/>
      <c r="G673" s="92"/>
      <c r="H673" s="92"/>
    </row>
    <row r="674" spans="4:8" ht="15.75">
      <c r="D674" s="92"/>
      <c r="E674" s="92"/>
      <c r="F674" s="92"/>
      <c r="G674" s="92"/>
      <c r="H674" s="92"/>
    </row>
    <row r="675" spans="4:8" ht="15.75">
      <c r="D675" s="92"/>
      <c r="E675" s="92"/>
      <c r="F675" s="92"/>
      <c r="G675" s="92"/>
      <c r="H675" s="92"/>
    </row>
    <row r="676" spans="4:8" ht="15.75">
      <c r="D676" s="92"/>
      <c r="E676" s="92"/>
      <c r="F676" s="92"/>
      <c r="G676" s="92"/>
      <c r="H676" s="92"/>
    </row>
    <row r="677" spans="4:8" ht="15.75">
      <c r="D677" s="92"/>
      <c r="E677" s="92"/>
      <c r="F677" s="92"/>
      <c r="G677" s="92"/>
      <c r="H677" s="92"/>
    </row>
    <row r="678" spans="4:8" ht="15.75">
      <c r="D678" s="92"/>
      <c r="E678" s="92"/>
      <c r="F678" s="92"/>
      <c r="G678" s="92"/>
      <c r="H678" s="92"/>
    </row>
    <row r="679" spans="4:8" ht="15.75">
      <c r="D679" s="92"/>
      <c r="E679" s="92"/>
      <c r="F679" s="92"/>
      <c r="G679" s="92"/>
      <c r="H679" s="92"/>
    </row>
    <row r="680" spans="4:8" ht="15.75">
      <c r="D680" s="92"/>
      <c r="E680" s="92"/>
      <c r="F680" s="92"/>
      <c r="G680" s="92"/>
      <c r="H680" s="92"/>
    </row>
    <row r="681" spans="4:8" ht="15.75">
      <c r="D681" s="92"/>
      <c r="E681" s="92"/>
      <c r="F681" s="92"/>
      <c r="G681" s="92"/>
      <c r="H681" s="92"/>
    </row>
    <row r="682" spans="4:8" ht="15.75">
      <c r="D682" s="92"/>
      <c r="E682" s="92"/>
      <c r="F682" s="92"/>
      <c r="G682" s="92"/>
      <c r="H682" s="92"/>
    </row>
    <row r="683" spans="4:8" ht="15.75">
      <c r="D683" s="92"/>
      <c r="E683" s="92"/>
      <c r="F683" s="92"/>
      <c r="G683" s="92"/>
      <c r="H683" s="92"/>
    </row>
    <row r="684" spans="4:8" ht="15.75">
      <c r="D684" s="92"/>
      <c r="E684" s="92"/>
      <c r="F684" s="92"/>
      <c r="G684" s="92"/>
      <c r="H684" s="92"/>
    </row>
    <row r="685" spans="4:8" ht="15.75">
      <c r="D685" s="92"/>
      <c r="E685" s="92"/>
      <c r="F685" s="92"/>
      <c r="G685" s="92"/>
      <c r="H685" s="92"/>
    </row>
    <row r="686" spans="4:8" ht="15.75">
      <c r="D686" s="92"/>
      <c r="E686" s="92"/>
      <c r="F686" s="92"/>
      <c r="G686" s="92"/>
      <c r="H686" s="92"/>
    </row>
    <row r="687" spans="4:8" ht="15.75">
      <c r="D687" s="92"/>
      <c r="E687" s="92"/>
      <c r="F687" s="92"/>
      <c r="G687" s="92"/>
      <c r="H687" s="92"/>
    </row>
    <row r="688" spans="4:8" ht="15.75">
      <c r="D688" s="92"/>
      <c r="E688" s="92"/>
      <c r="F688" s="92"/>
      <c r="G688" s="92"/>
      <c r="H688" s="92"/>
    </row>
    <row r="689" spans="4:8" ht="15.75">
      <c r="D689" s="92"/>
      <c r="E689" s="92"/>
      <c r="F689" s="92"/>
      <c r="G689" s="92"/>
      <c r="H689" s="92"/>
    </row>
    <row r="690" spans="4:8" ht="15.75">
      <c r="D690" s="92"/>
      <c r="E690" s="92"/>
      <c r="F690" s="92"/>
      <c r="G690" s="92"/>
      <c r="H690" s="92"/>
    </row>
    <row r="691" spans="4:8" ht="15.75">
      <c r="D691" s="92"/>
      <c r="E691" s="92"/>
      <c r="F691" s="92"/>
      <c r="G691" s="92"/>
      <c r="H691" s="92"/>
    </row>
    <row r="692" spans="4:8" ht="15.75">
      <c r="D692" s="92"/>
      <c r="E692" s="92"/>
      <c r="F692" s="92"/>
      <c r="G692" s="92"/>
      <c r="H692" s="92"/>
    </row>
    <row r="693" spans="4:8" ht="15.75">
      <c r="D693" s="92"/>
      <c r="E693" s="92"/>
      <c r="F693" s="92"/>
      <c r="G693" s="92"/>
      <c r="H693" s="92"/>
    </row>
    <row r="694" spans="4:8" ht="15.75">
      <c r="D694" s="92"/>
      <c r="E694" s="92"/>
      <c r="F694" s="92"/>
      <c r="G694" s="92"/>
      <c r="H694" s="92"/>
    </row>
    <row r="695" spans="4:8" ht="15.75">
      <c r="D695" s="92"/>
      <c r="E695" s="92"/>
      <c r="F695" s="92"/>
      <c r="G695" s="92"/>
      <c r="H695" s="92"/>
    </row>
    <row r="696" spans="4:8" ht="15.75">
      <c r="D696" s="92"/>
      <c r="E696" s="92"/>
      <c r="F696" s="92"/>
      <c r="G696" s="92"/>
      <c r="H696" s="92"/>
    </row>
    <row r="697" spans="4:8" ht="15.75">
      <c r="D697" s="92"/>
      <c r="E697" s="92"/>
      <c r="F697" s="92"/>
      <c r="G697" s="92"/>
      <c r="H697" s="92"/>
    </row>
    <row r="698" spans="4:8" ht="15.75">
      <c r="D698" s="92"/>
      <c r="E698" s="92"/>
      <c r="F698" s="92"/>
      <c r="G698" s="92"/>
      <c r="H698" s="92"/>
    </row>
    <row r="699" spans="4:8" ht="15.75">
      <c r="D699" s="92"/>
      <c r="E699" s="92"/>
      <c r="F699" s="92"/>
      <c r="G699" s="92"/>
      <c r="H699" s="92"/>
    </row>
    <row r="700" spans="4:8" ht="15.75">
      <c r="D700" s="92"/>
      <c r="E700" s="92"/>
      <c r="F700" s="92"/>
      <c r="G700" s="92"/>
      <c r="H700" s="92"/>
    </row>
    <row r="701" spans="4:8" ht="15.75">
      <c r="D701" s="92"/>
      <c r="E701" s="92"/>
      <c r="F701" s="92"/>
      <c r="G701" s="92"/>
      <c r="H701" s="92"/>
    </row>
    <row r="702" spans="4:8" ht="15.75">
      <c r="D702" s="92"/>
      <c r="E702" s="92"/>
      <c r="F702" s="92"/>
      <c r="G702" s="92"/>
      <c r="H702" s="92"/>
    </row>
    <row r="703" spans="4:8" ht="15.75">
      <c r="D703" s="92"/>
      <c r="E703" s="92"/>
      <c r="F703" s="92"/>
      <c r="G703" s="92"/>
      <c r="H703" s="92"/>
    </row>
    <row r="704" spans="4:8" ht="15.75">
      <c r="D704" s="92"/>
      <c r="E704" s="92"/>
      <c r="F704" s="92"/>
      <c r="G704" s="92"/>
      <c r="H704" s="92"/>
    </row>
    <row r="705" spans="4:8" ht="15.75">
      <c r="D705" s="92"/>
      <c r="E705" s="92"/>
      <c r="F705" s="92"/>
      <c r="G705" s="92"/>
      <c r="H705" s="92"/>
    </row>
    <row r="706" spans="4:8" ht="15.75">
      <c r="D706" s="92"/>
      <c r="E706" s="92"/>
      <c r="F706" s="92"/>
      <c r="G706" s="92"/>
      <c r="H706" s="92"/>
    </row>
    <row r="707" spans="4:8" ht="15.75">
      <c r="D707" s="92"/>
      <c r="E707" s="92"/>
      <c r="F707" s="92"/>
      <c r="G707" s="92"/>
      <c r="H707" s="92"/>
    </row>
    <row r="708" spans="4:8" ht="15.75">
      <c r="D708" s="92"/>
      <c r="E708" s="92"/>
      <c r="F708" s="92"/>
      <c r="G708" s="92"/>
      <c r="H708" s="92"/>
    </row>
    <row r="709" spans="4:8" ht="15.75">
      <c r="D709" s="92"/>
      <c r="E709" s="92"/>
      <c r="F709" s="92"/>
      <c r="G709" s="92"/>
      <c r="H709" s="92"/>
    </row>
    <row r="710" spans="4:8" ht="15.75">
      <c r="D710" s="92"/>
      <c r="E710" s="92"/>
      <c r="F710" s="92"/>
      <c r="G710" s="92"/>
      <c r="H710" s="92"/>
    </row>
    <row r="711" spans="4:8" ht="15.75">
      <c r="D711" s="92"/>
      <c r="E711" s="92"/>
      <c r="F711" s="92"/>
      <c r="G711" s="92"/>
      <c r="H711" s="92"/>
    </row>
    <row r="712" spans="4:8" ht="15.75">
      <c r="D712" s="92"/>
      <c r="E712" s="92"/>
      <c r="F712" s="92"/>
      <c r="G712" s="92"/>
      <c r="H712" s="92"/>
    </row>
    <row r="713" spans="4:8" ht="15.75">
      <c r="D713" s="92"/>
      <c r="E713" s="92"/>
      <c r="F713" s="92"/>
      <c r="G713" s="92"/>
      <c r="H713" s="92"/>
    </row>
    <row r="714" spans="4:8" ht="15.75">
      <c r="D714" s="92"/>
      <c r="E714" s="92"/>
      <c r="F714" s="92"/>
      <c r="G714" s="92"/>
      <c r="H714" s="92"/>
    </row>
    <row r="715" spans="4:8" ht="15.75">
      <c r="D715" s="92"/>
      <c r="E715" s="92"/>
      <c r="F715" s="92"/>
      <c r="G715" s="92"/>
      <c r="H715" s="92"/>
    </row>
    <row r="716" spans="4:8" ht="15.75">
      <c r="D716" s="92"/>
      <c r="E716" s="92"/>
      <c r="F716" s="92"/>
      <c r="G716" s="92"/>
      <c r="H716" s="92"/>
    </row>
    <row r="717" spans="4:8" ht="15.75">
      <c r="D717" s="92"/>
      <c r="E717" s="92"/>
      <c r="F717" s="92"/>
      <c r="G717" s="92"/>
      <c r="H717" s="92"/>
    </row>
    <row r="718" spans="4:8" ht="15.75">
      <c r="D718" s="92"/>
      <c r="E718" s="92"/>
      <c r="F718" s="92"/>
      <c r="G718" s="92"/>
      <c r="H718" s="92"/>
    </row>
    <row r="719" spans="4:8" ht="15.75">
      <c r="D719" s="92"/>
      <c r="E719" s="92"/>
      <c r="F719" s="92"/>
      <c r="G719" s="92"/>
      <c r="H719" s="92"/>
    </row>
    <row r="720" spans="4:8" ht="15.75">
      <c r="D720" s="92"/>
      <c r="E720" s="92"/>
      <c r="F720" s="92"/>
      <c r="G720" s="92"/>
      <c r="H720" s="92"/>
    </row>
    <row r="721" spans="4:8" ht="15.75">
      <c r="D721" s="92"/>
      <c r="E721" s="92"/>
      <c r="F721" s="92"/>
      <c r="G721" s="92"/>
      <c r="H721" s="92"/>
    </row>
    <row r="722" spans="4:8" ht="15.75">
      <c r="D722" s="92"/>
      <c r="E722" s="92"/>
      <c r="F722" s="92"/>
      <c r="G722" s="92"/>
      <c r="H722" s="92"/>
    </row>
    <row r="723" spans="4:8" ht="15.75">
      <c r="D723" s="92"/>
      <c r="E723" s="92"/>
      <c r="F723" s="92"/>
      <c r="G723" s="92"/>
      <c r="H723" s="92"/>
    </row>
    <row r="724" spans="4:8" ht="15.75">
      <c r="D724" s="92"/>
      <c r="E724" s="92"/>
      <c r="F724" s="92"/>
      <c r="G724" s="92"/>
      <c r="H724" s="92"/>
    </row>
    <row r="725" spans="4:8" ht="15.75">
      <c r="D725" s="92"/>
      <c r="E725" s="92"/>
      <c r="F725" s="92"/>
      <c r="G725" s="92"/>
      <c r="H725" s="92"/>
    </row>
    <row r="726" spans="4:8" ht="15.75">
      <c r="D726" s="92"/>
      <c r="E726" s="92"/>
      <c r="F726" s="92"/>
      <c r="G726" s="92"/>
      <c r="H726" s="92"/>
    </row>
    <row r="727" spans="4:8" ht="15.75">
      <c r="D727" s="92"/>
      <c r="E727" s="92"/>
      <c r="F727" s="92"/>
      <c r="G727" s="92"/>
      <c r="H727" s="92"/>
    </row>
    <row r="728" spans="4:8" ht="15.75">
      <c r="D728" s="92"/>
      <c r="E728" s="92"/>
      <c r="F728" s="92"/>
      <c r="G728" s="92"/>
      <c r="H728" s="92"/>
    </row>
    <row r="729" spans="4:8" ht="15.75">
      <c r="D729" s="92"/>
      <c r="E729" s="92"/>
      <c r="F729" s="92"/>
      <c r="G729" s="92"/>
      <c r="H729" s="92"/>
    </row>
    <row r="730" spans="4:8" ht="15.75">
      <c r="D730" s="92"/>
      <c r="E730" s="92"/>
      <c r="F730" s="92"/>
      <c r="G730" s="92"/>
      <c r="H730" s="92"/>
    </row>
    <row r="731" spans="4:8" ht="15.75">
      <c r="D731" s="92"/>
      <c r="E731" s="92"/>
      <c r="F731" s="92"/>
      <c r="G731" s="92"/>
      <c r="H731" s="92"/>
    </row>
    <row r="732" spans="4:8" ht="15.75">
      <c r="D732" s="92"/>
      <c r="E732" s="92"/>
      <c r="F732" s="92"/>
      <c r="G732" s="92"/>
      <c r="H732" s="92"/>
    </row>
    <row r="733" spans="4:8" ht="15.75">
      <c r="D733" s="92"/>
      <c r="E733" s="92"/>
      <c r="F733" s="92"/>
      <c r="G733" s="92"/>
      <c r="H733" s="92"/>
    </row>
    <row r="734" spans="4:8" ht="15.75">
      <c r="D734" s="92"/>
      <c r="E734" s="92"/>
      <c r="F734" s="92"/>
      <c r="G734" s="92"/>
      <c r="H734" s="92"/>
    </row>
    <row r="735" spans="4:8" ht="15.75">
      <c r="D735" s="92"/>
      <c r="E735" s="92"/>
      <c r="F735" s="92"/>
      <c r="G735" s="92"/>
      <c r="H735" s="92"/>
    </row>
    <row r="736" spans="4:8" ht="15.75">
      <c r="D736" s="92"/>
      <c r="E736" s="92"/>
      <c r="F736" s="92"/>
      <c r="G736" s="92"/>
      <c r="H736" s="92"/>
    </row>
    <row r="737" spans="4:8" ht="15.75">
      <c r="D737" s="92"/>
      <c r="E737" s="92"/>
      <c r="F737" s="92"/>
      <c r="G737" s="92"/>
      <c r="H737" s="92"/>
    </row>
    <row r="738" spans="4:8" ht="15.75">
      <c r="D738" s="92"/>
      <c r="E738" s="92"/>
      <c r="F738" s="92"/>
      <c r="G738" s="92"/>
      <c r="H738" s="92"/>
    </row>
    <row r="739" spans="4:8" ht="15.75">
      <c r="D739" s="92"/>
      <c r="E739" s="92"/>
      <c r="F739" s="92"/>
      <c r="G739" s="92"/>
      <c r="H739" s="92"/>
    </row>
    <row r="740" spans="4:8" ht="15.75">
      <c r="D740" s="92"/>
      <c r="E740" s="92"/>
      <c r="F740" s="92"/>
      <c r="G740" s="92"/>
      <c r="H740" s="92"/>
    </row>
    <row r="741" spans="4:8" ht="15.75">
      <c r="D741" s="92"/>
      <c r="E741" s="92"/>
      <c r="F741" s="92"/>
      <c r="G741" s="92"/>
      <c r="H741" s="92"/>
    </row>
    <row r="742" spans="4:8" ht="15.75">
      <c r="D742" s="92"/>
      <c r="E742" s="92"/>
      <c r="F742" s="92"/>
      <c r="G742" s="92"/>
      <c r="H742" s="92"/>
    </row>
    <row r="743" spans="4:8" ht="15.75">
      <c r="D743" s="92"/>
      <c r="E743" s="92"/>
      <c r="F743" s="92"/>
      <c r="G743" s="92"/>
      <c r="H743" s="92"/>
    </row>
    <row r="744" spans="4:8" ht="15.75">
      <c r="D744" s="92"/>
      <c r="E744" s="92"/>
      <c r="F744" s="92"/>
      <c r="G744" s="92"/>
      <c r="H744" s="92"/>
    </row>
    <row r="745" spans="4:8" ht="15.75">
      <c r="D745" s="92"/>
      <c r="E745" s="92"/>
      <c r="F745" s="92"/>
      <c r="G745" s="92"/>
      <c r="H745" s="92"/>
    </row>
    <row r="746" spans="4:8" ht="15.75">
      <c r="D746" s="92"/>
      <c r="E746" s="92"/>
      <c r="F746" s="92"/>
      <c r="G746" s="92"/>
      <c r="H746" s="92"/>
    </row>
    <row r="747" spans="4:8" ht="15.75">
      <c r="D747" s="92"/>
      <c r="E747" s="92"/>
      <c r="F747" s="92"/>
      <c r="G747" s="92"/>
      <c r="H747" s="92"/>
    </row>
    <row r="748" spans="4:8" ht="15.75">
      <c r="D748" s="92"/>
      <c r="E748" s="92"/>
      <c r="F748" s="92"/>
      <c r="G748" s="92"/>
      <c r="H748" s="92"/>
    </row>
    <row r="749" spans="4:8" ht="15.75">
      <c r="D749" s="92"/>
      <c r="E749" s="92"/>
      <c r="F749" s="92"/>
      <c r="G749" s="92"/>
      <c r="H749" s="92"/>
    </row>
    <row r="750" spans="4:8" ht="15.75">
      <c r="D750" s="92"/>
      <c r="E750" s="92"/>
      <c r="F750" s="92"/>
      <c r="G750" s="92"/>
      <c r="H750" s="92"/>
    </row>
    <row r="751" spans="4:8" ht="15.75">
      <c r="D751" s="92"/>
      <c r="E751" s="92"/>
      <c r="F751" s="92"/>
      <c r="G751" s="92"/>
      <c r="H751" s="92"/>
    </row>
    <row r="752" spans="4:8" ht="15.75">
      <c r="D752" s="92"/>
      <c r="E752" s="92"/>
      <c r="F752" s="92"/>
      <c r="G752" s="92"/>
      <c r="H752" s="92"/>
    </row>
    <row r="753" spans="4:8" ht="15.75">
      <c r="D753" s="92"/>
      <c r="E753" s="92"/>
      <c r="F753" s="92"/>
      <c r="G753" s="92"/>
      <c r="H753" s="92"/>
    </row>
    <row r="754" spans="4:8" ht="15.75">
      <c r="D754" s="92"/>
      <c r="E754" s="92"/>
      <c r="F754" s="92"/>
      <c r="G754" s="92"/>
      <c r="H754" s="92"/>
    </row>
    <row r="755" spans="4:8" ht="15.75">
      <c r="D755" s="92"/>
      <c r="E755" s="92"/>
      <c r="F755" s="92"/>
      <c r="G755" s="92"/>
      <c r="H755" s="92"/>
    </row>
    <row r="756" spans="4:8" ht="15.75">
      <c r="D756" s="92"/>
      <c r="E756" s="92"/>
      <c r="F756" s="92"/>
      <c r="G756" s="92"/>
      <c r="H756" s="92"/>
    </row>
    <row r="757" spans="4:8" ht="15.75">
      <c r="D757" s="92"/>
      <c r="E757" s="92"/>
      <c r="F757" s="92"/>
      <c r="G757" s="92"/>
      <c r="H757" s="92"/>
    </row>
    <row r="758" spans="4:8" ht="15.75">
      <c r="D758" s="92"/>
      <c r="E758" s="92"/>
      <c r="F758" s="92"/>
      <c r="G758" s="92"/>
      <c r="H758" s="92"/>
    </row>
    <row r="759" spans="4:8" ht="15.75">
      <c r="D759" s="92"/>
      <c r="E759" s="92"/>
      <c r="F759" s="92"/>
      <c r="G759" s="92"/>
      <c r="H759" s="92"/>
    </row>
    <row r="760" spans="4:8" ht="15.75">
      <c r="D760" s="92"/>
      <c r="E760" s="92"/>
      <c r="F760" s="92"/>
      <c r="G760" s="92"/>
      <c r="H760" s="92"/>
    </row>
    <row r="761" spans="4:8" ht="15.75">
      <c r="D761" s="92"/>
      <c r="E761" s="92"/>
      <c r="F761" s="92"/>
      <c r="G761" s="92"/>
      <c r="H761" s="92"/>
    </row>
    <row r="762" spans="4:8" ht="15.75">
      <c r="D762" s="92"/>
      <c r="E762" s="92"/>
      <c r="F762" s="92"/>
      <c r="G762" s="92"/>
      <c r="H762" s="92"/>
    </row>
    <row r="763" spans="4:8" ht="15.75">
      <c r="D763" s="92"/>
      <c r="E763" s="92"/>
      <c r="F763" s="92"/>
      <c r="G763" s="92"/>
      <c r="H763" s="92"/>
    </row>
    <row r="764" spans="4:8" ht="15.75">
      <c r="D764" s="92"/>
      <c r="E764" s="92"/>
      <c r="F764" s="92"/>
      <c r="G764" s="92"/>
      <c r="H764" s="92"/>
    </row>
    <row r="765" spans="4:8" ht="15.75">
      <c r="D765" s="92"/>
      <c r="E765" s="92"/>
      <c r="F765" s="92"/>
      <c r="G765" s="92"/>
      <c r="H765" s="92"/>
    </row>
    <row r="766" spans="4:8" ht="15.75">
      <c r="D766" s="92"/>
      <c r="E766" s="92"/>
      <c r="F766" s="92"/>
      <c r="G766" s="92"/>
      <c r="H766" s="92"/>
    </row>
    <row r="767" spans="4:8" ht="15.75">
      <c r="D767" s="92"/>
      <c r="E767" s="92"/>
      <c r="F767" s="92"/>
      <c r="G767" s="92"/>
      <c r="H767" s="92"/>
    </row>
    <row r="768" spans="4:8" ht="15.75">
      <c r="D768" s="92"/>
      <c r="E768" s="92"/>
      <c r="F768" s="92"/>
      <c r="G768" s="92"/>
      <c r="H768" s="92"/>
    </row>
    <row r="769" spans="4:8" ht="15.75">
      <c r="D769" s="92"/>
      <c r="E769" s="92"/>
      <c r="F769" s="92"/>
      <c r="G769" s="92"/>
      <c r="H769" s="92"/>
    </row>
    <row r="770" spans="4:8" ht="15.75">
      <c r="D770" s="92"/>
      <c r="E770" s="92"/>
      <c r="F770" s="92"/>
      <c r="G770" s="92"/>
      <c r="H770" s="92"/>
    </row>
    <row r="771" spans="4:8" ht="15.75">
      <c r="D771" s="92"/>
      <c r="E771" s="92"/>
      <c r="F771" s="92"/>
      <c r="G771" s="92"/>
      <c r="H771" s="92"/>
    </row>
    <row r="772" spans="4:8" ht="15.75">
      <c r="D772" s="92"/>
      <c r="E772" s="92"/>
      <c r="F772" s="92"/>
      <c r="G772" s="92"/>
      <c r="H772" s="92"/>
    </row>
    <row r="773" spans="4:8" ht="15.75">
      <c r="D773" s="92"/>
      <c r="E773" s="92"/>
      <c r="F773" s="92"/>
      <c r="G773" s="92"/>
      <c r="H773" s="92"/>
    </row>
    <row r="774" spans="4:8" ht="15.75">
      <c r="D774" s="92"/>
      <c r="E774" s="92"/>
      <c r="F774" s="92"/>
      <c r="G774" s="92"/>
      <c r="H774" s="92"/>
    </row>
    <row r="775" spans="4:8" ht="15.75">
      <c r="D775" s="92"/>
      <c r="E775" s="92"/>
      <c r="F775" s="92"/>
      <c r="G775" s="92"/>
      <c r="H775" s="92"/>
    </row>
    <row r="776" spans="4:8" ht="15.75">
      <c r="D776" s="92"/>
      <c r="E776" s="92"/>
      <c r="F776" s="92"/>
      <c r="G776" s="92"/>
      <c r="H776" s="92"/>
    </row>
    <row r="777" spans="4:8" ht="15.75">
      <c r="D777" s="92"/>
      <c r="E777" s="92"/>
      <c r="F777" s="92"/>
      <c r="G777" s="92"/>
      <c r="H777" s="92"/>
    </row>
    <row r="778" spans="4:8" ht="15.75">
      <c r="D778" s="92"/>
      <c r="E778" s="92"/>
      <c r="F778" s="92"/>
      <c r="G778" s="92"/>
      <c r="H778" s="92"/>
    </row>
    <row r="779" spans="4:8" ht="15.75">
      <c r="D779" s="92"/>
      <c r="E779" s="92"/>
      <c r="F779" s="92"/>
      <c r="G779" s="92"/>
      <c r="H779" s="92"/>
    </row>
    <row r="780" spans="4:8" ht="15.75">
      <c r="D780" s="92"/>
      <c r="E780" s="92"/>
      <c r="F780" s="92"/>
      <c r="G780" s="92"/>
      <c r="H780" s="92"/>
    </row>
    <row r="781" spans="4:8" ht="15.75">
      <c r="D781" s="92"/>
      <c r="E781" s="92"/>
      <c r="F781" s="92"/>
      <c r="G781" s="92"/>
      <c r="H781" s="92"/>
    </row>
    <row r="782" spans="4:8" ht="15.75">
      <c r="D782" s="92"/>
      <c r="E782" s="92"/>
      <c r="F782" s="92"/>
      <c r="G782" s="92"/>
      <c r="H782" s="92"/>
    </row>
    <row r="783" spans="4:8" ht="15.75">
      <c r="D783" s="92"/>
      <c r="E783" s="92"/>
      <c r="F783" s="92"/>
      <c r="G783" s="92"/>
      <c r="H783" s="92"/>
    </row>
    <row r="784" spans="4:8" ht="15.75">
      <c r="D784" s="92"/>
      <c r="E784" s="92"/>
      <c r="F784" s="92"/>
      <c r="G784" s="92"/>
      <c r="H784" s="92"/>
    </row>
    <row r="785" spans="4:8" ht="15.75">
      <c r="D785" s="92"/>
      <c r="E785" s="92"/>
      <c r="F785" s="92"/>
      <c r="G785" s="92"/>
      <c r="H785" s="92"/>
    </row>
    <row r="786" spans="4:8" ht="15.75">
      <c r="D786" s="92"/>
      <c r="E786" s="92"/>
      <c r="F786" s="92"/>
      <c r="G786" s="92"/>
      <c r="H786" s="92"/>
    </row>
    <row r="787" spans="4:8" ht="15.75">
      <c r="D787" s="92"/>
      <c r="E787" s="92"/>
      <c r="F787" s="92"/>
      <c r="G787" s="92"/>
      <c r="H787" s="92"/>
    </row>
    <row r="788" spans="4:8" ht="15.75">
      <c r="D788" s="92"/>
      <c r="E788" s="92"/>
      <c r="F788" s="92"/>
      <c r="G788" s="92"/>
      <c r="H788" s="92"/>
    </row>
    <row r="789" spans="4:8" ht="15.75">
      <c r="D789" s="92"/>
      <c r="E789" s="92"/>
      <c r="F789" s="92"/>
      <c r="G789" s="92"/>
      <c r="H789" s="92"/>
    </row>
    <row r="790" spans="4:8" ht="15.75">
      <c r="D790" s="92"/>
      <c r="E790" s="92"/>
      <c r="F790" s="92"/>
      <c r="G790" s="92"/>
      <c r="H790" s="92"/>
    </row>
    <row r="791" spans="4:8" ht="15.75">
      <c r="D791" s="92"/>
      <c r="E791" s="92"/>
      <c r="F791" s="92"/>
      <c r="G791" s="92"/>
      <c r="H791" s="92"/>
    </row>
    <row r="792" spans="4:8" ht="15.75">
      <c r="D792" s="92"/>
      <c r="E792" s="92"/>
      <c r="F792" s="92"/>
      <c r="G792" s="92"/>
      <c r="H792" s="92"/>
    </row>
    <row r="793" spans="4:8" ht="15.75">
      <c r="D793" s="92"/>
      <c r="E793" s="92"/>
      <c r="F793" s="92"/>
      <c r="G793" s="92"/>
      <c r="H793" s="92"/>
    </row>
    <row r="794" spans="4:8" ht="15.75">
      <c r="D794" s="92"/>
      <c r="E794" s="92"/>
      <c r="F794" s="92"/>
      <c r="G794" s="92"/>
      <c r="H794" s="92"/>
    </row>
    <row r="795" spans="4:8" ht="15.75">
      <c r="D795" s="92"/>
      <c r="E795" s="92"/>
      <c r="F795" s="92"/>
      <c r="G795" s="92"/>
      <c r="H795" s="92"/>
    </row>
    <row r="796" spans="4:8" ht="15.75">
      <c r="D796" s="92"/>
      <c r="E796" s="92"/>
      <c r="F796" s="92"/>
      <c r="G796" s="92"/>
      <c r="H796" s="92"/>
    </row>
    <row r="797" spans="4:8" ht="15.75">
      <c r="D797" s="92"/>
      <c r="E797" s="92"/>
      <c r="F797" s="92"/>
      <c r="G797" s="92"/>
      <c r="H797" s="92"/>
    </row>
    <row r="798" spans="4:8" ht="15.75">
      <c r="D798" s="92"/>
      <c r="E798" s="92"/>
      <c r="F798" s="92"/>
      <c r="G798" s="92"/>
      <c r="H798" s="92"/>
    </row>
    <row r="799" spans="4:8" ht="15.75">
      <c r="D799" s="92"/>
      <c r="E799" s="92"/>
      <c r="F799" s="92"/>
      <c r="G799" s="92"/>
      <c r="H799" s="92"/>
    </row>
    <row r="800" spans="4:8" ht="15.75">
      <c r="D800" s="92"/>
      <c r="E800" s="92"/>
      <c r="F800" s="92"/>
      <c r="G800" s="92"/>
      <c r="H800" s="92"/>
    </row>
    <row r="801" spans="4:8" ht="15.75">
      <c r="D801" s="92"/>
      <c r="E801" s="92"/>
      <c r="F801" s="92"/>
      <c r="G801" s="92"/>
      <c r="H801" s="92"/>
    </row>
    <row r="802" spans="4:8" ht="15.75">
      <c r="D802" s="92"/>
      <c r="E802" s="92"/>
      <c r="F802" s="92"/>
      <c r="G802" s="92"/>
      <c r="H802" s="92"/>
    </row>
    <row r="803" spans="4:8" ht="15.75">
      <c r="D803" s="92"/>
      <c r="E803" s="92"/>
      <c r="F803" s="92"/>
      <c r="G803" s="92"/>
      <c r="H803" s="92"/>
    </row>
    <row r="804" spans="4:8" ht="15.75">
      <c r="D804" s="92"/>
      <c r="E804" s="92"/>
      <c r="F804" s="92"/>
      <c r="G804" s="92"/>
      <c r="H804" s="92"/>
    </row>
    <row r="805" spans="4:8" ht="15.75">
      <c r="D805" s="92"/>
      <c r="E805" s="92"/>
      <c r="F805" s="92"/>
      <c r="G805" s="92"/>
      <c r="H805" s="92"/>
    </row>
    <row r="806" spans="4:8" ht="15.75">
      <c r="D806" s="92"/>
      <c r="E806" s="92"/>
      <c r="F806" s="92"/>
      <c r="G806" s="92"/>
      <c r="H806" s="92"/>
    </row>
    <row r="807" spans="4:8" ht="15.75">
      <c r="D807" s="92"/>
      <c r="E807" s="92"/>
      <c r="F807" s="92"/>
      <c r="G807" s="92"/>
      <c r="H807" s="92"/>
    </row>
    <row r="808" spans="4:8" ht="15.75">
      <c r="D808" s="92"/>
      <c r="E808" s="92"/>
      <c r="F808" s="92"/>
      <c r="G808" s="92"/>
      <c r="H808" s="92"/>
    </row>
    <row r="809" spans="4:8" ht="15.75">
      <c r="D809" s="92"/>
      <c r="E809" s="92"/>
      <c r="F809" s="92"/>
      <c r="G809" s="92"/>
      <c r="H809" s="92"/>
    </row>
    <row r="810" spans="4:8" ht="15.75">
      <c r="D810" s="92"/>
      <c r="E810" s="92"/>
      <c r="F810" s="92"/>
      <c r="G810" s="92"/>
      <c r="H810" s="92"/>
    </row>
    <row r="811" spans="4:8" ht="15.75">
      <c r="D811" s="92"/>
      <c r="E811" s="92"/>
      <c r="F811" s="92"/>
      <c r="G811" s="92"/>
      <c r="H811" s="92"/>
    </row>
    <row r="812" spans="4:8" ht="15.75">
      <c r="D812" s="92"/>
      <c r="E812" s="92"/>
      <c r="F812" s="92"/>
      <c r="G812" s="92"/>
      <c r="H812" s="92"/>
    </row>
    <row r="813" spans="4:8" ht="15.75">
      <c r="D813" s="92"/>
      <c r="E813" s="92"/>
      <c r="F813" s="92"/>
      <c r="G813" s="92"/>
      <c r="H813" s="92"/>
    </row>
    <row r="814" spans="4:8" ht="15.75">
      <c r="D814" s="92"/>
      <c r="E814" s="92"/>
      <c r="F814" s="92"/>
      <c r="G814" s="92"/>
      <c r="H814" s="92"/>
    </row>
    <row r="815" spans="4:8" ht="15.75">
      <c r="D815" s="92"/>
      <c r="E815" s="92"/>
      <c r="F815" s="92"/>
      <c r="G815" s="92"/>
      <c r="H815" s="92"/>
    </row>
    <row r="816" spans="4:8" ht="15.75">
      <c r="D816" s="92"/>
      <c r="E816" s="92"/>
      <c r="F816" s="92"/>
      <c r="G816" s="92"/>
      <c r="H816" s="92"/>
    </row>
    <row r="817" spans="4:8" ht="15.75">
      <c r="D817" s="92"/>
      <c r="E817" s="92"/>
      <c r="F817" s="92"/>
      <c r="G817" s="92"/>
      <c r="H817" s="92"/>
    </row>
    <row r="818" spans="4:8" ht="15.75">
      <c r="D818" s="92"/>
      <c r="E818" s="92"/>
      <c r="F818" s="92"/>
      <c r="G818" s="92"/>
      <c r="H818" s="92"/>
    </row>
    <row r="819" spans="4:8" ht="15.75">
      <c r="D819" s="92"/>
      <c r="E819" s="92"/>
      <c r="F819" s="92"/>
      <c r="G819" s="92"/>
      <c r="H819" s="92"/>
    </row>
    <row r="820" spans="4:8" ht="15.75">
      <c r="D820" s="92"/>
      <c r="E820" s="92"/>
      <c r="F820" s="92"/>
      <c r="G820" s="92"/>
      <c r="H820" s="92"/>
    </row>
    <row r="821" spans="4:8" ht="15.75">
      <c r="D821" s="92"/>
      <c r="E821" s="92"/>
      <c r="F821" s="92"/>
      <c r="G821" s="92"/>
      <c r="H821" s="92"/>
    </row>
    <row r="822" spans="4:8" ht="15.75">
      <c r="D822" s="92"/>
      <c r="E822" s="92"/>
      <c r="F822" s="92"/>
      <c r="G822" s="92"/>
      <c r="H822" s="92"/>
    </row>
    <row r="823" spans="4:8" ht="15.75">
      <c r="D823" s="92"/>
      <c r="E823" s="92"/>
      <c r="F823" s="92"/>
      <c r="G823" s="92"/>
      <c r="H823" s="92"/>
    </row>
    <row r="824" spans="4:8" ht="15.75">
      <c r="D824" s="92"/>
      <c r="E824" s="92"/>
      <c r="F824" s="92"/>
      <c r="G824" s="92"/>
      <c r="H824" s="92"/>
    </row>
    <row r="825" spans="4:8" ht="15.75">
      <c r="D825" s="92"/>
      <c r="E825" s="92"/>
      <c r="F825" s="92"/>
      <c r="G825" s="92"/>
      <c r="H825" s="92"/>
    </row>
    <row r="826" spans="4:8" ht="15.75">
      <c r="D826" s="92"/>
      <c r="E826" s="92"/>
      <c r="F826" s="92"/>
      <c r="G826" s="92"/>
      <c r="H826" s="92"/>
    </row>
    <row r="827" spans="4:8" ht="15.75">
      <c r="D827" s="92"/>
      <c r="E827" s="92"/>
      <c r="F827" s="92"/>
      <c r="G827" s="92"/>
      <c r="H827" s="92"/>
    </row>
    <row r="828" spans="4:8" ht="15.75">
      <c r="D828" s="92"/>
      <c r="E828" s="92"/>
      <c r="F828" s="92"/>
      <c r="G828" s="92"/>
      <c r="H828" s="92"/>
    </row>
    <row r="829" spans="4:8" ht="15.75">
      <c r="D829" s="92"/>
      <c r="E829" s="92"/>
      <c r="F829" s="92"/>
      <c r="G829" s="92"/>
      <c r="H829" s="92"/>
    </row>
    <row r="830" spans="4:8" ht="15.75">
      <c r="D830" s="92"/>
      <c r="E830" s="92"/>
      <c r="F830" s="92"/>
      <c r="G830" s="92"/>
      <c r="H830" s="92"/>
    </row>
    <row r="831" spans="4:8" ht="15.75">
      <c r="D831" s="92"/>
      <c r="E831" s="92"/>
      <c r="F831" s="92"/>
      <c r="G831" s="92"/>
      <c r="H831" s="92"/>
    </row>
    <row r="832" spans="4:8" ht="15.75">
      <c r="D832" s="92"/>
      <c r="E832" s="92"/>
      <c r="F832" s="92"/>
      <c r="G832" s="92"/>
      <c r="H832" s="92"/>
    </row>
    <row r="833" spans="4:8" ht="15.75">
      <c r="D833" s="92"/>
      <c r="E833" s="92"/>
      <c r="F833" s="92"/>
      <c r="G833" s="92"/>
      <c r="H833" s="92"/>
    </row>
    <row r="834" spans="4:8" ht="15.75">
      <c r="D834" s="92"/>
      <c r="E834" s="92"/>
      <c r="F834" s="92"/>
      <c r="G834" s="92"/>
      <c r="H834" s="92"/>
    </row>
    <row r="835" spans="4:8" ht="15.75">
      <c r="D835" s="92"/>
      <c r="E835" s="92"/>
      <c r="F835" s="92"/>
      <c r="G835" s="92"/>
      <c r="H835" s="92"/>
    </row>
    <row r="836" spans="4:8" ht="15.75">
      <c r="D836" s="92"/>
      <c r="E836" s="92"/>
      <c r="F836" s="92"/>
      <c r="G836" s="92"/>
      <c r="H836" s="92"/>
    </row>
    <row r="837" spans="4:8" ht="15.75">
      <c r="D837" s="92"/>
      <c r="E837" s="92"/>
      <c r="F837" s="92"/>
      <c r="G837" s="92"/>
      <c r="H837" s="92"/>
    </row>
    <row r="838" spans="4:8" ht="15.75">
      <c r="D838" s="92"/>
      <c r="E838" s="92"/>
      <c r="F838" s="92"/>
      <c r="G838" s="92"/>
      <c r="H838" s="92"/>
    </row>
    <row r="839" spans="4:8" ht="15.75">
      <c r="D839" s="92"/>
      <c r="E839" s="92"/>
      <c r="F839" s="92"/>
      <c r="G839" s="92"/>
      <c r="H839" s="92"/>
    </row>
    <row r="840" spans="4:8" ht="15.75">
      <c r="D840" s="92"/>
      <c r="E840" s="92"/>
      <c r="F840" s="92"/>
      <c r="G840" s="92"/>
      <c r="H840" s="92"/>
    </row>
    <row r="841" spans="4:8" ht="15.75">
      <c r="D841" s="92"/>
      <c r="E841" s="92"/>
      <c r="F841" s="92"/>
      <c r="G841" s="92"/>
      <c r="H841" s="92"/>
    </row>
    <row r="842" spans="4:8" ht="15.75">
      <c r="D842" s="92"/>
      <c r="E842" s="92"/>
      <c r="F842" s="92"/>
      <c r="G842" s="92"/>
      <c r="H842" s="92"/>
    </row>
    <row r="843" spans="4:8" ht="15.75">
      <c r="D843" s="92"/>
      <c r="E843" s="92"/>
      <c r="F843" s="92"/>
      <c r="G843" s="92"/>
      <c r="H843" s="92"/>
    </row>
    <row r="844" spans="4:8" ht="15.75">
      <c r="D844" s="92"/>
      <c r="E844" s="92"/>
      <c r="F844" s="92"/>
      <c r="G844" s="92"/>
      <c r="H844" s="92"/>
    </row>
    <row r="845" spans="4:8" ht="15.75">
      <c r="D845" s="92"/>
      <c r="E845" s="92"/>
      <c r="F845" s="92"/>
      <c r="G845" s="92"/>
      <c r="H845" s="92"/>
    </row>
    <row r="846" spans="4:8" ht="15.75">
      <c r="D846" s="92"/>
      <c r="E846" s="92"/>
      <c r="F846" s="92"/>
      <c r="G846" s="92"/>
      <c r="H846" s="92"/>
    </row>
    <row r="847" spans="4:8" ht="15.75">
      <c r="D847" s="92"/>
      <c r="E847" s="92"/>
      <c r="F847" s="92"/>
      <c r="G847" s="92"/>
      <c r="H847" s="92"/>
    </row>
    <row r="848" spans="4:8" ht="15.75">
      <c r="D848" s="92"/>
      <c r="E848" s="92"/>
      <c r="F848" s="92"/>
      <c r="G848" s="92"/>
      <c r="H848" s="92"/>
    </row>
    <row r="849" spans="4:8" ht="15.75">
      <c r="D849" s="92"/>
      <c r="E849" s="92"/>
      <c r="F849" s="92"/>
      <c r="G849" s="92"/>
      <c r="H849" s="92"/>
    </row>
    <row r="850" spans="4:8" ht="15.75">
      <c r="D850" s="92"/>
      <c r="E850" s="92"/>
      <c r="F850" s="92"/>
      <c r="G850" s="92"/>
      <c r="H850" s="92"/>
    </row>
    <row r="851" spans="4:8" ht="15.75">
      <c r="D851" s="92"/>
      <c r="E851" s="92"/>
      <c r="F851" s="92"/>
      <c r="G851" s="92"/>
      <c r="H851" s="92"/>
    </row>
    <row r="852" spans="4:8" ht="15.75">
      <c r="D852" s="92"/>
      <c r="E852" s="92"/>
      <c r="F852" s="92"/>
      <c r="G852" s="92"/>
      <c r="H852" s="92"/>
    </row>
    <row r="853" spans="4:8" ht="15.75">
      <c r="D853" s="92"/>
      <c r="E853" s="92"/>
      <c r="F853" s="92"/>
      <c r="G853" s="92"/>
      <c r="H853" s="92"/>
    </row>
    <row r="854" spans="4:8" ht="15.75">
      <c r="D854" s="92"/>
      <c r="E854" s="92"/>
      <c r="F854" s="92"/>
      <c r="G854" s="92"/>
      <c r="H854" s="92"/>
    </row>
    <row r="855" spans="4:8" ht="15.75">
      <c r="D855" s="92"/>
      <c r="E855" s="92"/>
      <c r="F855" s="92"/>
      <c r="G855" s="92"/>
      <c r="H855" s="92"/>
    </row>
    <row r="856" spans="4:8" ht="15.75">
      <c r="D856" s="92"/>
      <c r="E856" s="92"/>
      <c r="F856" s="92"/>
      <c r="G856" s="92"/>
      <c r="H856" s="92"/>
    </row>
    <row r="857" spans="4:8" ht="15.75">
      <c r="D857" s="92"/>
      <c r="E857" s="92"/>
      <c r="F857" s="92"/>
      <c r="G857" s="92"/>
      <c r="H857" s="92"/>
    </row>
    <row r="858" spans="4:8" ht="15.75">
      <c r="D858" s="92"/>
      <c r="E858" s="92"/>
      <c r="F858" s="92"/>
      <c r="G858" s="92"/>
      <c r="H858" s="92"/>
    </row>
    <row r="859" spans="4:8" ht="15.75">
      <c r="D859" s="92"/>
      <c r="E859" s="92"/>
      <c r="F859" s="92"/>
      <c r="G859" s="92"/>
      <c r="H859" s="92"/>
    </row>
    <row r="860" spans="4:8" ht="15.75">
      <c r="D860" s="92"/>
      <c r="E860" s="92"/>
      <c r="F860" s="92"/>
      <c r="G860" s="92"/>
      <c r="H860" s="92"/>
    </row>
    <row r="861" spans="4:8" ht="15.75">
      <c r="D861" s="92"/>
      <c r="E861" s="92"/>
      <c r="F861" s="92"/>
      <c r="G861" s="92"/>
      <c r="H861" s="92"/>
    </row>
    <row r="862" spans="4:8" ht="15.75">
      <c r="D862" s="92"/>
      <c r="E862" s="92"/>
      <c r="F862" s="92"/>
      <c r="G862" s="92"/>
      <c r="H862" s="92"/>
    </row>
    <row r="863" spans="4:8" ht="15.75">
      <c r="D863" s="92"/>
      <c r="E863" s="92"/>
      <c r="F863" s="92"/>
      <c r="G863" s="92"/>
      <c r="H863" s="92"/>
    </row>
    <row r="864" spans="4:8" ht="15.75">
      <c r="D864" s="92"/>
      <c r="E864" s="92"/>
      <c r="F864" s="92"/>
      <c r="G864" s="92"/>
      <c r="H864" s="92"/>
    </row>
    <row r="865" spans="4:8" ht="15.75">
      <c r="D865" s="92"/>
      <c r="E865" s="92"/>
      <c r="F865" s="92"/>
      <c r="G865" s="92"/>
      <c r="H865" s="92"/>
    </row>
    <row r="866" spans="4:8" ht="15.75">
      <c r="D866" s="92"/>
      <c r="E866" s="92"/>
      <c r="F866" s="92"/>
      <c r="G866" s="92"/>
      <c r="H866" s="92"/>
    </row>
    <row r="867" spans="4:8" ht="15.75">
      <c r="D867" s="92"/>
      <c r="E867" s="92"/>
      <c r="F867" s="92"/>
      <c r="G867" s="92"/>
      <c r="H867" s="92"/>
    </row>
    <row r="868" spans="4:8" ht="15.75">
      <c r="D868" s="92"/>
      <c r="E868" s="92"/>
      <c r="F868" s="92"/>
      <c r="G868" s="92"/>
      <c r="H868" s="92"/>
    </row>
    <row r="869" spans="4:8" ht="15.75">
      <c r="D869" s="92"/>
      <c r="E869" s="92"/>
      <c r="F869" s="92"/>
      <c r="G869" s="92"/>
      <c r="H869" s="92"/>
    </row>
    <row r="870" spans="4:8" ht="15.75">
      <c r="D870" s="92"/>
      <c r="E870" s="92"/>
      <c r="F870" s="92"/>
      <c r="G870" s="92"/>
      <c r="H870" s="92"/>
    </row>
    <row r="871" spans="4:8" ht="15.75">
      <c r="D871" s="92"/>
      <c r="E871" s="92"/>
      <c r="F871" s="92"/>
      <c r="G871" s="92"/>
      <c r="H871" s="92"/>
    </row>
    <row r="872" spans="4:8" ht="15.75">
      <c r="D872" s="92"/>
      <c r="E872" s="92"/>
      <c r="F872" s="92"/>
      <c r="G872" s="92"/>
      <c r="H872" s="92"/>
    </row>
    <row r="873" spans="4:8" ht="15.75">
      <c r="D873" s="92"/>
      <c r="E873" s="92"/>
      <c r="F873" s="92"/>
      <c r="G873" s="92"/>
      <c r="H873" s="92"/>
    </row>
    <row r="874" spans="4:8" ht="15.75">
      <c r="D874" s="92"/>
      <c r="E874" s="92"/>
      <c r="F874" s="92"/>
      <c r="G874" s="92"/>
      <c r="H874" s="92"/>
    </row>
    <row r="875" spans="4:8" ht="15.75">
      <c r="D875" s="92"/>
      <c r="E875" s="92"/>
      <c r="F875" s="92"/>
      <c r="G875" s="92"/>
      <c r="H875" s="92"/>
    </row>
    <row r="876" spans="4:8" ht="15.75">
      <c r="D876" s="92"/>
      <c r="E876" s="92"/>
      <c r="F876" s="92"/>
      <c r="G876" s="92"/>
      <c r="H876" s="92"/>
    </row>
    <row r="877" spans="4:8" ht="15.75">
      <c r="D877" s="92"/>
      <c r="E877" s="92"/>
      <c r="F877" s="92"/>
      <c r="G877" s="92"/>
      <c r="H877" s="92"/>
    </row>
    <row r="878" spans="4:8" ht="15.75">
      <c r="D878" s="92"/>
      <c r="E878" s="92"/>
      <c r="F878" s="92"/>
      <c r="G878" s="92"/>
      <c r="H878" s="92"/>
    </row>
    <row r="879" spans="4:8" ht="15.75">
      <c r="D879" s="92"/>
      <c r="E879" s="92"/>
      <c r="F879" s="92"/>
      <c r="G879" s="92"/>
      <c r="H879" s="92"/>
    </row>
    <row r="880" spans="4:8" ht="15.75">
      <c r="D880" s="92"/>
      <c r="E880" s="92"/>
      <c r="F880" s="92"/>
      <c r="G880" s="92"/>
      <c r="H880" s="92"/>
    </row>
    <row r="881" spans="4:8" ht="15.75">
      <c r="D881" s="92"/>
      <c r="E881" s="92"/>
      <c r="F881" s="92"/>
      <c r="G881" s="92"/>
      <c r="H881" s="92"/>
    </row>
    <row r="882" spans="4:8" ht="15.75">
      <c r="D882" s="92"/>
      <c r="E882" s="92"/>
      <c r="F882" s="92"/>
      <c r="G882" s="92"/>
      <c r="H882" s="92"/>
    </row>
    <row r="883" spans="4:8" ht="15.75">
      <c r="D883" s="92"/>
      <c r="E883" s="92"/>
      <c r="F883" s="92"/>
      <c r="G883" s="92"/>
      <c r="H883" s="92"/>
    </row>
    <row r="884" spans="4:8" ht="15.75">
      <c r="D884" s="92"/>
      <c r="E884" s="92"/>
      <c r="F884" s="92"/>
      <c r="G884" s="92"/>
      <c r="H884" s="92"/>
    </row>
    <row r="885" spans="4:8" ht="15.75">
      <c r="D885" s="92"/>
      <c r="E885" s="92"/>
      <c r="F885" s="92"/>
      <c r="G885" s="92"/>
      <c r="H885" s="92"/>
    </row>
    <row r="886" spans="4:8" ht="15.75">
      <c r="D886" s="92"/>
      <c r="E886" s="92"/>
      <c r="F886" s="92"/>
      <c r="G886" s="92"/>
      <c r="H886" s="92"/>
    </row>
    <row r="887" spans="4:8" ht="15.75">
      <c r="D887" s="92"/>
      <c r="E887" s="92"/>
      <c r="F887" s="92"/>
      <c r="G887" s="92"/>
      <c r="H887" s="92"/>
    </row>
    <row r="888" spans="4:8" ht="15.75">
      <c r="D888" s="92"/>
      <c r="E888" s="92"/>
      <c r="F888" s="92"/>
      <c r="G888" s="92"/>
      <c r="H888" s="92"/>
    </row>
    <row r="889" spans="4:8" ht="15.75">
      <c r="D889" s="92"/>
      <c r="E889" s="92"/>
      <c r="F889" s="92"/>
      <c r="G889" s="92"/>
      <c r="H889" s="92"/>
    </row>
    <row r="890" spans="4:8" ht="15.75">
      <c r="D890" s="92"/>
      <c r="E890" s="92"/>
      <c r="F890" s="92"/>
      <c r="G890" s="92"/>
      <c r="H890" s="92"/>
    </row>
    <row r="891" spans="4:8" ht="15.75">
      <c r="D891" s="92"/>
      <c r="E891" s="92"/>
      <c r="F891" s="92"/>
      <c r="G891" s="92"/>
      <c r="H891" s="92"/>
    </row>
    <row r="892" spans="4:8" ht="15.75">
      <c r="D892" s="92"/>
      <c r="E892" s="92"/>
      <c r="F892" s="92"/>
      <c r="G892" s="92"/>
      <c r="H892" s="92"/>
    </row>
    <row r="893" spans="4:8" ht="15.75">
      <c r="D893" s="92"/>
      <c r="E893" s="92"/>
      <c r="F893" s="92"/>
      <c r="G893" s="92"/>
      <c r="H893" s="92"/>
    </row>
    <row r="894" spans="4:8" ht="15.75">
      <c r="D894" s="92"/>
      <c r="E894" s="92"/>
      <c r="F894" s="92"/>
      <c r="G894" s="92"/>
      <c r="H894" s="92"/>
    </row>
    <row r="895" spans="4:8" ht="15.75">
      <c r="D895" s="92"/>
      <c r="E895" s="92"/>
      <c r="F895" s="92"/>
      <c r="G895" s="92"/>
      <c r="H895" s="92"/>
    </row>
    <row r="896" spans="4:8" ht="15.75">
      <c r="D896" s="92"/>
      <c r="E896" s="92"/>
      <c r="F896" s="92"/>
      <c r="G896" s="92"/>
      <c r="H896" s="92"/>
    </row>
    <row r="897" spans="4:8" ht="15.75">
      <c r="D897" s="92"/>
      <c r="E897" s="92"/>
      <c r="F897" s="92"/>
      <c r="G897" s="92"/>
      <c r="H897" s="92"/>
    </row>
    <row r="898" spans="4:8" ht="15.75">
      <c r="D898" s="92"/>
      <c r="E898" s="92"/>
      <c r="F898" s="92"/>
      <c r="G898" s="92"/>
      <c r="H898" s="92"/>
    </row>
    <row r="899" spans="4:8" ht="15.75">
      <c r="D899" s="92"/>
      <c r="E899" s="92"/>
      <c r="F899" s="92"/>
      <c r="G899" s="92"/>
      <c r="H899" s="92"/>
    </row>
    <row r="900" spans="4:8" ht="15.75">
      <c r="D900" s="92"/>
      <c r="E900" s="92"/>
      <c r="F900" s="92"/>
      <c r="G900" s="92"/>
      <c r="H900" s="92"/>
    </row>
    <row r="901" spans="4:8" ht="15.75">
      <c r="D901" s="92"/>
      <c r="E901" s="92"/>
      <c r="F901" s="92"/>
      <c r="G901" s="92"/>
      <c r="H901" s="92"/>
    </row>
    <row r="902" spans="4:8" ht="15.75">
      <c r="D902" s="92"/>
      <c r="E902" s="92"/>
      <c r="F902" s="92"/>
      <c r="G902" s="92"/>
      <c r="H902" s="92"/>
    </row>
    <row r="903" spans="4:8" ht="15.75">
      <c r="D903" s="92"/>
      <c r="E903" s="92"/>
      <c r="F903" s="92"/>
      <c r="G903" s="92"/>
      <c r="H903" s="92"/>
    </row>
    <row r="904" spans="4:8" ht="15.75">
      <c r="D904" s="92"/>
      <c r="E904" s="92"/>
      <c r="F904" s="92"/>
      <c r="G904" s="92"/>
      <c r="H904" s="92"/>
    </row>
    <row r="905" spans="4:8" ht="15.75">
      <c r="D905" s="92"/>
      <c r="E905" s="92"/>
      <c r="F905" s="92"/>
      <c r="G905" s="92"/>
      <c r="H905" s="92"/>
    </row>
    <row r="906" spans="4:8" ht="15.75">
      <c r="D906" s="92"/>
      <c r="E906" s="92"/>
      <c r="F906" s="92"/>
      <c r="G906" s="92"/>
      <c r="H906" s="92"/>
    </row>
    <row r="907" spans="4:8" ht="15.75">
      <c r="D907" s="92"/>
      <c r="E907" s="92"/>
      <c r="F907" s="92"/>
      <c r="G907" s="92"/>
      <c r="H907" s="92"/>
    </row>
    <row r="908" spans="4:8" ht="15.75">
      <c r="D908" s="92"/>
      <c r="E908" s="92"/>
      <c r="F908" s="92"/>
      <c r="G908" s="92"/>
      <c r="H908" s="92"/>
    </row>
    <row r="909" spans="4:8" ht="15.75">
      <c r="D909" s="92"/>
      <c r="E909" s="92"/>
      <c r="F909" s="92"/>
      <c r="G909" s="92"/>
      <c r="H909" s="92"/>
    </row>
    <row r="910" spans="4:8" ht="15.75">
      <c r="D910" s="92"/>
      <c r="E910" s="92"/>
      <c r="F910" s="92"/>
      <c r="G910" s="92"/>
      <c r="H910" s="92"/>
    </row>
    <row r="911" spans="4:8" ht="15.75">
      <c r="D911" s="92"/>
      <c r="E911" s="92"/>
      <c r="F911" s="92"/>
      <c r="G911" s="92"/>
      <c r="H911" s="92"/>
    </row>
    <row r="912" spans="4:8" ht="15.75">
      <c r="D912" s="92"/>
      <c r="E912" s="92"/>
      <c r="F912" s="92"/>
      <c r="G912" s="92"/>
      <c r="H912" s="92"/>
    </row>
    <row r="913" spans="4:8" ht="15.75">
      <c r="D913" s="92"/>
      <c r="E913" s="92"/>
      <c r="F913" s="92"/>
      <c r="G913" s="92"/>
      <c r="H913" s="92"/>
    </row>
    <row r="914" spans="4:8" ht="15.75">
      <c r="D914" s="92"/>
      <c r="E914" s="92"/>
      <c r="F914" s="92"/>
      <c r="G914" s="92"/>
      <c r="H914" s="92"/>
    </row>
    <row r="915" spans="4:8" ht="15.75">
      <c r="D915" s="92"/>
      <c r="E915" s="92"/>
      <c r="F915" s="92"/>
      <c r="G915" s="92"/>
      <c r="H915" s="92"/>
    </row>
    <row r="916" spans="4:8" ht="15.75">
      <c r="D916" s="92"/>
      <c r="E916" s="92"/>
      <c r="F916" s="92"/>
      <c r="G916" s="92"/>
      <c r="H916" s="92"/>
    </row>
    <row r="917" spans="4:8" ht="15.75">
      <c r="D917" s="92"/>
      <c r="E917" s="92"/>
      <c r="F917" s="92"/>
      <c r="G917" s="92"/>
      <c r="H917" s="92"/>
    </row>
    <row r="918" spans="4:8" ht="15.75">
      <c r="D918" s="92"/>
      <c r="E918" s="92"/>
      <c r="F918" s="92"/>
      <c r="G918" s="92"/>
      <c r="H918" s="92"/>
    </row>
    <row r="919" spans="4:8" ht="15.75">
      <c r="D919" s="92"/>
      <c r="E919" s="92"/>
      <c r="F919" s="92"/>
      <c r="G919" s="92"/>
      <c r="H919" s="92"/>
    </row>
    <row r="920" spans="4:8" ht="15.75">
      <c r="D920" s="92"/>
      <c r="E920" s="92"/>
      <c r="F920" s="92"/>
      <c r="G920" s="92"/>
      <c r="H920" s="92"/>
    </row>
    <row r="921" spans="4:8" ht="15.75">
      <c r="D921" s="92"/>
      <c r="E921" s="92"/>
      <c r="F921" s="92"/>
      <c r="G921" s="92"/>
      <c r="H921" s="92"/>
    </row>
    <row r="922" spans="4:8" ht="15.75">
      <c r="D922" s="92"/>
      <c r="E922" s="92"/>
      <c r="F922" s="92"/>
      <c r="G922" s="92"/>
      <c r="H922" s="92"/>
    </row>
    <row r="923" spans="4:8" ht="15.75">
      <c r="D923" s="92"/>
      <c r="E923" s="92"/>
      <c r="F923" s="92"/>
      <c r="G923" s="92"/>
      <c r="H923" s="92"/>
    </row>
    <row r="924" spans="4:8" ht="15.75">
      <c r="D924" s="92"/>
      <c r="E924" s="92"/>
      <c r="F924" s="92"/>
      <c r="G924" s="92"/>
      <c r="H924" s="92"/>
    </row>
    <row r="925" spans="4:8" ht="15.75">
      <c r="D925" s="92"/>
      <c r="E925" s="92"/>
      <c r="F925" s="92"/>
      <c r="G925" s="92"/>
      <c r="H925" s="92"/>
    </row>
    <row r="926" spans="4:8" ht="15.75">
      <c r="D926" s="92"/>
      <c r="E926" s="92"/>
      <c r="F926" s="92"/>
      <c r="G926" s="92"/>
      <c r="H926" s="92"/>
    </row>
    <row r="927" spans="4:8" ht="15.75">
      <c r="D927" s="92"/>
      <c r="E927" s="92"/>
      <c r="F927" s="92"/>
      <c r="G927" s="92"/>
      <c r="H927" s="92"/>
    </row>
    <row r="928" spans="4:8" ht="15.75">
      <c r="D928" s="92"/>
      <c r="E928" s="92"/>
      <c r="F928" s="92"/>
      <c r="G928" s="92"/>
      <c r="H928" s="92"/>
    </row>
    <row r="929" spans="4:8" ht="15.75">
      <c r="D929" s="92"/>
      <c r="E929" s="92"/>
      <c r="F929" s="92"/>
      <c r="G929" s="92"/>
      <c r="H929" s="92"/>
    </row>
    <row r="930" spans="4:8" ht="15.75">
      <c r="D930" s="92"/>
      <c r="E930" s="92"/>
      <c r="F930" s="92"/>
      <c r="G930" s="92"/>
      <c r="H930" s="92"/>
    </row>
    <row r="931" spans="4:8" ht="15.75">
      <c r="D931" s="92"/>
      <c r="E931" s="92"/>
      <c r="F931" s="92"/>
      <c r="G931" s="92"/>
      <c r="H931" s="92"/>
    </row>
    <row r="932" spans="4:8" ht="15.75">
      <c r="D932" s="92"/>
      <c r="E932" s="92"/>
      <c r="F932" s="92"/>
      <c r="G932" s="92"/>
      <c r="H932" s="92"/>
    </row>
    <row r="933" spans="4:8" ht="15.75">
      <c r="D933" s="92"/>
      <c r="E933" s="92"/>
      <c r="F933" s="92"/>
      <c r="G933" s="92"/>
      <c r="H933" s="92"/>
    </row>
    <row r="934" spans="4:8" ht="15.75">
      <c r="D934" s="92"/>
      <c r="E934" s="92"/>
      <c r="F934" s="92"/>
      <c r="G934" s="92"/>
      <c r="H934" s="92"/>
    </row>
    <row r="935" spans="4:8" ht="15.75">
      <c r="D935" s="92"/>
      <c r="E935" s="92"/>
      <c r="F935" s="92"/>
      <c r="G935" s="92"/>
      <c r="H935" s="92"/>
    </row>
    <row r="936" spans="4:8" ht="15.75">
      <c r="D936" s="92"/>
      <c r="E936" s="92"/>
      <c r="F936" s="92"/>
      <c r="G936" s="92"/>
      <c r="H936" s="92"/>
    </row>
    <row r="937" spans="4:8" ht="15.75">
      <c r="D937" s="92"/>
      <c r="E937" s="92"/>
      <c r="F937" s="92"/>
      <c r="G937" s="92"/>
      <c r="H937" s="92"/>
    </row>
    <row r="938" spans="4:8" ht="15.75">
      <c r="D938" s="92"/>
      <c r="E938" s="92"/>
      <c r="F938" s="92"/>
      <c r="G938" s="92"/>
      <c r="H938" s="92"/>
    </row>
    <row r="939" spans="4:8" ht="15.75">
      <c r="D939" s="92"/>
      <c r="E939" s="92"/>
      <c r="F939" s="92"/>
      <c r="G939" s="92"/>
      <c r="H939" s="92"/>
    </row>
    <row r="940" spans="4:8" ht="15.75">
      <c r="D940" s="92"/>
      <c r="E940" s="92"/>
      <c r="F940" s="92"/>
      <c r="G940" s="92"/>
      <c r="H940" s="92"/>
    </row>
    <row r="941" spans="4:8" ht="15.75">
      <c r="D941" s="92"/>
      <c r="E941" s="92"/>
      <c r="F941" s="92"/>
      <c r="G941" s="92"/>
      <c r="H941" s="92"/>
    </row>
    <row r="942" spans="4:8" ht="15.75">
      <c r="D942" s="92"/>
      <c r="E942" s="92"/>
      <c r="F942" s="92"/>
      <c r="G942" s="92"/>
      <c r="H942" s="92"/>
    </row>
    <row r="943" spans="4:8" ht="15.75">
      <c r="D943" s="92"/>
      <c r="E943" s="92"/>
      <c r="F943" s="92"/>
      <c r="G943" s="92"/>
      <c r="H943" s="92"/>
    </row>
    <row r="944" spans="4:8" ht="15.75">
      <c r="D944" s="92"/>
      <c r="E944" s="92"/>
      <c r="F944" s="92"/>
      <c r="G944" s="92"/>
      <c r="H944" s="92"/>
    </row>
    <row r="945" spans="4:8" ht="15.75">
      <c r="D945" s="92"/>
      <c r="E945" s="92"/>
      <c r="F945" s="92"/>
      <c r="G945" s="92"/>
      <c r="H945" s="92"/>
    </row>
    <row r="946" spans="4:8" ht="15.75">
      <c r="D946" s="92"/>
      <c r="E946" s="92"/>
      <c r="F946" s="92"/>
      <c r="G946" s="92"/>
      <c r="H946" s="92"/>
    </row>
    <row r="947" spans="4:8" ht="15.75">
      <c r="D947" s="92"/>
      <c r="E947" s="92"/>
      <c r="F947" s="92"/>
      <c r="G947" s="92"/>
      <c r="H947" s="92"/>
    </row>
    <row r="948" spans="4:8" ht="15.75">
      <c r="D948" s="92"/>
      <c r="E948" s="92"/>
      <c r="F948" s="92"/>
      <c r="G948" s="92"/>
      <c r="H948" s="92"/>
    </row>
    <row r="949" spans="4:8" ht="15.75">
      <c r="D949" s="92"/>
      <c r="E949" s="92"/>
      <c r="F949" s="92"/>
      <c r="G949" s="92"/>
      <c r="H949" s="92"/>
    </row>
    <row r="950" spans="4:8" ht="15.75">
      <c r="D950" s="92"/>
      <c r="E950" s="92"/>
      <c r="F950" s="92"/>
      <c r="G950" s="92"/>
      <c r="H950" s="92"/>
    </row>
    <row r="951" spans="4:8" ht="15.75">
      <c r="D951" s="92"/>
      <c r="E951" s="92"/>
      <c r="F951" s="92"/>
      <c r="G951" s="92"/>
      <c r="H951" s="92"/>
    </row>
    <row r="952" spans="4:8" ht="15.75">
      <c r="D952" s="92"/>
      <c r="E952" s="92"/>
      <c r="F952" s="92"/>
      <c r="G952" s="92"/>
      <c r="H952" s="92"/>
    </row>
    <row r="953" spans="4:8" ht="15.75">
      <c r="D953" s="92"/>
      <c r="E953" s="92"/>
      <c r="F953" s="92"/>
      <c r="G953" s="92"/>
      <c r="H953" s="92"/>
    </row>
    <row r="954" spans="4:8" ht="15.75">
      <c r="D954" s="92"/>
      <c r="E954" s="92"/>
      <c r="F954" s="92"/>
      <c r="G954" s="92"/>
      <c r="H954" s="92"/>
    </row>
    <row r="955" spans="4:8" ht="15.75">
      <c r="D955" s="92"/>
      <c r="E955" s="92"/>
      <c r="F955" s="92"/>
      <c r="G955" s="92"/>
      <c r="H955" s="92"/>
    </row>
    <row r="956" spans="4:8" ht="15.75">
      <c r="D956" s="92"/>
      <c r="E956" s="92"/>
      <c r="F956" s="92"/>
      <c r="G956" s="92"/>
      <c r="H956" s="92"/>
    </row>
    <row r="957" spans="4:8" ht="15.75">
      <c r="D957" s="92"/>
      <c r="E957" s="92"/>
      <c r="F957" s="92"/>
      <c r="G957" s="92"/>
      <c r="H957" s="92"/>
    </row>
    <row r="958" spans="4:8" ht="15.75">
      <c r="D958" s="92"/>
      <c r="E958" s="92"/>
      <c r="F958" s="92"/>
      <c r="G958" s="92"/>
      <c r="H958" s="92"/>
    </row>
    <row r="959" spans="4:8" ht="15.75">
      <c r="D959" s="92"/>
      <c r="E959" s="92"/>
      <c r="F959" s="92"/>
      <c r="G959" s="92"/>
      <c r="H959" s="92"/>
    </row>
  </sheetData>
  <mergeCells count="33">
    <mergeCell ref="D4:H4"/>
    <mergeCell ref="D5:H5"/>
    <mergeCell ref="D6:H6"/>
    <mergeCell ref="D7:H7"/>
    <mergeCell ref="D13:H13"/>
    <mergeCell ref="D14:H14"/>
    <mergeCell ref="D15:H15"/>
    <mergeCell ref="B21:B22"/>
    <mergeCell ref="B23:B24"/>
    <mergeCell ref="B25:B28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27:H27"/>
    <mergeCell ref="D28:H28"/>
    <mergeCell ref="D29:H29"/>
    <mergeCell ref="D132:G132"/>
    <mergeCell ref="D133:G133"/>
    <mergeCell ref="D30:H30"/>
    <mergeCell ref="D127:G127"/>
    <mergeCell ref="I127:T127"/>
    <mergeCell ref="D128:G128"/>
    <mergeCell ref="D129:G129"/>
    <mergeCell ref="D130:G130"/>
    <mergeCell ref="D131:G131"/>
  </mergeCells>
  <dataValidations count="13">
    <dataValidation type="list" allowBlank="1" showErrorMessage="1" sqref="D21">
      <formula1>#REF!</formula1>
    </dataValidation>
    <dataValidation type="list" allowBlank="1" showErrorMessage="1" sqref="D18">
      <formula1>#REF!</formula1>
    </dataValidation>
    <dataValidation type="list" allowBlank="1" showErrorMessage="1" sqref="D22">
      <formula1>#REF!</formula1>
    </dataValidation>
    <dataValidation type="list" allowBlank="1" showErrorMessage="1" sqref="D17">
      <formula1>#REF!</formula1>
    </dataValidation>
    <dataValidation type="list" allowBlank="1" showErrorMessage="1" sqref="B35 D129">
      <formula1>#REF!</formula1>
    </dataValidation>
    <dataValidation type="list" allowBlank="1" showErrorMessage="1" sqref="D15">
      <formula1>#REF!</formula1>
    </dataValidation>
    <dataValidation type="list" allowBlank="1" showErrorMessage="1" sqref="B53 B55 B58">
      <formula1>#REF!</formula1>
    </dataValidation>
    <dataValidation type="list" allowBlank="1" showErrorMessage="1" sqref="D14">
      <formula1>#REF!</formula1>
    </dataValidation>
    <dataValidation type="list" allowBlank="1" showErrorMessage="1" sqref="D131">
      <formula1>#REF!</formula1>
    </dataValidation>
    <dataValidation type="list" allowBlank="1" showErrorMessage="1" sqref="D128">
      <formula1>#REF!</formula1>
    </dataValidation>
    <dataValidation type="list" allowBlank="1" showErrorMessage="1" sqref="D127">
      <formula1>#REF!</formula1>
    </dataValidation>
    <dataValidation type="list" allowBlank="1" showErrorMessage="1" sqref="D20">
      <formula1>#REF!</formula1>
    </dataValidation>
    <dataValidation type="list" allowBlank="1" showErrorMessage="1" sqref="D16">
      <formula1>#REF!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59"/>
  <sheetViews>
    <sheetView workbookViewId="0"/>
  </sheetViews>
  <sheetFormatPr baseColWidth="10" defaultColWidth="14.42578125" defaultRowHeight="15" customHeight="1"/>
  <cols>
    <col min="1" max="1" width="7" customWidth="1"/>
    <col min="2" max="2" width="17.85546875" customWidth="1"/>
    <col min="3" max="3" width="51.28515625" customWidth="1"/>
    <col min="4" max="4" width="25.140625" customWidth="1"/>
    <col min="5" max="5" width="26.85546875" customWidth="1"/>
    <col min="6" max="6" width="22.5703125" customWidth="1"/>
    <col min="7" max="7" width="21.7109375" customWidth="1"/>
    <col min="8" max="8" width="21.140625" customWidth="1"/>
    <col min="9" max="9" width="29" customWidth="1"/>
    <col min="10" max="10" width="25.5703125" customWidth="1"/>
    <col min="11" max="11" width="29.85546875" customWidth="1"/>
    <col min="12" max="12" width="20.85546875" customWidth="1"/>
    <col min="13" max="13" width="21.28515625" customWidth="1"/>
    <col min="14" max="14" width="19.5703125" customWidth="1"/>
    <col min="15" max="15" width="19.42578125" customWidth="1"/>
    <col min="16" max="16" width="18.5703125" customWidth="1"/>
    <col min="17" max="17" width="23" customWidth="1"/>
    <col min="18" max="18" width="18.85546875" customWidth="1"/>
  </cols>
  <sheetData>
    <row r="1" spans="1:18" ht="15.75">
      <c r="A1" s="1"/>
      <c r="B1" s="2"/>
      <c r="C1" s="2"/>
      <c r="D1" s="3"/>
      <c r="E1" s="3"/>
      <c r="F1" s="3"/>
      <c r="G1" s="3"/>
      <c r="H1" s="3"/>
      <c r="I1" s="2"/>
      <c r="J1" s="4"/>
      <c r="K1" s="4"/>
      <c r="L1" s="2"/>
      <c r="M1" s="2"/>
      <c r="N1" s="4"/>
      <c r="O1" s="4"/>
      <c r="P1" s="4"/>
      <c r="Q1" s="2"/>
      <c r="R1" s="2"/>
    </row>
    <row r="2" spans="1:18" ht="15.75">
      <c r="A2" s="1"/>
      <c r="B2" s="2"/>
      <c r="C2" s="2"/>
      <c r="D2" s="3"/>
      <c r="E2" s="3"/>
      <c r="F2" s="3"/>
      <c r="G2" s="3"/>
      <c r="H2" s="3"/>
      <c r="I2" s="2"/>
      <c r="J2" s="4"/>
      <c r="K2" s="4"/>
      <c r="L2" s="2"/>
      <c r="M2" s="2"/>
      <c r="N2" s="4"/>
      <c r="O2" s="4"/>
      <c r="P2" s="4"/>
      <c r="Q2" s="2"/>
      <c r="R2" s="2"/>
    </row>
    <row r="3" spans="1:18" ht="15.75">
      <c r="A3" s="1"/>
      <c r="B3" s="2"/>
      <c r="C3" s="2"/>
      <c r="D3" s="3"/>
      <c r="E3" s="3"/>
      <c r="F3" s="3"/>
      <c r="G3" s="3"/>
      <c r="H3" s="3"/>
      <c r="I3" s="2"/>
      <c r="J3" s="4"/>
      <c r="K3" s="4"/>
      <c r="L3" s="2"/>
      <c r="M3" s="2"/>
      <c r="N3" s="4"/>
      <c r="O3" s="4"/>
      <c r="P3" s="4"/>
      <c r="Q3" s="2"/>
      <c r="R3" s="2"/>
    </row>
    <row r="4" spans="1:18" ht="15.75">
      <c r="A4" s="1"/>
      <c r="B4" s="2"/>
      <c r="C4" s="2"/>
      <c r="D4" s="173" t="s">
        <v>0</v>
      </c>
      <c r="E4" s="174"/>
      <c r="F4" s="174"/>
      <c r="G4" s="174"/>
      <c r="H4" s="174"/>
      <c r="I4" s="2"/>
      <c r="J4" s="4"/>
      <c r="K4" s="4"/>
      <c r="L4" s="2"/>
      <c r="M4" s="2"/>
      <c r="N4" s="4"/>
      <c r="O4" s="4"/>
      <c r="P4" s="4"/>
      <c r="Q4" s="2"/>
      <c r="R4" s="2"/>
    </row>
    <row r="5" spans="1:18" ht="15.75">
      <c r="A5" s="1"/>
      <c r="B5" s="2"/>
      <c r="C5" s="2"/>
      <c r="D5" s="173" t="s">
        <v>1</v>
      </c>
      <c r="E5" s="174"/>
      <c r="F5" s="174"/>
      <c r="G5" s="174"/>
      <c r="H5" s="174"/>
      <c r="I5" s="2"/>
      <c r="J5" s="4"/>
      <c r="K5" s="4"/>
      <c r="L5" s="2"/>
      <c r="M5" s="2"/>
      <c r="N5" s="4"/>
      <c r="O5" s="4"/>
      <c r="P5" s="4"/>
      <c r="Q5" s="2"/>
      <c r="R5" s="2"/>
    </row>
    <row r="6" spans="1:18" ht="15.75">
      <c r="A6" s="1"/>
      <c r="B6" s="2"/>
      <c r="C6" s="2"/>
      <c r="D6" s="173" t="s">
        <v>2</v>
      </c>
      <c r="E6" s="174"/>
      <c r="F6" s="174"/>
      <c r="G6" s="174"/>
      <c r="H6" s="174"/>
      <c r="I6" s="2"/>
      <c r="J6" s="4"/>
      <c r="K6" s="4"/>
      <c r="L6" s="2"/>
      <c r="M6" s="2"/>
      <c r="N6" s="4"/>
      <c r="O6" s="4"/>
      <c r="P6" s="4"/>
      <c r="Q6" s="2"/>
      <c r="R6" s="2"/>
    </row>
    <row r="7" spans="1:18" ht="15.75">
      <c r="A7" s="1"/>
      <c r="B7" s="2"/>
      <c r="C7" s="2"/>
      <c r="D7" s="173"/>
      <c r="E7" s="174"/>
      <c r="F7" s="174"/>
      <c r="G7" s="174"/>
      <c r="H7" s="174"/>
      <c r="I7" s="2"/>
      <c r="J7" s="4"/>
      <c r="K7" s="4"/>
      <c r="L7" s="2"/>
      <c r="M7" s="2"/>
      <c r="N7" s="4"/>
      <c r="O7" s="4"/>
      <c r="P7" s="4"/>
      <c r="Q7" s="2"/>
      <c r="R7" s="2"/>
    </row>
    <row r="8" spans="1:18" ht="15.75">
      <c r="A8" s="1"/>
      <c r="B8" s="2"/>
      <c r="C8" s="2"/>
      <c r="D8" s="5"/>
      <c r="E8" s="5"/>
      <c r="F8" s="5"/>
      <c r="G8" s="5"/>
      <c r="H8" s="5"/>
      <c r="I8" s="2"/>
      <c r="J8" s="4"/>
      <c r="K8" s="4"/>
      <c r="L8" s="2"/>
      <c r="M8" s="2"/>
      <c r="N8" s="4"/>
      <c r="O8" s="4"/>
      <c r="P8" s="4"/>
      <c r="Q8" s="2"/>
      <c r="R8" s="2"/>
    </row>
    <row r="9" spans="1:18" ht="15.75">
      <c r="A9" s="1"/>
      <c r="B9" s="2"/>
      <c r="C9" s="2"/>
      <c r="D9" s="3"/>
      <c r="E9" s="3"/>
      <c r="F9" s="3"/>
      <c r="G9" s="3"/>
      <c r="H9" s="3"/>
      <c r="I9" s="2"/>
      <c r="J9" s="4"/>
      <c r="K9" s="4"/>
      <c r="L9" s="2"/>
      <c r="M9" s="2"/>
      <c r="N9" s="4"/>
      <c r="O9" s="4"/>
      <c r="P9" s="4"/>
      <c r="Q9" s="2"/>
      <c r="R9" s="2"/>
    </row>
    <row r="10" spans="1:18" ht="15.75">
      <c r="A10" s="1"/>
      <c r="B10" s="2"/>
      <c r="C10" s="2"/>
      <c r="D10" s="3"/>
      <c r="E10" s="3"/>
      <c r="F10" s="3"/>
      <c r="G10" s="3"/>
      <c r="H10" s="3"/>
      <c r="I10" s="2"/>
      <c r="J10" s="4"/>
      <c r="K10" s="4"/>
      <c r="L10" s="2"/>
      <c r="M10" s="2"/>
      <c r="N10" s="4"/>
      <c r="O10" s="4"/>
      <c r="P10" s="4"/>
      <c r="Q10" s="2"/>
      <c r="R10" s="2"/>
    </row>
    <row r="11" spans="1:18" ht="15.75">
      <c r="A11" s="1"/>
      <c r="B11" s="2"/>
      <c r="C11" s="2"/>
      <c r="D11" s="3"/>
      <c r="E11" s="3"/>
      <c r="F11" s="3"/>
      <c r="G11" s="3"/>
      <c r="H11" s="3"/>
      <c r="I11" s="2"/>
      <c r="J11" s="4"/>
      <c r="K11" s="4"/>
      <c r="L11" s="2"/>
      <c r="M11" s="2"/>
      <c r="N11" s="4"/>
      <c r="O11" s="4"/>
      <c r="P11" s="4"/>
      <c r="Q11" s="2"/>
      <c r="R11" s="2"/>
    </row>
    <row r="12" spans="1:18" ht="15.75">
      <c r="A12" s="6"/>
      <c r="B12" s="7"/>
      <c r="C12" s="7"/>
      <c r="D12" s="7"/>
      <c r="E12" s="7"/>
      <c r="F12" s="7"/>
      <c r="G12" s="7"/>
      <c r="H12" s="7"/>
      <c r="I12" s="7"/>
      <c r="J12" s="8"/>
      <c r="K12" s="8"/>
      <c r="L12" s="7"/>
      <c r="M12" s="7"/>
      <c r="N12" s="8"/>
      <c r="O12" s="8"/>
      <c r="P12" s="8"/>
      <c r="Q12" s="7"/>
      <c r="R12" s="7"/>
    </row>
    <row r="13" spans="1:18" ht="15.75">
      <c r="A13" s="6"/>
      <c r="B13" s="7"/>
      <c r="C13" s="10" t="s">
        <v>3</v>
      </c>
      <c r="D13" s="175" t="s">
        <v>4</v>
      </c>
      <c r="E13" s="157"/>
      <c r="F13" s="157"/>
      <c r="G13" s="157"/>
      <c r="H13" s="158"/>
      <c r="I13" s="11"/>
      <c r="J13" s="8"/>
      <c r="K13" s="8"/>
      <c r="L13" s="7"/>
      <c r="M13" s="7"/>
      <c r="N13" s="8"/>
      <c r="O13" s="8"/>
      <c r="P13" s="8"/>
      <c r="Q13" s="7"/>
      <c r="R13" s="7"/>
    </row>
    <row r="14" spans="1:18" ht="15.75">
      <c r="A14" s="6"/>
      <c r="B14" s="7"/>
      <c r="C14" s="10" t="s">
        <v>5</v>
      </c>
      <c r="D14" s="162" t="s">
        <v>6</v>
      </c>
      <c r="E14" s="157"/>
      <c r="F14" s="157"/>
      <c r="G14" s="157"/>
      <c r="H14" s="158"/>
      <c r="I14" s="12" t="s">
        <v>7</v>
      </c>
      <c r="J14" s="8"/>
      <c r="K14" s="8"/>
      <c r="L14" s="7"/>
      <c r="M14" s="7"/>
      <c r="N14" s="8"/>
      <c r="O14" s="8"/>
      <c r="P14" s="8"/>
      <c r="Q14" s="7"/>
      <c r="R14" s="7"/>
    </row>
    <row r="15" spans="1:18" ht="15.75">
      <c r="A15" s="6"/>
      <c r="B15" s="7"/>
      <c r="C15" s="10" t="s">
        <v>8</v>
      </c>
      <c r="D15" s="162" t="s">
        <v>9</v>
      </c>
      <c r="E15" s="157"/>
      <c r="F15" s="157"/>
      <c r="G15" s="157"/>
      <c r="H15" s="158"/>
      <c r="I15" s="12" t="s">
        <v>7</v>
      </c>
      <c r="J15" s="8"/>
      <c r="K15" s="8"/>
      <c r="L15" s="7"/>
      <c r="M15" s="7"/>
      <c r="N15" s="8"/>
      <c r="O15" s="8"/>
      <c r="P15" s="8"/>
      <c r="Q15" s="7"/>
      <c r="R15" s="7"/>
    </row>
    <row r="16" spans="1:18" ht="60">
      <c r="A16" s="6"/>
      <c r="B16" s="7"/>
      <c r="C16" s="10" t="s">
        <v>10</v>
      </c>
      <c r="D16" s="162" t="s">
        <v>11</v>
      </c>
      <c r="E16" s="157"/>
      <c r="F16" s="157"/>
      <c r="G16" s="157"/>
      <c r="H16" s="158"/>
      <c r="I16" s="13" t="s">
        <v>12</v>
      </c>
      <c r="J16" s="8"/>
      <c r="K16" s="8"/>
      <c r="L16" s="7"/>
      <c r="M16" s="7"/>
      <c r="N16" s="8"/>
      <c r="O16" s="8"/>
      <c r="P16" s="8"/>
      <c r="Q16" s="7"/>
      <c r="R16" s="7"/>
    </row>
    <row r="17" spans="1:18" ht="15.75">
      <c r="A17" s="6"/>
      <c r="B17" s="7"/>
      <c r="C17" s="10" t="s">
        <v>13</v>
      </c>
      <c r="D17" s="162" t="s">
        <v>14</v>
      </c>
      <c r="E17" s="157"/>
      <c r="F17" s="157"/>
      <c r="G17" s="157"/>
      <c r="H17" s="158"/>
      <c r="I17" s="12" t="s">
        <v>7</v>
      </c>
      <c r="J17" s="8"/>
      <c r="K17" s="8"/>
      <c r="L17" s="7"/>
      <c r="M17" s="7"/>
      <c r="N17" s="8"/>
      <c r="O17" s="8"/>
      <c r="P17" s="8"/>
      <c r="Q17" s="7"/>
      <c r="R17" s="7"/>
    </row>
    <row r="18" spans="1:18" ht="15.75">
      <c r="A18" s="14"/>
      <c r="B18" s="14"/>
      <c r="C18" s="10" t="s">
        <v>15</v>
      </c>
      <c r="D18" s="162" t="s">
        <v>16</v>
      </c>
      <c r="E18" s="157"/>
      <c r="F18" s="157"/>
      <c r="G18" s="157"/>
      <c r="H18" s="158"/>
      <c r="I18" s="12" t="s">
        <v>7</v>
      </c>
      <c r="J18" s="8"/>
      <c r="K18" s="8"/>
      <c r="L18" s="7"/>
      <c r="M18" s="7"/>
      <c r="N18" s="8"/>
      <c r="O18" s="8"/>
      <c r="P18" s="8"/>
      <c r="Q18" s="7"/>
      <c r="R18" s="7"/>
    </row>
    <row r="19" spans="1:18" ht="15.75" hidden="1">
      <c r="A19" s="15"/>
      <c r="B19" s="16"/>
      <c r="C19" s="10" t="s">
        <v>17</v>
      </c>
      <c r="D19" s="162"/>
      <c r="E19" s="157"/>
      <c r="F19" s="157"/>
      <c r="G19" s="157"/>
      <c r="H19" s="158"/>
      <c r="I19" s="11"/>
      <c r="J19" s="8"/>
      <c r="K19" s="8"/>
      <c r="L19" s="7"/>
      <c r="M19" s="7"/>
      <c r="N19" s="8"/>
      <c r="O19" s="8"/>
      <c r="P19" s="8"/>
      <c r="Q19" s="7"/>
      <c r="R19" s="7"/>
    </row>
    <row r="20" spans="1:18" ht="15.75">
      <c r="C20" s="10" t="s">
        <v>17</v>
      </c>
      <c r="D20" s="162" t="s">
        <v>18</v>
      </c>
      <c r="E20" s="157"/>
      <c r="F20" s="157"/>
      <c r="G20" s="157"/>
      <c r="H20" s="158"/>
      <c r="I20" s="12" t="s">
        <v>7</v>
      </c>
      <c r="J20" s="8"/>
      <c r="K20" s="8"/>
      <c r="L20" s="7"/>
      <c r="M20" s="7"/>
      <c r="N20" s="8"/>
      <c r="O20" s="8"/>
      <c r="P20" s="8"/>
      <c r="Q20" s="7"/>
      <c r="R20" s="7"/>
    </row>
    <row r="21" spans="1:18" ht="15.75">
      <c r="A21" s="17"/>
      <c r="B21" s="169" t="s">
        <v>19</v>
      </c>
      <c r="C21" s="10" t="s">
        <v>20</v>
      </c>
      <c r="D21" s="162" t="s">
        <v>21</v>
      </c>
      <c r="E21" s="157"/>
      <c r="F21" s="157"/>
      <c r="G21" s="157"/>
      <c r="H21" s="158"/>
      <c r="I21" s="12" t="s">
        <v>7</v>
      </c>
      <c r="K21" s="8"/>
      <c r="L21" s="7"/>
      <c r="M21" s="7"/>
      <c r="N21" s="8"/>
      <c r="O21" s="8"/>
      <c r="P21" s="8"/>
      <c r="Q21" s="7"/>
      <c r="R21" s="7"/>
    </row>
    <row r="22" spans="1:18" ht="15.75">
      <c r="A22" s="17"/>
      <c r="B22" s="170"/>
      <c r="C22" s="10" t="s">
        <v>22</v>
      </c>
      <c r="D22" s="162" t="s">
        <v>23</v>
      </c>
      <c r="E22" s="157"/>
      <c r="F22" s="157"/>
      <c r="G22" s="157"/>
      <c r="H22" s="158"/>
      <c r="I22" s="12" t="s">
        <v>7</v>
      </c>
      <c r="J22" s="8"/>
      <c r="K22" s="8"/>
      <c r="L22" s="7"/>
      <c r="M22" s="7"/>
      <c r="N22" s="8"/>
      <c r="O22" s="8"/>
      <c r="P22" s="8"/>
      <c r="Q22" s="7"/>
      <c r="R22" s="7"/>
    </row>
    <row r="23" spans="1:18" ht="15.75">
      <c r="A23" s="18"/>
      <c r="B23" s="171" t="s">
        <v>24</v>
      </c>
      <c r="C23" s="10" t="s">
        <v>25</v>
      </c>
      <c r="D23" s="162" t="s">
        <v>26</v>
      </c>
      <c r="E23" s="157"/>
      <c r="F23" s="157"/>
      <c r="G23" s="157"/>
      <c r="H23" s="158"/>
      <c r="I23" s="12" t="s">
        <v>7</v>
      </c>
      <c r="J23" s="8"/>
      <c r="K23" s="8"/>
      <c r="L23" s="7"/>
      <c r="M23" s="7"/>
      <c r="N23" s="8"/>
      <c r="O23" s="8"/>
      <c r="P23" s="8"/>
      <c r="Q23" s="7"/>
      <c r="R23" s="7"/>
    </row>
    <row r="24" spans="1:18" ht="31.5">
      <c r="A24" s="18"/>
      <c r="B24" s="172"/>
      <c r="C24" s="10" t="s">
        <v>27</v>
      </c>
      <c r="D24" s="162" t="s">
        <v>28</v>
      </c>
      <c r="E24" s="157"/>
      <c r="F24" s="157"/>
      <c r="G24" s="157"/>
      <c r="H24" s="158"/>
      <c r="I24" s="12" t="s">
        <v>7</v>
      </c>
      <c r="J24" s="8"/>
      <c r="K24" s="8"/>
      <c r="L24" s="7"/>
      <c r="M24" s="7"/>
      <c r="N24" s="8"/>
      <c r="O24" s="8"/>
      <c r="P24" s="8"/>
      <c r="Q24" s="7"/>
      <c r="R24" s="7"/>
    </row>
    <row r="25" spans="1:18" ht="15.75">
      <c r="A25" s="18"/>
      <c r="B25" s="171" t="s">
        <v>29</v>
      </c>
      <c r="C25" s="10" t="s">
        <v>30</v>
      </c>
      <c r="D25" s="162" t="s">
        <v>31</v>
      </c>
      <c r="E25" s="157"/>
      <c r="F25" s="157"/>
      <c r="G25" s="157"/>
      <c r="H25" s="158"/>
      <c r="I25" s="12" t="s">
        <v>7</v>
      </c>
      <c r="J25" s="8"/>
      <c r="K25" s="8"/>
      <c r="L25" s="7"/>
      <c r="M25" s="7"/>
      <c r="N25" s="8"/>
      <c r="O25" s="8"/>
      <c r="P25" s="8"/>
      <c r="Q25" s="7"/>
      <c r="R25" s="7"/>
    </row>
    <row r="26" spans="1:18" ht="15.75">
      <c r="A26" s="18"/>
      <c r="B26" s="170"/>
      <c r="C26" s="10" t="s">
        <v>32</v>
      </c>
      <c r="D26" s="162" t="s">
        <v>33</v>
      </c>
      <c r="E26" s="157"/>
      <c r="F26" s="157"/>
      <c r="G26" s="157"/>
      <c r="H26" s="158"/>
      <c r="I26" s="12" t="s">
        <v>7</v>
      </c>
      <c r="J26" s="8"/>
      <c r="K26" s="8"/>
      <c r="L26" s="7"/>
      <c r="M26" s="7"/>
      <c r="N26" s="8"/>
      <c r="O26" s="8"/>
      <c r="P26" s="8"/>
      <c r="Q26" s="7"/>
      <c r="R26" s="7"/>
    </row>
    <row r="27" spans="1:18" ht="15.75">
      <c r="A27" s="18"/>
      <c r="B27" s="170"/>
      <c r="C27" s="10" t="s">
        <v>34</v>
      </c>
      <c r="D27" s="162" t="s">
        <v>35</v>
      </c>
      <c r="E27" s="157"/>
      <c r="F27" s="157"/>
      <c r="G27" s="157"/>
      <c r="H27" s="158"/>
      <c r="I27" s="12" t="s">
        <v>7</v>
      </c>
      <c r="J27" s="8"/>
      <c r="K27" s="8"/>
      <c r="L27" s="7"/>
      <c r="M27" s="7"/>
      <c r="N27" s="8"/>
      <c r="O27" s="8"/>
      <c r="P27" s="8"/>
      <c r="Q27" s="7"/>
      <c r="R27" s="7"/>
    </row>
    <row r="28" spans="1:18" ht="15.75">
      <c r="A28" s="18"/>
      <c r="B28" s="170"/>
      <c r="C28" s="10" t="s">
        <v>36</v>
      </c>
      <c r="D28" s="162" t="s">
        <v>37</v>
      </c>
      <c r="E28" s="157"/>
      <c r="F28" s="157"/>
      <c r="G28" s="157"/>
      <c r="H28" s="158"/>
      <c r="I28" s="7"/>
      <c r="J28" s="8"/>
      <c r="K28" s="8"/>
      <c r="L28" s="7"/>
      <c r="M28" s="7"/>
      <c r="N28" s="8"/>
      <c r="O28" s="19"/>
      <c r="P28" s="19"/>
      <c r="Q28" s="7"/>
      <c r="R28" s="7"/>
    </row>
    <row r="29" spans="1:18" ht="31.5">
      <c r="A29" s="14"/>
      <c r="B29" s="14"/>
      <c r="C29" s="10" t="s">
        <v>38</v>
      </c>
      <c r="D29" s="163" t="s">
        <v>39</v>
      </c>
      <c r="E29" s="157"/>
      <c r="F29" s="157"/>
      <c r="G29" s="157"/>
      <c r="H29" s="157"/>
      <c r="I29" s="7"/>
      <c r="J29" s="8"/>
      <c r="K29" s="8"/>
      <c r="L29" s="7"/>
      <c r="M29" s="7"/>
      <c r="N29" s="8"/>
      <c r="O29" s="19"/>
      <c r="P29" s="19"/>
      <c r="Q29" s="7"/>
      <c r="R29" s="7"/>
    </row>
    <row r="30" spans="1:18" ht="15.75">
      <c r="A30" s="14"/>
      <c r="B30" s="14"/>
      <c r="C30" s="20" t="s">
        <v>40</v>
      </c>
      <c r="D30" s="165"/>
      <c r="E30" s="157"/>
      <c r="F30" s="157"/>
      <c r="G30" s="157"/>
      <c r="H30" s="158"/>
      <c r="I30" s="11"/>
      <c r="J30" s="8"/>
      <c r="K30" s="8"/>
      <c r="L30" s="7"/>
      <c r="M30" s="7"/>
      <c r="N30" s="8"/>
      <c r="O30" s="8"/>
      <c r="P30" s="8"/>
      <c r="Q30" s="7"/>
      <c r="R30" s="7"/>
    </row>
    <row r="31" spans="1:18" ht="15.75">
      <c r="A31" s="6"/>
      <c r="B31" s="7"/>
      <c r="C31" s="7"/>
      <c r="D31" s="21"/>
      <c r="E31" s="21"/>
      <c r="F31" s="21"/>
      <c r="G31" s="21"/>
      <c r="H31" s="21"/>
      <c r="I31" s="22"/>
      <c r="J31" s="22"/>
      <c r="K31" s="22"/>
      <c r="L31" s="22"/>
      <c r="M31" s="22"/>
      <c r="N31" s="22"/>
      <c r="O31" s="22"/>
      <c r="P31" s="22"/>
      <c r="Q31" s="22"/>
      <c r="R31" s="22"/>
    </row>
    <row r="32" spans="1:18" ht="63">
      <c r="A32" s="24"/>
      <c r="B32" s="25" t="s">
        <v>42</v>
      </c>
      <c r="C32" s="26" t="s">
        <v>43</v>
      </c>
      <c r="D32" s="20" t="s">
        <v>44</v>
      </c>
      <c r="E32" s="20" t="s">
        <v>45</v>
      </c>
      <c r="F32" s="20" t="s">
        <v>46</v>
      </c>
      <c r="G32" s="20" t="s">
        <v>47</v>
      </c>
      <c r="H32" s="20" t="s">
        <v>48</v>
      </c>
      <c r="I32" s="20" t="s">
        <v>49</v>
      </c>
      <c r="J32" s="27" t="s">
        <v>50</v>
      </c>
      <c r="K32" s="27" t="s">
        <v>51</v>
      </c>
      <c r="L32" s="20" t="s">
        <v>52</v>
      </c>
      <c r="M32" s="20" t="s">
        <v>53</v>
      </c>
      <c r="N32" s="27" t="s">
        <v>54</v>
      </c>
      <c r="O32" s="27" t="s">
        <v>55</v>
      </c>
      <c r="P32" s="27" t="s">
        <v>56</v>
      </c>
      <c r="Q32" s="20" t="s">
        <v>57</v>
      </c>
      <c r="R32" s="20" t="s">
        <v>58</v>
      </c>
    </row>
    <row r="33" spans="1:18" ht="356.25">
      <c r="B33" s="7"/>
      <c r="C33" s="10" t="s">
        <v>74</v>
      </c>
      <c r="D33" s="31" t="s">
        <v>75</v>
      </c>
      <c r="E33" s="31" t="s">
        <v>76</v>
      </c>
      <c r="F33" s="31" t="s">
        <v>77</v>
      </c>
      <c r="G33" s="32" t="s">
        <v>78</v>
      </c>
      <c r="H33" s="32" t="s">
        <v>79</v>
      </c>
      <c r="I33" s="31" t="s">
        <v>80</v>
      </c>
      <c r="J33" s="33" t="s">
        <v>81</v>
      </c>
      <c r="K33" s="33" t="s">
        <v>82</v>
      </c>
      <c r="L33" s="32" t="s">
        <v>83</v>
      </c>
      <c r="M33" s="32" t="s">
        <v>84</v>
      </c>
      <c r="N33" s="34" t="s">
        <v>85</v>
      </c>
      <c r="O33" s="106">
        <v>44511</v>
      </c>
      <c r="P33" s="33" t="s">
        <v>383</v>
      </c>
      <c r="Q33" s="31" t="s">
        <v>86</v>
      </c>
      <c r="R33" s="31" t="s">
        <v>87</v>
      </c>
    </row>
    <row r="34" spans="1:18" ht="199.5">
      <c r="B34" s="38" t="s">
        <v>7</v>
      </c>
      <c r="C34" s="10" t="s">
        <v>88</v>
      </c>
      <c r="D34" s="31" t="s">
        <v>89</v>
      </c>
      <c r="E34" s="31" t="s">
        <v>90</v>
      </c>
      <c r="F34" s="31" t="s">
        <v>91</v>
      </c>
      <c r="G34" s="32" t="s">
        <v>92</v>
      </c>
      <c r="H34" s="32" t="s">
        <v>79</v>
      </c>
      <c r="I34" s="31" t="s">
        <v>93</v>
      </c>
      <c r="J34" s="39" t="s">
        <v>94</v>
      </c>
      <c r="K34" s="40" t="s">
        <v>95</v>
      </c>
      <c r="L34" s="32" t="s">
        <v>83</v>
      </c>
      <c r="M34" s="32" t="s">
        <v>84</v>
      </c>
      <c r="N34" s="34" t="s">
        <v>85</v>
      </c>
      <c r="O34" s="106">
        <v>1505977</v>
      </c>
      <c r="P34" s="36"/>
      <c r="Q34" s="31" t="s">
        <v>96</v>
      </c>
      <c r="R34" s="31" t="s">
        <v>97</v>
      </c>
    </row>
    <row r="35" spans="1:18" ht="185.25">
      <c r="B35" s="43" t="s">
        <v>98</v>
      </c>
      <c r="C35" s="44" t="s">
        <v>99</v>
      </c>
      <c r="D35" s="31" t="s">
        <v>100</v>
      </c>
      <c r="E35" s="31" t="s">
        <v>101</v>
      </c>
      <c r="F35" s="31" t="s">
        <v>102</v>
      </c>
      <c r="G35" s="31" t="s">
        <v>103</v>
      </c>
      <c r="H35" s="31" t="s">
        <v>79</v>
      </c>
      <c r="I35" s="31" t="s">
        <v>104</v>
      </c>
      <c r="J35" s="31" t="s">
        <v>105</v>
      </c>
      <c r="K35" s="45" t="s">
        <v>106</v>
      </c>
      <c r="L35" s="31" t="s">
        <v>107</v>
      </c>
      <c r="M35" s="31" t="s">
        <v>108</v>
      </c>
      <c r="N35" s="31" t="s">
        <v>85</v>
      </c>
      <c r="O35" s="108">
        <v>0.9</v>
      </c>
      <c r="P35" s="33" t="s">
        <v>383</v>
      </c>
      <c r="Q35" s="31" t="s">
        <v>86</v>
      </c>
      <c r="R35" s="31" t="s">
        <v>109</v>
      </c>
    </row>
    <row r="36" spans="1:18" ht="156.75">
      <c r="A36" s="47" t="s">
        <v>74</v>
      </c>
      <c r="B36" s="48"/>
      <c r="C36" s="49" t="s">
        <v>110</v>
      </c>
      <c r="D36" s="31" t="s">
        <v>111</v>
      </c>
      <c r="E36" s="50" t="s">
        <v>112</v>
      </c>
      <c r="F36" s="31" t="s">
        <v>113</v>
      </c>
      <c r="G36" s="51" t="s">
        <v>103</v>
      </c>
      <c r="H36" s="51" t="s">
        <v>114</v>
      </c>
      <c r="I36" s="50" t="s">
        <v>115</v>
      </c>
      <c r="J36" s="52" t="s">
        <v>116</v>
      </c>
      <c r="K36" s="33" t="s">
        <v>117</v>
      </c>
      <c r="L36" s="31" t="s">
        <v>107</v>
      </c>
      <c r="M36" s="53" t="s">
        <v>108</v>
      </c>
      <c r="N36" s="31">
        <v>517</v>
      </c>
      <c r="O36" s="31">
        <v>7450</v>
      </c>
      <c r="P36" s="109" t="s">
        <v>366</v>
      </c>
      <c r="Q36" s="32" t="s">
        <v>118</v>
      </c>
      <c r="R36" s="31" t="s">
        <v>119</v>
      </c>
    </row>
    <row r="37" spans="1:18" ht="142.5">
      <c r="A37" s="55" t="s">
        <v>88</v>
      </c>
      <c r="B37" s="48"/>
      <c r="C37" s="49" t="s">
        <v>120</v>
      </c>
      <c r="D37" s="31" t="s">
        <v>121</v>
      </c>
      <c r="E37" s="31" t="s">
        <v>122</v>
      </c>
      <c r="F37" s="31" t="s">
        <v>123</v>
      </c>
      <c r="G37" s="51" t="s">
        <v>103</v>
      </c>
      <c r="H37" s="51" t="s">
        <v>114</v>
      </c>
      <c r="I37" s="31" t="s">
        <v>124</v>
      </c>
      <c r="J37" s="52" t="s">
        <v>125</v>
      </c>
      <c r="K37" s="33" t="s">
        <v>126</v>
      </c>
      <c r="L37" s="31" t="s">
        <v>107</v>
      </c>
      <c r="M37" s="56" t="s">
        <v>108</v>
      </c>
      <c r="N37" s="31">
        <v>925</v>
      </c>
      <c r="O37" s="63">
        <v>640</v>
      </c>
      <c r="P37" s="109" t="s">
        <v>367</v>
      </c>
      <c r="Q37" s="31" t="s">
        <v>127</v>
      </c>
      <c r="R37" s="31" t="s">
        <v>128</v>
      </c>
    </row>
    <row r="38" spans="1:18" ht="114">
      <c r="A38" s="55" t="s">
        <v>129</v>
      </c>
      <c r="B38" s="48"/>
      <c r="C38" s="49" t="s">
        <v>130</v>
      </c>
      <c r="D38" s="31" t="s">
        <v>131</v>
      </c>
      <c r="E38" s="31" t="s">
        <v>132</v>
      </c>
      <c r="F38" s="31" t="s">
        <v>133</v>
      </c>
      <c r="G38" s="51" t="s">
        <v>103</v>
      </c>
      <c r="H38" s="51" t="s">
        <v>114</v>
      </c>
      <c r="I38" s="50" t="s">
        <v>134</v>
      </c>
      <c r="J38" s="58" t="s">
        <v>135</v>
      </c>
      <c r="K38" s="58" t="s">
        <v>136</v>
      </c>
      <c r="L38" s="31" t="s">
        <v>107</v>
      </c>
      <c r="M38" s="56" t="s">
        <v>108</v>
      </c>
      <c r="N38" s="31">
        <v>10405</v>
      </c>
      <c r="O38" s="61">
        <v>5000</v>
      </c>
      <c r="P38" s="109" t="s">
        <v>368</v>
      </c>
      <c r="Q38" s="31" t="s">
        <v>137</v>
      </c>
      <c r="R38" s="31" t="s">
        <v>138</v>
      </c>
    </row>
    <row r="39" spans="1:18" ht="199.5">
      <c r="A39" s="55" t="s">
        <v>74</v>
      </c>
      <c r="B39" s="48"/>
      <c r="C39" s="49" t="s">
        <v>139</v>
      </c>
      <c r="D39" s="31" t="s">
        <v>140</v>
      </c>
      <c r="E39" s="31" t="s">
        <v>141</v>
      </c>
      <c r="F39" s="31" t="s">
        <v>142</v>
      </c>
      <c r="G39" s="51" t="s">
        <v>103</v>
      </c>
      <c r="H39" s="51" t="s">
        <v>114</v>
      </c>
      <c r="I39" s="50" t="s">
        <v>143</v>
      </c>
      <c r="J39" s="60" t="s">
        <v>144</v>
      </c>
      <c r="K39" s="60" t="s">
        <v>145</v>
      </c>
      <c r="L39" s="31" t="s">
        <v>107</v>
      </c>
      <c r="M39" s="56" t="s">
        <v>108</v>
      </c>
      <c r="N39" s="61">
        <v>9826</v>
      </c>
      <c r="O39" s="61">
        <v>8791</v>
      </c>
      <c r="P39" s="33" t="s">
        <v>369</v>
      </c>
      <c r="Q39" s="50" t="s">
        <v>118</v>
      </c>
      <c r="R39" s="31" t="s">
        <v>146</v>
      </c>
    </row>
    <row r="40" spans="1:18" ht="114">
      <c r="A40" s="55" t="s">
        <v>88</v>
      </c>
      <c r="B40" s="48"/>
      <c r="C40" s="49" t="s">
        <v>147</v>
      </c>
      <c r="D40" s="31" t="s">
        <v>148</v>
      </c>
      <c r="E40" s="31" t="s">
        <v>149</v>
      </c>
      <c r="F40" s="31" t="s">
        <v>150</v>
      </c>
      <c r="G40" s="51" t="s">
        <v>103</v>
      </c>
      <c r="H40" s="31" t="s">
        <v>114</v>
      </c>
      <c r="I40" s="50" t="s">
        <v>151</v>
      </c>
      <c r="J40" s="58" t="s">
        <v>152</v>
      </c>
      <c r="K40" s="58" t="s">
        <v>153</v>
      </c>
      <c r="L40" s="31" t="s">
        <v>107</v>
      </c>
      <c r="M40" s="62" t="s">
        <v>108</v>
      </c>
      <c r="N40" s="63">
        <v>1378450</v>
      </c>
      <c r="O40" s="61">
        <v>1190350</v>
      </c>
      <c r="P40" s="33" t="s">
        <v>370</v>
      </c>
      <c r="Q40" s="32" t="s">
        <v>154</v>
      </c>
      <c r="R40" s="31" t="s">
        <v>155</v>
      </c>
    </row>
    <row r="41" spans="1:18" ht="128.25">
      <c r="A41" s="55" t="s">
        <v>88</v>
      </c>
      <c r="B41" s="48"/>
      <c r="C41" s="49" t="s">
        <v>156</v>
      </c>
      <c r="D41" s="31" t="s">
        <v>157</v>
      </c>
      <c r="E41" s="31" t="s">
        <v>158</v>
      </c>
      <c r="F41" s="31" t="s">
        <v>159</v>
      </c>
      <c r="G41" s="51" t="s">
        <v>103</v>
      </c>
      <c r="H41" s="31" t="s">
        <v>114</v>
      </c>
      <c r="I41" s="50" t="s">
        <v>160</v>
      </c>
      <c r="J41" s="58" t="s">
        <v>152</v>
      </c>
      <c r="K41" s="58" t="s">
        <v>161</v>
      </c>
      <c r="L41" s="31" t="s">
        <v>107</v>
      </c>
      <c r="M41" s="62" t="s">
        <v>108</v>
      </c>
      <c r="N41" s="61">
        <v>26296</v>
      </c>
      <c r="O41" s="61">
        <v>26292</v>
      </c>
      <c r="P41" s="33" t="s">
        <v>371</v>
      </c>
      <c r="Q41" s="32" t="s">
        <v>154</v>
      </c>
      <c r="R41" s="31" t="s">
        <v>162</v>
      </c>
    </row>
    <row r="42" spans="1:18" ht="156.75">
      <c r="A42" s="55" t="s">
        <v>88</v>
      </c>
      <c r="B42" s="48"/>
      <c r="C42" s="49" t="s">
        <v>163</v>
      </c>
      <c r="D42" s="31" t="s">
        <v>164</v>
      </c>
      <c r="E42" s="31" t="s">
        <v>165</v>
      </c>
      <c r="F42" s="31" t="s">
        <v>166</v>
      </c>
      <c r="G42" s="51" t="s">
        <v>103</v>
      </c>
      <c r="H42" s="31" t="s">
        <v>114</v>
      </c>
      <c r="I42" s="50" t="s">
        <v>151</v>
      </c>
      <c r="J42" s="58" t="s">
        <v>152</v>
      </c>
      <c r="K42" s="58" t="s">
        <v>153</v>
      </c>
      <c r="L42" s="31" t="s">
        <v>107</v>
      </c>
      <c r="M42" s="62" t="s">
        <v>108</v>
      </c>
      <c r="N42" s="63">
        <v>4560</v>
      </c>
      <c r="O42" s="61">
        <v>4020</v>
      </c>
      <c r="P42" s="33" t="s">
        <v>371</v>
      </c>
      <c r="Q42" s="32" t="s">
        <v>154</v>
      </c>
      <c r="R42" s="31" t="s">
        <v>167</v>
      </c>
    </row>
    <row r="43" spans="1:18" ht="114">
      <c r="A43" s="55" t="s">
        <v>129</v>
      </c>
      <c r="B43" s="48"/>
      <c r="C43" s="49" t="s">
        <v>168</v>
      </c>
      <c r="D43" s="31" t="s">
        <v>169</v>
      </c>
      <c r="E43" s="31" t="s">
        <v>170</v>
      </c>
      <c r="F43" s="31" t="s">
        <v>171</v>
      </c>
      <c r="G43" s="51" t="s">
        <v>103</v>
      </c>
      <c r="H43" s="31" t="s">
        <v>114</v>
      </c>
      <c r="I43" s="31" t="s">
        <v>172</v>
      </c>
      <c r="J43" s="58" t="s">
        <v>173</v>
      </c>
      <c r="K43" s="58" t="s">
        <v>174</v>
      </c>
      <c r="L43" s="31" t="s">
        <v>107</v>
      </c>
      <c r="M43" s="62" t="s">
        <v>108</v>
      </c>
      <c r="N43" s="63">
        <v>7997</v>
      </c>
      <c r="O43" s="61">
        <v>6000</v>
      </c>
      <c r="P43" s="33" t="s">
        <v>372</v>
      </c>
      <c r="Q43" s="31" t="s">
        <v>175</v>
      </c>
      <c r="R43" s="31" t="s">
        <v>176</v>
      </c>
    </row>
    <row r="44" spans="1:18" ht="128.25">
      <c r="A44" s="55" t="s">
        <v>74</v>
      </c>
      <c r="B44" s="48"/>
      <c r="C44" s="49" t="s">
        <v>177</v>
      </c>
      <c r="D44" s="31" t="s">
        <v>178</v>
      </c>
      <c r="E44" s="31" t="s">
        <v>179</v>
      </c>
      <c r="F44" s="31" t="s">
        <v>180</v>
      </c>
      <c r="G44" s="31" t="s">
        <v>103</v>
      </c>
      <c r="H44" s="31" t="s">
        <v>114</v>
      </c>
      <c r="I44" s="31" t="s">
        <v>181</v>
      </c>
      <c r="J44" s="31" t="s">
        <v>182</v>
      </c>
      <c r="K44" s="31">
        <v>4</v>
      </c>
      <c r="L44" s="31" t="s">
        <v>183</v>
      </c>
      <c r="M44" s="31" t="s">
        <v>184</v>
      </c>
      <c r="N44" s="31">
        <v>2676</v>
      </c>
      <c r="O44" s="31">
        <v>2550</v>
      </c>
      <c r="P44" s="31">
        <v>573</v>
      </c>
      <c r="Q44" s="31" t="s">
        <v>185</v>
      </c>
      <c r="R44" s="31" t="s">
        <v>186</v>
      </c>
    </row>
    <row r="45" spans="1:18" ht="128.25">
      <c r="A45" s="55" t="s">
        <v>88</v>
      </c>
      <c r="B45" s="48"/>
      <c r="C45" s="49" t="s">
        <v>187</v>
      </c>
      <c r="D45" s="31" t="s">
        <v>188</v>
      </c>
      <c r="E45" s="31" t="s">
        <v>189</v>
      </c>
      <c r="F45" s="31" t="s">
        <v>190</v>
      </c>
      <c r="G45" s="31" t="s">
        <v>103</v>
      </c>
      <c r="H45" s="31" t="s">
        <v>114</v>
      </c>
      <c r="I45" s="31" t="s">
        <v>191</v>
      </c>
      <c r="J45" s="31" t="s">
        <v>192</v>
      </c>
      <c r="K45" s="31" t="s">
        <v>193</v>
      </c>
      <c r="L45" s="31" t="s">
        <v>107</v>
      </c>
      <c r="M45" s="31" t="s">
        <v>108</v>
      </c>
      <c r="N45" s="31" t="s">
        <v>85</v>
      </c>
      <c r="O45" s="31">
        <v>15000</v>
      </c>
      <c r="P45" s="31" t="s">
        <v>373</v>
      </c>
      <c r="Q45" s="31" t="s">
        <v>185</v>
      </c>
      <c r="R45" s="31" t="s">
        <v>186</v>
      </c>
    </row>
    <row r="46" spans="1:18" ht="128.25">
      <c r="A46" s="55" t="s">
        <v>88</v>
      </c>
      <c r="B46" s="48"/>
      <c r="C46" s="49" t="s">
        <v>194</v>
      </c>
      <c r="D46" s="31" t="s">
        <v>195</v>
      </c>
      <c r="E46" s="31" t="s">
        <v>196</v>
      </c>
      <c r="F46" s="31" t="s">
        <v>197</v>
      </c>
      <c r="G46" s="51" t="s">
        <v>103</v>
      </c>
      <c r="H46" s="31" t="s">
        <v>114</v>
      </c>
      <c r="I46" s="50" t="s">
        <v>198</v>
      </c>
      <c r="J46" s="58" t="s">
        <v>199</v>
      </c>
      <c r="K46" s="58" t="s">
        <v>200</v>
      </c>
      <c r="L46" s="31" t="s">
        <v>107</v>
      </c>
      <c r="M46" s="62" t="s">
        <v>108</v>
      </c>
      <c r="N46" s="63">
        <v>28995</v>
      </c>
      <c r="O46" s="61">
        <v>29000</v>
      </c>
      <c r="P46" s="33" t="s">
        <v>374</v>
      </c>
      <c r="Q46" s="32" t="s">
        <v>201</v>
      </c>
      <c r="R46" s="31" t="s">
        <v>202</v>
      </c>
    </row>
    <row r="47" spans="1:18" ht="171">
      <c r="A47" s="55" t="s">
        <v>74</v>
      </c>
      <c r="B47" s="48"/>
      <c r="C47" s="49" t="s">
        <v>203</v>
      </c>
      <c r="D47" s="31" t="s">
        <v>204</v>
      </c>
      <c r="E47" s="31" t="s">
        <v>205</v>
      </c>
      <c r="F47" s="31" t="s">
        <v>206</v>
      </c>
      <c r="G47" s="51" t="s">
        <v>103</v>
      </c>
      <c r="H47" s="31" t="s">
        <v>114</v>
      </c>
      <c r="I47" s="31" t="s">
        <v>207</v>
      </c>
      <c r="J47" s="58" t="s">
        <v>208</v>
      </c>
      <c r="K47" s="58">
        <v>4</v>
      </c>
      <c r="L47" s="31" t="s">
        <v>183</v>
      </c>
      <c r="M47" s="62" t="s">
        <v>184</v>
      </c>
      <c r="N47" s="31" t="s">
        <v>85</v>
      </c>
      <c r="O47" s="63">
        <v>1500</v>
      </c>
      <c r="P47" s="33">
        <v>382.5</v>
      </c>
      <c r="Q47" s="32" t="s">
        <v>118</v>
      </c>
      <c r="R47" s="31" t="s">
        <v>209</v>
      </c>
    </row>
    <row r="48" spans="1:18" ht="171">
      <c r="A48" s="55" t="s">
        <v>88</v>
      </c>
      <c r="B48" s="48"/>
      <c r="C48" s="49" t="s">
        <v>210</v>
      </c>
      <c r="D48" s="31" t="s">
        <v>211</v>
      </c>
      <c r="E48" s="31" t="s">
        <v>212</v>
      </c>
      <c r="F48" s="31" t="s">
        <v>213</v>
      </c>
      <c r="G48" s="51" t="s">
        <v>103</v>
      </c>
      <c r="H48" s="31" t="s">
        <v>114</v>
      </c>
      <c r="I48" s="50" t="s">
        <v>214</v>
      </c>
      <c r="J48" s="58" t="s">
        <v>215</v>
      </c>
      <c r="K48" s="58" t="s">
        <v>216</v>
      </c>
      <c r="L48" s="31" t="s">
        <v>107</v>
      </c>
      <c r="M48" s="62" t="s">
        <v>108</v>
      </c>
      <c r="N48" s="63">
        <v>203457</v>
      </c>
      <c r="O48" s="63">
        <v>224400</v>
      </c>
      <c r="P48" s="33" t="s">
        <v>375</v>
      </c>
      <c r="Q48" s="32" t="s">
        <v>118</v>
      </c>
      <c r="R48" s="31" t="s">
        <v>209</v>
      </c>
    </row>
    <row r="49" spans="1:18" ht="114">
      <c r="A49" s="55" t="s">
        <v>74</v>
      </c>
      <c r="B49" s="48"/>
      <c r="C49" s="49" t="s">
        <v>217</v>
      </c>
      <c r="D49" s="64" t="s">
        <v>218</v>
      </c>
      <c r="E49" s="64" t="s">
        <v>219</v>
      </c>
      <c r="F49" s="64" t="s">
        <v>220</v>
      </c>
      <c r="G49" s="65" t="s">
        <v>103</v>
      </c>
      <c r="H49" s="64" t="s">
        <v>114</v>
      </c>
      <c r="I49" s="64" t="s">
        <v>221</v>
      </c>
      <c r="J49" s="66" t="s">
        <v>222</v>
      </c>
      <c r="K49" s="66">
        <v>4</v>
      </c>
      <c r="L49" s="31" t="s">
        <v>183</v>
      </c>
      <c r="M49" s="67" t="s">
        <v>184</v>
      </c>
      <c r="N49" s="68" t="s">
        <v>85</v>
      </c>
      <c r="O49" s="68">
        <v>4500</v>
      </c>
      <c r="P49" s="110">
        <v>1270.5</v>
      </c>
      <c r="Q49" s="31" t="s">
        <v>223</v>
      </c>
      <c r="R49" s="31" t="s">
        <v>224</v>
      </c>
    </row>
    <row r="50" spans="1:18" ht="99.75">
      <c r="A50" s="55" t="s">
        <v>88</v>
      </c>
      <c r="B50" s="48"/>
      <c r="C50" s="49" t="s">
        <v>225</v>
      </c>
      <c r="D50" s="31" t="s">
        <v>226</v>
      </c>
      <c r="E50" s="31" t="s">
        <v>227</v>
      </c>
      <c r="F50" s="31" t="s">
        <v>228</v>
      </c>
      <c r="G50" s="51" t="s">
        <v>103</v>
      </c>
      <c r="H50" s="31" t="s">
        <v>114</v>
      </c>
      <c r="I50" s="31" t="s">
        <v>229</v>
      </c>
      <c r="J50" s="58" t="s">
        <v>230</v>
      </c>
      <c r="K50" s="58">
        <v>4</v>
      </c>
      <c r="L50" s="31" t="s">
        <v>183</v>
      </c>
      <c r="M50" s="62" t="s">
        <v>184</v>
      </c>
      <c r="N50" s="36"/>
      <c r="O50" s="63">
        <v>780</v>
      </c>
      <c r="P50" s="33">
        <v>219</v>
      </c>
      <c r="Q50" s="31" t="s">
        <v>231</v>
      </c>
      <c r="R50" s="31" t="s">
        <v>232</v>
      </c>
    </row>
    <row r="51" spans="1:18" ht="99.75">
      <c r="A51" s="55" t="s">
        <v>74</v>
      </c>
      <c r="B51" s="48"/>
      <c r="C51" s="49" t="s">
        <v>233</v>
      </c>
      <c r="D51" s="31" t="s">
        <v>234</v>
      </c>
      <c r="E51" s="31" t="s">
        <v>235</v>
      </c>
      <c r="F51" s="31" t="s">
        <v>236</v>
      </c>
      <c r="G51" s="51" t="s">
        <v>103</v>
      </c>
      <c r="H51" s="31" t="s">
        <v>114</v>
      </c>
      <c r="I51" s="50" t="s">
        <v>237</v>
      </c>
      <c r="J51" s="58" t="s">
        <v>238</v>
      </c>
      <c r="K51" s="58" t="s">
        <v>239</v>
      </c>
      <c r="L51" s="31" t="s">
        <v>107</v>
      </c>
      <c r="M51" s="62" t="s">
        <v>108</v>
      </c>
      <c r="N51" s="63">
        <v>2037</v>
      </c>
      <c r="O51" s="63">
        <v>2030</v>
      </c>
      <c r="P51" s="33" t="s">
        <v>370</v>
      </c>
      <c r="Q51" s="32" t="s">
        <v>240</v>
      </c>
      <c r="R51" s="31" t="s">
        <v>241</v>
      </c>
    </row>
    <row r="52" spans="1:18" ht="99.75">
      <c r="A52" s="71" t="s">
        <v>88</v>
      </c>
      <c r="B52" s="48"/>
      <c r="C52" s="49" t="s">
        <v>242</v>
      </c>
      <c r="D52" s="31" t="s">
        <v>243</v>
      </c>
      <c r="E52" s="31" t="s">
        <v>244</v>
      </c>
      <c r="F52" s="31" t="s">
        <v>245</v>
      </c>
      <c r="G52" s="51" t="s">
        <v>103</v>
      </c>
      <c r="H52" s="31" t="s">
        <v>114</v>
      </c>
      <c r="I52" s="50" t="s">
        <v>246</v>
      </c>
      <c r="J52" s="58" t="s">
        <v>247</v>
      </c>
      <c r="K52" s="58" t="s">
        <v>248</v>
      </c>
      <c r="L52" s="31" t="s">
        <v>107</v>
      </c>
      <c r="M52" s="62" t="s">
        <v>108</v>
      </c>
      <c r="N52" s="31" t="s">
        <v>85</v>
      </c>
      <c r="O52" s="63">
        <v>1188</v>
      </c>
      <c r="P52" s="33" t="s">
        <v>371</v>
      </c>
      <c r="Q52" s="32" t="s">
        <v>249</v>
      </c>
      <c r="R52" s="31" t="s">
        <v>241</v>
      </c>
    </row>
    <row r="53" spans="1:18" ht="99.75">
      <c r="A53" s="23" t="s">
        <v>74</v>
      </c>
      <c r="B53" s="72" t="s">
        <v>98</v>
      </c>
      <c r="C53" s="73" t="s">
        <v>250</v>
      </c>
      <c r="D53" s="31" t="s">
        <v>251</v>
      </c>
      <c r="E53" s="31" t="s">
        <v>352</v>
      </c>
      <c r="F53" s="31" t="s">
        <v>113</v>
      </c>
      <c r="G53" s="31" t="s">
        <v>103</v>
      </c>
      <c r="H53" s="31" t="s">
        <v>79</v>
      </c>
      <c r="I53" s="31" t="s">
        <v>252</v>
      </c>
      <c r="J53" s="58" t="s">
        <v>253</v>
      </c>
      <c r="K53" s="58" t="s">
        <v>254</v>
      </c>
      <c r="L53" s="31" t="s">
        <v>107</v>
      </c>
      <c r="M53" s="31" t="s">
        <v>108</v>
      </c>
      <c r="N53" s="31">
        <v>4431</v>
      </c>
      <c r="O53" s="31">
        <v>5000</v>
      </c>
      <c r="P53" s="33" t="s">
        <v>376</v>
      </c>
      <c r="Q53" s="31" t="s">
        <v>255</v>
      </c>
      <c r="R53" s="31" t="s">
        <v>256</v>
      </c>
    </row>
    <row r="54" spans="1:18" ht="199.5">
      <c r="A54" s="48" t="s">
        <v>88</v>
      </c>
      <c r="B54" s="48"/>
      <c r="C54" s="74" t="s">
        <v>257</v>
      </c>
      <c r="D54" s="31" t="s">
        <v>258</v>
      </c>
      <c r="E54" s="31" t="s">
        <v>259</v>
      </c>
      <c r="F54" s="31" t="s">
        <v>260</v>
      </c>
      <c r="G54" s="31" t="s">
        <v>103</v>
      </c>
      <c r="H54" s="31" t="s">
        <v>114</v>
      </c>
      <c r="I54" s="31" t="s">
        <v>261</v>
      </c>
      <c r="J54" s="58" t="s">
        <v>262</v>
      </c>
      <c r="K54" s="58" t="s">
        <v>263</v>
      </c>
      <c r="L54" s="31" t="s">
        <v>107</v>
      </c>
      <c r="M54" s="31" t="s">
        <v>108</v>
      </c>
      <c r="N54" s="31">
        <v>17</v>
      </c>
      <c r="O54" s="31">
        <v>7</v>
      </c>
      <c r="P54" s="109" t="s">
        <v>377</v>
      </c>
      <c r="Q54" s="31" t="s">
        <v>264</v>
      </c>
      <c r="R54" s="31" t="s">
        <v>265</v>
      </c>
    </row>
    <row r="55" spans="1:18" ht="128.25">
      <c r="A55" s="23" t="s">
        <v>88</v>
      </c>
      <c r="B55" s="75" t="s">
        <v>98</v>
      </c>
      <c r="C55" s="44" t="s">
        <v>266</v>
      </c>
      <c r="D55" s="31" t="s">
        <v>267</v>
      </c>
      <c r="E55" s="31" t="s">
        <v>268</v>
      </c>
      <c r="F55" s="31" t="s">
        <v>269</v>
      </c>
      <c r="G55" s="31" t="s">
        <v>103</v>
      </c>
      <c r="H55" s="31" t="s">
        <v>79</v>
      </c>
      <c r="I55" s="31" t="s">
        <v>270</v>
      </c>
      <c r="J55" s="76" t="s">
        <v>271</v>
      </c>
      <c r="K55" s="77" t="s">
        <v>272</v>
      </c>
      <c r="L55" s="31" t="s">
        <v>107</v>
      </c>
      <c r="M55" s="31" t="s">
        <v>108</v>
      </c>
      <c r="N55" s="78" t="s">
        <v>85</v>
      </c>
      <c r="O55" s="31">
        <v>1100</v>
      </c>
      <c r="P55" s="33" t="s">
        <v>378</v>
      </c>
      <c r="Q55" s="31" t="s">
        <v>273</v>
      </c>
      <c r="R55" s="31" t="s">
        <v>274</v>
      </c>
    </row>
    <row r="56" spans="1:18" ht="156.75">
      <c r="A56" s="47" t="s">
        <v>74</v>
      </c>
      <c r="B56" s="79"/>
      <c r="C56" s="49" t="s">
        <v>275</v>
      </c>
      <c r="D56" s="31" t="s">
        <v>276</v>
      </c>
      <c r="E56" s="31" t="s">
        <v>277</v>
      </c>
      <c r="F56" s="31" t="s">
        <v>278</v>
      </c>
      <c r="G56" s="31" t="s">
        <v>103</v>
      </c>
      <c r="H56" s="31" t="s">
        <v>114</v>
      </c>
      <c r="I56" s="31" t="s">
        <v>279</v>
      </c>
      <c r="J56" s="58" t="s">
        <v>280</v>
      </c>
      <c r="K56" s="58" t="s">
        <v>281</v>
      </c>
      <c r="L56" s="31" t="s">
        <v>107</v>
      </c>
      <c r="M56" s="31" t="s">
        <v>108</v>
      </c>
      <c r="N56" s="78" t="s">
        <v>85</v>
      </c>
      <c r="O56" s="31">
        <v>700</v>
      </c>
      <c r="P56" s="33" t="s">
        <v>379</v>
      </c>
      <c r="Q56" s="31" t="s">
        <v>282</v>
      </c>
      <c r="R56" s="31" t="s">
        <v>283</v>
      </c>
    </row>
    <row r="57" spans="1:18" ht="114">
      <c r="A57" s="71" t="s">
        <v>88</v>
      </c>
      <c r="B57" s="79"/>
      <c r="C57" s="49" t="s">
        <v>284</v>
      </c>
      <c r="D57" s="31" t="s">
        <v>285</v>
      </c>
      <c r="E57" s="31" t="s">
        <v>286</v>
      </c>
      <c r="F57" s="31" t="s">
        <v>287</v>
      </c>
      <c r="G57" s="31" t="s">
        <v>103</v>
      </c>
      <c r="H57" s="31" t="s">
        <v>114</v>
      </c>
      <c r="I57" s="31" t="s">
        <v>288</v>
      </c>
      <c r="J57" s="58" t="s">
        <v>289</v>
      </c>
      <c r="K57" s="58" t="s">
        <v>290</v>
      </c>
      <c r="L57" s="31" t="s">
        <v>107</v>
      </c>
      <c r="M57" s="31" t="s">
        <v>108</v>
      </c>
      <c r="N57" s="78" t="s">
        <v>85</v>
      </c>
      <c r="O57" s="31">
        <v>400</v>
      </c>
      <c r="P57" s="111" t="s">
        <v>380</v>
      </c>
      <c r="Q57" s="31" t="s">
        <v>291</v>
      </c>
      <c r="R57" s="31" t="s">
        <v>292</v>
      </c>
    </row>
    <row r="58" spans="1:18" ht="128.25">
      <c r="B58" s="72" t="s">
        <v>293</v>
      </c>
      <c r="C58" s="44" t="s">
        <v>294</v>
      </c>
      <c r="D58" s="31" t="s">
        <v>295</v>
      </c>
      <c r="E58" s="31" t="s">
        <v>296</v>
      </c>
      <c r="F58" s="31" t="s">
        <v>297</v>
      </c>
      <c r="G58" s="31" t="s">
        <v>103</v>
      </c>
      <c r="H58" s="31" t="s">
        <v>79</v>
      </c>
      <c r="I58" s="31" t="s">
        <v>298</v>
      </c>
      <c r="J58" s="58" t="s">
        <v>299</v>
      </c>
      <c r="K58" s="58" t="s">
        <v>300</v>
      </c>
      <c r="L58" s="31" t="s">
        <v>107</v>
      </c>
      <c r="M58" s="31" t="s">
        <v>108</v>
      </c>
      <c r="N58" s="81">
        <v>12</v>
      </c>
      <c r="O58" s="31">
        <v>12</v>
      </c>
      <c r="P58" s="111" t="s">
        <v>371</v>
      </c>
      <c r="Q58" s="31" t="s">
        <v>301</v>
      </c>
      <c r="R58" s="31" t="s">
        <v>302</v>
      </c>
    </row>
    <row r="59" spans="1:18" ht="128.25">
      <c r="A59" s="48" t="s">
        <v>74</v>
      </c>
      <c r="B59" s="48"/>
      <c r="C59" s="49" t="s">
        <v>303</v>
      </c>
      <c r="D59" s="31" t="s">
        <v>304</v>
      </c>
      <c r="E59" s="31" t="s">
        <v>305</v>
      </c>
      <c r="F59" s="32" t="s">
        <v>306</v>
      </c>
      <c r="G59" s="31" t="s">
        <v>103</v>
      </c>
      <c r="H59" s="31" t="s">
        <v>114</v>
      </c>
      <c r="I59" s="31" t="s">
        <v>381</v>
      </c>
      <c r="J59" s="58" t="s">
        <v>308</v>
      </c>
      <c r="K59" s="58">
        <v>4</v>
      </c>
      <c r="L59" s="31" t="s">
        <v>183</v>
      </c>
      <c r="M59" s="31" t="s">
        <v>184</v>
      </c>
      <c r="N59" s="78" t="s">
        <v>85</v>
      </c>
      <c r="O59" s="31">
        <v>990</v>
      </c>
      <c r="P59" s="33">
        <v>60.8</v>
      </c>
      <c r="Q59" s="31" t="s">
        <v>309</v>
      </c>
      <c r="R59" s="31" t="s">
        <v>310</v>
      </c>
    </row>
    <row r="60" spans="1:18" ht="171.75">
      <c r="A60" s="48" t="s">
        <v>88</v>
      </c>
      <c r="B60" s="48"/>
      <c r="C60" s="49" t="s">
        <v>311</v>
      </c>
      <c r="D60" s="82" t="s">
        <v>312</v>
      </c>
      <c r="E60" s="83" t="s">
        <v>313</v>
      </c>
      <c r="F60" s="84" t="s">
        <v>314</v>
      </c>
      <c r="G60" s="83" t="s">
        <v>103</v>
      </c>
      <c r="H60" s="83" t="s">
        <v>114</v>
      </c>
      <c r="I60" s="84" t="s">
        <v>315</v>
      </c>
      <c r="J60" s="85" t="s">
        <v>316</v>
      </c>
      <c r="K60" s="86" t="s">
        <v>317</v>
      </c>
      <c r="L60" s="84" t="s">
        <v>107</v>
      </c>
      <c r="M60" s="84" t="s">
        <v>108</v>
      </c>
      <c r="N60" s="87" t="s">
        <v>85</v>
      </c>
      <c r="O60" s="84">
        <v>1800</v>
      </c>
      <c r="P60" s="112" t="s">
        <v>382</v>
      </c>
      <c r="Q60" s="83" t="s">
        <v>318</v>
      </c>
      <c r="R60" s="83" t="s">
        <v>310</v>
      </c>
    </row>
    <row r="61" spans="1:18" ht="15.75">
      <c r="A61" s="90"/>
      <c r="B61" s="91"/>
    </row>
    <row r="62" spans="1:18" ht="15.75">
      <c r="D62" s="92"/>
      <c r="E62" s="92"/>
      <c r="F62" s="92"/>
      <c r="G62" s="92"/>
      <c r="H62" s="92"/>
    </row>
    <row r="63" spans="1:18" ht="15.75">
      <c r="D63" s="92"/>
      <c r="E63" s="92"/>
      <c r="F63" s="92"/>
      <c r="G63" s="92"/>
      <c r="H63" s="92"/>
    </row>
    <row r="64" spans="1:18" ht="15.75">
      <c r="D64" s="92"/>
      <c r="E64" s="92"/>
      <c r="F64" s="92"/>
      <c r="G64" s="92"/>
      <c r="H64" s="92"/>
    </row>
    <row r="65" spans="4:8" ht="15.75">
      <c r="D65" s="92"/>
      <c r="E65" s="92"/>
      <c r="F65" s="92"/>
      <c r="G65" s="92"/>
      <c r="H65" s="92"/>
    </row>
    <row r="66" spans="4:8" ht="15.75">
      <c r="D66" s="92"/>
      <c r="E66" s="92"/>
      <c r="F66" s="92"/>
      <c r="G66" s="92"/>
      <c r="H66" s="92"/>
    </row>
    <row r="67" spans="4:8" ht="15.75">
      <c r="D67" s="92"/>
      <c r="E67" s="92"/>
      <c r="F67" s="92"/>
      <c r="G67" s="92"/>
      <c r="H67" s="92"/>
    </row>
    <row r="68" spans="4:8" ht="15.75">
      <c r="D68" s="92"/>
      <c r="E68" s="92"/>
      <c r="F68" s="92"/>
      <c r="G68" s="92"/>
      <c r="H68" s="92"/>
    </row>
    <row r="69" spans="4:8" ht="15.75">
      <c r="D69" s="92"/>
      <c r="E69" s="92"/>
      <c r="F69" s="92"/>
      <c r="G69" s="92"/>
      <c r="H69" s="92"/>
    </row>
    <row r="70" spans="4:8" ht="15.75">
      <c r="D70" s="92"/>
      <c r="E70" s="92"/>
      <c r="F70" s="92"/>
      <c r="G70" s="92"/>
      <c r="H70" s="92"/>
    </row>
    <row r="71" spans="4:8" ht="15.75">
      <c r="D71" s="92"/>
      <c r="E71" s="92"/>
      <c r="F71" s="92"/>
      <c r="G71" s="92"/>
      <c r="H71" s="92"/>
    </row>
    <row r="72" spans="4:8" ht="15.75">
      <c r="D72" s="92"/>
      <c r="E72" s="92"/>
      <c r="F72" s="92"/>
      <c r="G72" s="92"/>
      <c r="H72" s="92"/>
    </row>
    <row r="73" spans="4:8" ht="15.75">
      <c r="D73" s="92"/>
      <c r="E73" s="92"/>
      <c r="F73" s="92"/>
      <c r="G73" s="92"/>
      <c r="H73" s="92"/>
    </row>
    <row r="74" spans="4:8" ht="15.75">
      <c r="D74" s="92"/>
      <c r="E74" s="92"/>
      <c r="F74" s="92"/>
      <c r="G74" s="92"/>
      <c r="H74" s="92"/>
    </row>
    <row r="75" spans="4:8" ht="15.75">
      <c r="D75" s="92"/>
      <c r="E75" s="92"/>
      <c r="F75" s="92"/>
      <c r="G75" s="92"/>
      <c r="H75" s="92"/>
    </row>
    <row r="76" spans="4:8" ht="15.75">
      <c r="D76" s="92"/>
      <c r="E76" s="92"/>
      <c r="F76" s="92"/>
      <c r="G76" s="92"/>
      <c r="H76" s="92"/>
    </row>
    <row r="77" spans="4:8" ht="15.75">
      <c r="D77" s="92"/>
      <c r="E77" s="92"/>
      <c r="F77" s="92"/>
      <c r="G77" s="92"/>
      <c r="H77" s="92"/>
    </row>
    <row r="78" spans="4:8" ht="15.75">
      <c r="D78" s="92"/>
      <c r="E78" s="92"/>
      <c r="F78" s="92"/>
      <c r="G78" s="92"/>
      <c r="H78" s="92"/>
    </row>
    <row r="79" spans="4:8" ht="15.75">
      <c r="D79" s="92"/>
      <c r="E79" s="92"/>
      <c r="F79" s="92"/>
      <c r="G79" s="92"/>
      <c r="H79" s="92"/>
    </row>
    <row r="80" spans="4:8" ht="15.75">
      <c r="D80" s="92"/>
      <c r="E80" s="92"/>
      <c r="F80" s="92"/>
      <c r="G80" s="92"/>
      <c r="H80" s="92"/>
    </row>
    <row r="81" spans="4:8" ht="15.75">
      <c r="D81" s="92"/>
      <c r="E81" s="92"/>
      <c r="F81" s="92"/>
      <c r="G81" s="92"/>
      <c r="H81" s="92"/>
    </row>
    <row r="82" spans="4:8" ht="15.75">
      <c r="D82" s="92"/>
      <c r="E82" s="92"/>
      <c r="F82" s="92"/>
      <c r="G82" s="92"/>
      <c r="H82" s="92"/>
    </row>
    <row r="83" spans="4:8" ht="15.75">
      <c r="D83" s="92"/>
      <c r="E83" s="92"/>
      <c r="F83" s="92"/>
      <c r="G83" s="92"/>
      <c r="H83" s="92"/>
    </row>
    <row r="84" spans="4:8" ht="15.75">
      <c r="D84" s="92"/>
      <c r="E84" s="92"/>
      <c r="F84" s="92"/>
      <c r="G84" s="92"/>
      <c r="H84" s="92"/>
    </row>
    <row r="85" spans="4:8" ht="15.75">
      <c r="D85" s="92"/>
      <c r="E85" s="92"/>
      <c r="F85" s="92"/>
      <c r="G85" s="92"/>
      <c r="H85" s="92"/>
    </row>
    <row r="86" spans="4:8" ht="15.75">
      <c r="D86" s="92"/>
      <c r="E86" s="92"/>
      <c r="F86" s="92"/>
      <c r="G86" s="92"/>
      <c r="H86" s="92"/>
    </row>
    <row r="87" spans="4:8" ht="15.75">
      <c r="D87" s="92"/>
      <c r="E87" s="92"/>
      <c r="F87" s="92"/>
      <c r="G87" s="92"/>
      <c r="H87" s="92"/>
    </row>
    <row r="88" spans="4:8" ht="15.75">
      <c r="D88" s="92"/>
      <c r="E88" s="92"/>
      <c r="F88" s="92"/>
      <c r="G88" s="92"/>
      <c r="H88" s="92"/>
    </row>
    <row r="89" spans="4:8" ht="15.75">
      <c r="D89" s="92"/>
      <c r="E89" s="92"/>
      <c r="F89" s="92"/>
      <c r="G89" s="92"/>
      <c r="H89" s="92"/>
    </row>
    <row r="90" spans="4:8" ht="15.75">
      <c r="D90" s="92"/>
      <c r="E90" s="92"/>
      <c r="F90" s="92"/>
      <c r="G90" s="92"/>
      <c r="H90" s="92"/>
    </row>
    <row r="91" spans="4:8" ht="15.75">
      <c r="D91" s="92"/>
      <c r="E91" s="92"/>
      <c r="F91" s="92"/>
      <c r="G91" s="92"/>
      <c r="H91" s="92"/>
    </row>
    <row r="92" spans="4:8" ht="15.75">
      <c r="D92" s="92"/>
      <c r="E92" s="92"/>
      <c r="F92" s="92"/>
      <c r="G92" s="92"/>
      <c r="H92" s="92"/>
    </row>
    <row r="93" spans="4:8" ht="15.75">
      <c r="D93" s="92"/>
      <c r="E93" s="92"/>
      <c r="F93" s="92"/>
      <c r="G93" s="92"/>
      <c r="H93" s="92"/>
    </row>
    <row r="94" spans="4:8" ht="15.75">
      <c r="D94" s="92"/>
      <c r="E94" s="92"/>
      <c r="F94" s="92"/>
      <c r="G94" s="92"/>
      <c r="H94" s="92"/>
    </row>
    <row r="95" spans="4:8" ht="15.75">
      <c r="D95" s="92"/>
      <c r="E95" s="92"/>
      <c r="F95" s="92"/>
      <c r="G95" s="92"/>
      <c r="H95" s="92"/>
    </row>
    <row r="96" spans="4:8" ht="15.75">
      <c r="D96" s="92"/>
      <c r="E96" s="92"/>
      <c r="F96" s="92"/>
      <c r="G96" s="92"/>
      <c r="H96" s="92"/>
    </row>
    <row r="97" spans="4:8" ht="15.75">
      <c r="D97" s="92"/>
      <c r="E97" s="92"/>
      <c r="F97" s="92"/>
      <c r="G97" s="92"/>
      <c r="H97" s="92"/>
    </row>
    <row r="98" spans="4:8" ht="15.75">
      <c r="D98" s="92"/>
      <c r="E98" s="92"/>
      <c r="F98" s="92"/>
      <c r="G98" s="92"/>
      <c r="H98" s="92"/>
    </row>
    <row r="99" spans="4:8" ht="15.75">
      <c r="D99" s="92"/>
      <c r="E99" s="92"/>
      <c r="F99" s="92"/>
      <c r="G99" s="92"/>
      <c r="H99" s="92"/>
    </row>
    <row r="100" spans="4:8" ht="15.75">
      <c r="D100" s="92"/>
      <c r="E100" s="92"/>
      <c r="F100" s="92"/>
      <c r="G100" s="92"/>
      <c r="H100" s="92"/>
    </row>
    <row r="101" spans="4:8" ht="15.75">
      <c r="D101" s="92"/>
      <c r="E101" s="92"/>
      <c r="F101" s="92"/>
      <c r="G101" s="92"/>
      <c r="H101" s="92"/>
    </row>
    <row r="102" spans="4:8" ht="15.75">
      <c r="D102" s="92"/>
      <c r="E102" s="92"/>
      <c r="F102" s="92"/>
      <c r="G102" s="92"/>
      <c r="H102" s="92"/>
    </row>
    <row r="103" spans="4:8" ht="15.75">
      <c r="D103" s="92"/>
      <c r="E103" s="92"/>
      <c r="F103" s="92"/>
      <c r="G103" s="92"/>
      <c r="H103" s="92"/>
    </row>
    <row r="104" spans="4:8" ht="15.75">
      <c r="D104" s="92"/>
      <c r="E104" s="92"/>
      <c r="F104" s="92"/>
      <c r="G104" s="92"/>
      <c r="H104" s="92"/>
    </row>
    <row r="105" spans="4:8" ht="15.75">
      <c r="D105" s="92"/>
      <c r="E105" s="92"/>
      <c r="F105" s="92"/>
      <c r="G105" s="92"/>
      <c r="H105" s="92"/>
    </row>
    <row r="106" spans="4:8" ht="15.75">
      <c r="D106" s="92"/>
      <c r="E106" s="92"/>
      <c r="F106" s="92"/>
      <c r="G106" s="92"/>
      <c r="H106" s="92"/>
    </row>
    <row r="107" spans="4:8" ht="15.75">
      <c r="D107" s="92"/>
      <c r="E107" s="92"/>
      <c r="F107" s="92"/>
      <c r="G107" s="92"/>
      <c r="H107" s="92"/>
    </row>
    <row r="108" spans="4:8" ht="15.75">
      <c r="D108" s="92"/>
      <c r="E108" s="92"/>
      <c r="F108" s="92"/>
      <c r="G108" s="92"/>
      <c r="H108" s="92"/>
    </row>
    <row r="109" spans="4:8" ht="15.75">
      <c r="D109" s="92"/>
      <c r="E109" s="92"/>
      <c r="F109" s="92"/>
      <c r="G109" s="92"/>
      <c r="H109" s="92"/>
    </row>
    <row r="110" spans="4:8" ht="15.75">
      <c r="D110" s="92"/>
      <c r="E110" s="92"/>
      <c r="F110" s="92"/>
      <c r="G110" s="92"/>
      <c r="H110" s="92"/>
    </row>
    <row r="111" spans="4:8" ht="15.75">
      <c r="D111" s="92"/>
      <c r="E111" s="92"/>
      <c r="F111" s="92"/>
      <c r="G111" s="92"/>
      <c r="H111" s="92"/>
    </row>
    <row r="112" spans="4:8" ht="15.75">
      <c r="D112" s="92"/>
      <c r="E112" s="92"/>
      <c r="F112" s="92"/>
      <c r="G112" s="92"/>
      <c r="H112" s="92"/>
    </row>
    <row r="113" spans="3:18" ht="15.75">
      <c r="D113" s="92"/>
      <c r="E113" s="92"/>
      <c r="F113" s="92"/>
      <c r="G113" s="92"/>
      <c r="H113" s="92"/>
    </row>
    <row r="114" spans="3:18" ht="15.75">
      <c r="D114" s="92"/>
      <c r="E114" s="92"/>
      <c r="F114" s="92"/>
      <c r="G114" s="92"/>
      <c r="H114" s="92"/>
    </row>
    <row r="115" spans="3:18" ht="15.75">
      <c r="D115" s="92"/>
      <c r="E115" s="92"/>
      <c r="F115" s="92"/>
      <c r="G115" s="92"/>
      <c r="H115" s="92"/>
    </row>
    <row r="116" spans="3:18" ht="15.75">
      <c r="D116" s="92"/>
      <c r="E116" s="92"/>
      <c r="F116" s="92"/>
      <c r="G116" s="92"/>
      <c r="H116" s="92"/>
    </row>
    <row r="117" spans="3:18" ht="15.75">
      <c r="D117" s="92"/>
      <c r="E117" s="92"/>
      <c r="F117" s="92"/>
      <c r="G117" s="92"/>
      <c r="H117" s="92"/>
    </row>
    <row r="118" spans="3:18" ht="15.75">
      <c r="D118" s="92"/>
      <c r="E118" s="92"/>
      <c r="F118" s="92"/>
      <c r="G118" s="92"/>
      <c r="H118" s="92"/>
    </row>
    <row r="119" spans="3:18" ht="15.75">
      <c r="D119" s="92"/>
      <c r="E119" s="92"/>
      <c r="F119" s="92"/>
      <c r="G119" s="92"/>
      <c r="H119" s="92"/>
    </row>
    <row r="120" spans="3:18" ht="15.75">
      <c r="D120" s="92"/>
      <c r="E120" s="92"/>
      <c r="F120" s="92"/>
      <c r="G120" s="92"/>
      <c r="H120" s="92"/>
    </row>
    <row r="121" spans="3:18" ht="15.75">
      <c r="D121" s="92"/>
      <c r="E121" s="92"/>
      <c r="F121" s="92"/>
      <c r="G121" s="92"/>
      <c r="H121" s="92"/>
    </row>
    <row r="122" spans="3:18" ht="15.75">
      <c r="D122" s="92"/>
      <c r="E122" s="92"/>
      <c r="F122" s="92"/>
      <c r="G122" s="92"/>
      <c r="H122" s="92"/>
    </row>
    <row r="123" spans="3:18" ht="15.75">
      <c r="D123" s="92"/>
      <c r="E123" s="92"/>
      <c r="F123" s="92"/>
      <c r="G123" s="92"/>
      <c r="H123" s="92"/>
    </row>
    <row r="124" spans="3:18" ht="15.75">
      <c r="D124" s="92"/>
      <c r="E124" s="92"/>
      <c r="F124" s="92"/>
      <c r="G124" s="92"/>
      <c r="H124" s="92"/>
    </row>
    <row r="125" spans="3:18" ht="15.75">
      <c r="D125" s="92"/>
      <c r="E125" s="92"/>
      <c r="F125" s="92"/>
      <c r="G125" s="92"/>
      <c r="H125" s="92"/>
    </row>
    <row r="126" spans="3:18" ht="15.75">
      <c r="D126" s="92"/>
      <c r="E126" s="92"/>
      <c r="F126" s="92"/>
      <c r="G126" s="92"/>
      <c r="H126" s="92"/>
    </row>
    <row r="127" spans="3:18" ht="15.75">
      <c r="C127" s="93" t="s">
        <v>319</v>
      </c>
      <c r="D127" s="166"/>
      <c r="E127" s="167"/>
      <c r="F127" s="167"/>
      <c r="G127" s="168"/>
      <c r="H127" s="12" t="s">
        <v>7</v>
      </c>
      <c r="I127" s="156" t="s">
        <v>320</v>
      </c>
      <c r="J127" s="157"/>
      <c r="K127" s="157"/>
      <c r="L127" s="157"/>
      <c r="M127" s="157"/>
      <c r="N127" s="157"/>
      <c r="O127" s="157"/>
      <c r="P127" s="157"/>
      <c r="Q127" s="157"/>
      <c r="R127" s="158"/>
    </row>
    <row r="128" spans="3:18" ht="15.75">
      <c r="C128" s="10" t="s">
        <v>321</v>
      </c>
      <c r="D128" s="159"/>
      <c r="E128" s="157"/>
      <c r="F128" s="157"/>
      <c r="G128" s="158"/>
      <c r="H128" s="12" t="s">
        <v>7</v>
      </c>
      <c r="I128" s="94" t="s">
        <v>322</v>
      </c>
      <c r="J128" s="95" t="s">
        <v>323</v>
      </c>
      <c r="K128" s="95" t="s">
        <v>324</v>
      </c>
      <c r="L128" s="95" t="s">
        <v>325</v>
      </c>
      <c r="M128" s="95" t="s">
        <v>326</v>
      </c>
      <c r="N128" s="95" t="s">
        <v>327</v>
      </c>
      <c r="O128" s="95" t="s">
        <v>328</v>
      </c>
      <c r="P128" s="95" t="s">
        <v>329</v>
      </c>
      <c r="Q128" s="95" t="s">
        <v>330</v>
      </c>
      <c r="R128" s="95" t="s">
        <v>331</v>
      </c>
    </row>
    <row r="129" spans="3:18" ht="15.75">
      <c r="C129" s="10" t="s">
        <v>334</v>
      </c>
      <c r="D129" s="159"/>
      <c r="E129" s="157"/>
      <c r="F129" s="157"/>
      <c r="G129" s="158"/>
      <c r="H129" s="12" t="s">
        <v>7</v>
      </c>
      <c r="I129" s="37"/>
      <c r="J129" s="37"/>
      <c r="K129" s="37"/>
      <c r="L129" s="37"/>
      <c r="M129" s="37"/>
      <c r="N129" s="37"/>
      <c r="O129" s="37"/>
      <c r="P129" s="37"/>
      <c r="Q129" s="37"/>
      <c r="R129" s="37"/>
    </row>
    <row r="130" spans="3:18" ht="15.75">
      <c r="C130" s="49" t="s">
        <v>335</v>
      </c>
      <c r="D130" s="160"/>
      <c r="E130" s="157"/>
      <c r="F130" s="157"/>
      <c r="G130" s="158"/>
      <c r="H130" s="92"/>
      <c r="I130" s="9"/>
      <c r="J130" s="9"/>
      <c r="K130" s="9"/>
      <c r="L130" s="9"/>
      <c r="M130" s="9"/>
      <c r="N130" s="9"/>
      <c r="O130" s="9"/>
      <c r="P130" s="9"/>
      <c r="Q130" s="9"/>
      <c r="R130" s="9"/>
    </row>
    <row r="131" spans="3:18" ht="15.75">
      <c r="C131" s="10" t="s">
        <v>336</v>
      </c>
      <c r="D131" s="161"/>
      <c r="E131" s="157"/>
      <c r="F131" s="157"/>
      <c r="G131" s="158"/>
      <c r="H131" s="12" t="s">
        <v>7</v>
      </c>
      <c r="I131" s="9"/>
      <c r="J131" s="9"/>
      <c r="K131" s="9"/>
      <c r="L131" s="9"/>
      <c r="M131" s="9"/>
      <c r="N131" s="9"/>
      <c r="O131" s="9"/>
      <c r="P131" s="9"/>
      <c r="Q131" s="9"/>
      <c r="R131" s="9"/>
    </row>
    <row r="132" spans="3:18" ht="31.5">
      <c r="C132" s="10" t="s">
        <v>337</v>
      </c>
      <c r="D132" s="159"/>
      <c r="E132" s="157"/>
      <c r="F132" s="157"/>
      <c r="G132" s="158"/>
      <c r="H132" s="92"/>
      <c r="I132" s="9"/>
      <c r="J132" s="9"/>
      <c r="K132" s="9"/>
      <c r="L132" s="9"/>
      <c r="M132" s="9"/>
      <c r="N132" s="9"/>
      <c r="O132" s="9"/>
      <c r="P132" s="9"/>
      <c r="Q132" s="9"/>
      <c r="R132" s="9"/>
    </row>
    <row r="133" spans="3:18" ht="31.5">
      <c r="C133" s="10" t="s">
        <v>338</v>
      </c>
      <c r="D133" s="164"/>
      <c r="E133" s="157"/>
      <c r="F133" s="157"/>
      <c r="G133" s="158"/>
      <c r="H133" s="92"/>
      <c r="I133" s="9"/>
      <c r="J133" s="9"/>
      <c r="K133" s="9"/>
      <c r="L133" s="9"/>
      <c r="M133" s="9"/>
      <c r="N133" s="9"/>
      <c r="O133" s="9"/>
      <c r="P133" s="9"/>
      <c r="Q133" s="9"/>
      <c r="R133" s="9"/>
    </row>
    <row r="134" spans="3:18" ht="15.75">
      <c r="D134" s="92"/>
      <c r="E134" s="92"/>
      <c r="F134" s="92"/>
      <c r="G134" s="92"/>
      <c r="H134" s="92"/>
    </row>
    <row r="135" spans="3:18" ht="15.75">
      <c r="D135" s="92"/>
      <c r="E135" s="92"/>
      <c r="F135" s="92"/>
      <c r="G135" s="92"/>
      <c r="H135" s="92"/>
    </row>
    <row r="136" spans="3:18" ht="15.75">
      <c r="D136" s="92"/>
      <c r="E136" s="92"/>
      <c r="F136" s="92"/>
      <c r="G136" s="92"/>
      <c r="H136" s="92"/>
    </row>
    <row r="137" spans="3:18" ht="15.75">
      <c r="D137" s="92"/>
      <c r="E137" s="92"/>
      <c r="F137" s="92"/>
      <c r="G137" s="92"/>
      <c r="H137" s="92"/>
    </row>
    <row r="138" spans="3:18" ht="15.75">
      <c r="D138" s="92"/>
      <c r="E138" s="92"/>
      <c r="F138" s="92"/>
      <c r="G138" s="92"/>
      <c r="H138" s="92"/>
    </row>
    <row r="139" spans="3:18" ht="15.75">
      <c r="D139" s="92"/>
      <c r="E139" s="92"/>
      <c r="F139" s="92"/>
      <c r="G139" s="92"/>
      <c r="H139" s="92"/>
    </row>
    <row r="140" spans="3:18" ht="15.75">
      <c r="D140" s="92"/>
      <c r="E140" s="92"/>
      <c r="F140" s="92"/>
      <c r="G140" s="92"/>
      <c r="H140" s="92"/>
    </row>
    <row r="141" spans="3:18" ht="15.75">
      <c r="D141" s="92"/>
      <c r="E141" s="92"/>
      <c r="F141" s="92"/>
      <c r="G141" s="92"/>
      <c r="H141" s="92"/>
    </row>
    <row r="142" spans="3:18" ht="15.75">
      <c r="D142" s="92"/>
      <c r="E142" s="92"/>
      <c r="F142" s="92"/>
      <c r="G142" s="92"/>
      <c r="H142" s="92"/>
    </row>
    <row r="143" spans="3:18" ht="15.75">
      <c r="D143" s="92"/>
      <c r="E143" s="92"/>
      <c r="F143" s="92"/>
      <c r="G143" s="92"/>
      <c r="H143" s="92"/>
    </row>
    <row r="144" spans="3:18" ht="15.75">
      <c r="D144" s="92"/>
      <c r="E144" s="92"/>
      <c r="F144" s="92"/>
      <c r="G144" s="92"/>
      <c r="H144" s="92"/>
    </row>
    <row r="145" spans="4:8" ht="15.75">
      <c r="D145" s="92"/>
      <c r="E145" s="92"/>
      <c r="F145" s="92"/>
      <c r="G145" s="92"/>
      <c r="H145" s="92"/>
    </row>
    <row r="146" spans="4:8" ht="15.75">
      <c r="D146" s="92"/>
      <c r="E146" s="92"/>
      <c r="F146" s="92"/>
      <c r="G146" s="92"/>
      <c r="H146" s="92"/>
    </row>
    <row r="147" spans="4:8" ht="15.75">
      <c r="D147" s="92"/>
      <c r="E147" s="92"/>
      <c r="F147" s="92"/>
      <c r="G147" s="92"/>
      <c r="H147" s="92"/>
    </row>
    <row r="148" spans="4:8" ht="15.75">
      <c r="D148" s="92"/>
      <c r="E148" s="92"/>
      <c r="F148" s="92"/>
      <c r="G148" s="92"/>
      <c r="H148" s="92"/>
    </row>
    <row r="149" spans="4:8" ht="15.75">
      <c r="D149" s="92"/>
      <c r="E149" s="92"/>
      <c r="F149" s="92"/>
      <c r="G149" s="92"/>
      <c r="H149" s="92"/>
    </row>
    <row r="150" spans="4:8" ht="15.75">
      <c r="D150" s="92"/>
      <c r="E150" s="92"/>
      <c r="F150" s="92"/>
      <c r="G150" s="92"/>
      <c r="H150" s="92"/>
    </row>
    <row r="151" spans="4:8" ht="15.75">
      <c r="D151" s="92"/>
      <c r="E151" s="92"/>
      <c r="F151" s="92"/>
      <c r="G151" s="92"/>
      <c r="H151" s="92"/>
    </row>
    <row r="152" spans="4:8" ht="15.75">
      <c r="D152" s="92"/>
      <c r="E152" s="92"/>
      <c r="F152" s="92"/>
      <c r="G152" s="92"/>
      <c r="H152" s="92"/>
    </row>
    <row r="153" spans="4:8" ht="15.75">
      <c r="D153" s="92"/>
      <c r="E153" s="92"/>
      <c r="F153" s="92"/>
      <c r="G153" s="92"/>
      <c r="H153" s="92"/>
    </row>
    <row r="154" spans="4:8" ht="15.75">
      <c r="D154" s="92"/>
      <c r="E154" s="92"/>
      <c r="F154" s="92"/>
      <c r="G154" s="92"/>
      <c r="H154" s="92"/>
    </row>
    <row r="155" spans="4:8" ht="15.75">
      <c r="D155" s="92"/>
      <c r="E155" s="92"/>
      <c r="F155" s="92"/>
      <c r="G155" s="92"/>
      <c r="H155" s="92"/>
    </row>
    <row r="156" spans="4:8" ht="15.75">
      <c r="D156" s="92"/>
      <c r="E156" s="92"/>
      <c r="F156" s="92"/>
      <c r="G156" s="92"/>
      <c r="H156" s="92"/>
    </row>
    <row r="157" spans="4:8" ht="15.75">
      <c r="D157" s="92"/>
      <c r="E157" s="92"/>
      <c r="F157" s="92"/>
      <c r="G157" s="92"/>
      <c r="H157" s="92"/>
    </row>
    <row r="158" spans="4:8" ht="15.75">
      <c r="D158" s="92"/>
      <c r="E158" s="92"/>
      <c r="F158" s="92"/>
      <c r="G158" s="92"/>
      <c r="H158" s="92"/>
    </row>
    <row r="159" spans="4:8" ht="15.75">
      <c r="D159" s="92"/>
      <c r="E159" s="92"/>
      <c r="F159" s="92"/>
      <c r="G159" s="92"/>
      <c r="H159" s="92"/>
    </row>
    <row r="160" spans="4:8" ht="15.75">
      <c r="D160" s="92"/>
      <c r="E160" s="92"/>
      <c r="F160" s="92"/>
      <c r="G160" s="92"/>
      <c r="H160" s="92"/>
    </row>
    <row r="161" spans="4:8" ht="15.75">
      <c r="D161" s="92"/>
      <c r="E161" s="92"/>
      <c r="F161" s="92"/>
      <c r="G161" s="92"/>
      <c r="H161" s="92"/>
    </row>
    <row r="162" spans="4:8" ht="15.75">
      <c r="D162" s="92"/>
      <c r="E162" s="92"/>
      <c r="F162" s="92"/>
      <c r="G162" s="92"/>
      <c r="H162" s="92"/>
    </row>
    <row r="163" spans="4:8" ht="15.75">
      <c r="D163" s="92"/>
      <c r="E163" s="92"/>
      <c r="F163" s="92"/>
      <c r="G163" s="92"/>
      <c r="H163" s="92"/>
    </row>
    <row r="164" spans="4:8" ht="15.75">
      <c r="D164" s="92"/>
      <c r="E164" s="92"/>
      <c r="F164" s="92"/>
      <c r="G164" s="92"/>
      <c r="H164" s="92"/>
    </row>
    <row r="165" spans="4:8" ht="15.75">
      <c r="D165" s="92"/>
      <c r="E165" s="92"/>
      <c r="F165" s="92"/>
      <c r="G165" s="92"/>
      <c r="H165" s="92"/>
    </row>
    <row r="166" spans="4:8" ht="15.75">
      <c r="D166" s="92"/>
      <c r="E166" s="92"/>
      <c r="F166" s="92"/>
      <c r="G166" s="92"/>
      <c r="H166" s="92"/>
    </row>
    <row r="167" spans="4:8" ht="15.75">
      <c r="D167" s="92"/>
      <c r="E167" s="92"/>
      <c r="F167" s="92"/>
      <c r="G167" s="92"/>
      <c r="H167" s="92"/>
    </row>
    <row r="168" spans="4:8" ht="15.75">
      <c r="D168" s="92"/>
      <c r="E168" s="92"/>
      <c r="F168" s="92"/>
      <c r="G168" s="92"/>
      <c r="H168" s="92"/>
    </row>
    <row r="169" spans="4:8" ht="15.75">
      <c r="D169" s="92"/>
      <c r="E169" s="92"/>
      <c r="F169" s="92"/>
      <c r="G169" s="92"/>
      <c r="H169" s="92"/>
    </row>
    <row r="170" spans="4:8" ht="15.75">
      <c r="D170" s="92"/>
      <c r="E170" s="92"/>
      <c r="F170" s="92"/>
      <c r="G170" s="92"/>
      <c r="H170" s="92"/>
    </row>
    <row r="171" spans="4:8" ht="15.75">
      <c r="D171" s="92"/>
      <c r="E171" s="92"/>
      <c r="F171" s="92"/>
      <c r="G171" s="92"/>
      <c r="H171" s="92"/>
    </row>
    <row r="172" spans="4:8" ht="15.75">
      <c r="D172" s="92"/>
      <c r="E172" s="92"/>
      <c r="F172" s="92"/>
      <c r="G172" s="92"/>
      <c r="H172" s="92"/>
    </row>
    <row r="173" spans="4:8" ht="15.75">
      <c r="D173" s="92"/>
      <c r="E173" s="92"/>
      <c r="F173" s="92"/>
      <c r="G173" s="92"/>
      <c r="H173" s="92"/>
    </row>
    <row r="174" spans="4:8" ht="15.75">
      <c r="D174" s="92"/>
      <c r="E174" s="92"/>
      <c r="F174" s="92"/>
      <c r="G174" s="92"/>
      <c r="H174" s="92"/>
    </row>
    <row r="175" spans="4:8" ht="15.75">
      <c r="D175" s="92"/>
      <c r="E175" s="92"/>
      <c r="F175" s="92"/>
      <c r="G175" s="92"/>
      <c r="H175" s="92"/>
    </row>
    <row r="176" spans="4:8" ht="15.75">
      <c r="D176" s="92"/>
      <c r="E176" s="92"/>
      <c r="F176" s="92"/>
      <c r="G176" s="92"/>
      <c r="H176" s="92"/>
    </row>
    <row r="177" spans="4:8" ht="15.75">
      <c r="D177" s="92"/>
      <c r="E177" s="92"/>
      <c r="F177" s="92"/>
      <c r="G177" s="92"/>
      <c r="H177" s="92"/>
    </row>
    <row r="178" spans="4:8" ht="15.75">
      <c r="D178" s="92"/>
      <c r="E178" s="92"/>
      <c r="F178" s="92"/>
      <c r="G178" s="92"/>
      <c r="H178" s="92"/>
    </row>
    <row r="179" spans="4:8" ht="15.75">
      <c r="D179" s="92"/>
      <c r="E179" s="92"/>
      <c r="F179" s="92"/>
      <c r="G179" s="92"/>
      <c r="H179" s="92"/>
    </row>
    <row r="180" spans="4:8" ht="15.75">
      <c r="D180" s="92"/>
      <c r="E180" s="92"/>
      <c r="F180" s="92"/>
      <c r="G180" s="92"/>
      <c r="H180" s="92"/>
    </row>
    <row r="181" spans="4:8" ht="15.75">
      <c r="D181" s="92"/>
      <c r="E181" s="92"/>
      <c r="F181" s="92"/>
      <c r="G181" s="92"/>
      <c r="H181" s="92"/>
    </row>
    <row r="182" spans="4:8" ht="15.75">
      <c r="D182" s="92"/>
      <c r="E182" s="92"/>
      <c r="F182" s="92"/>
      <c r="G182" s="92"/>
      <c r="H182" s="92"/>
    </row>
    <row r="183" spans="4:8" ht="15.75">
      <c r="D183" s="92"/>
      <c r="E183" s="92"/>
      <c r="F183" s="92"/>
      <c r="G183" s="92"/>
      <c r="H183" s="92"/>
    </row>
    <row r="184" spans="4:8" ht="15.75">
      <c r="D184" s="92"/>
      <c r="E184" s="92"/>
      <c r="F184" s="92"/>
      <c r="G184" s="92"/>
      <c r="H184" s="92"/>
    </row>
    <row r="185" spans="4:8" ht="15.75">
      <c r="D185" s="92"/>
      <c r="E185" s="92"/>
      <c r="F185" s="92"/>
      <c r="G185" s="92"/>
      <c r="H185" s="92"/>
    </row>
    <row r="186" spans="4:8" ht="15.75">
      <c r="D186" s="92"/>
      <c r="E186" s="92"/>
      <c r="F186" s="92"/>
      <c r="G186" s="92"/>
      <c r="H186" s="92"/>
    </row>
    <row r="187" spans="4:8" ht="15.75">
      <c r="D187" s="92"/>
      <c r="E187" s="92"/>
      <c r="F187" s="92"/>
      <c r="G187" s="92"/>
      <c r="H187" s="92"/>
    </row>
    <row r="188" spans="4:8" ht="15.75">
      <c r="D188" s="92"/>
      <c r="E188" s="92"/>
      <c r="F188" s="92"/>
      <c r="G188" s="92"/>
      <c r="H188" s="92"/>
    </row>
    <row r="189" spans="4:8" ht="15.75">
      <c r="D189" s="92"/>
      <c r="E189" s="92"/>
      <c r="F189" s="92"/>
      <c r="G189" s="92"/>
      <c r="H189" s="92"/>
    </row>
    <row r="190" spans="4:8" ht="15.75">
      <c r="D190" s="92"/>
      <c r="E190" s="92"/>
      <c r="F190" s="92"/>
      <c r="G190" s="92"/>
      <c r="H190" s="92"/>
    </row>
    <row r="191" spans="4:8" ht="15.75">
      <c r="D191" s="92"/>
      <c r="E191" s="92"/>
      <c r="F191" s="92"/>
      <c r="G191" s="92"/>
      <c r="H191" s="92"/>
    </row>
    <row r="192" spans="4:8" ht="15.75">
      <c r="D192" s="92"/>
      <c r="E192" s="92"/>
      <c r="F192" s="92"/>
      <c r="G192" s="92"/>
      <c r="H192" s="92"/>
    </row>
    <row r="193" spans="4:8" ht="15.75">
      <c r="D193" s="92"/>
      <c r="E193" s="92"/>
      <c r="F193" s="92"/>
      <c r="G193" s="92"/>
      <c r="H193" s="92"/>
    </row>
    <row r="194" spans="4:8" ht="15.75">
      <c r="D194" s="92"/>
      <c r="E194" s="92"/>
      <c r="F194" s="92"/>
      <c r="G194" s="92"/>
      <c r="H194" s="92"/>
    </row>
    <row r="195" spans="4:8" ht="15.75">
      <c r="D195" s="92"/>
      <c r="E195" s="92"/>
      <c r="F195" s="92"/>
      <c r="G195" s="92"/>
      <c r="H195" s="92"/>
    </row>
    <row r="196" spans="4:8" ht="15.75">
      <c r="D196" s="92"/>
      <c r="E196" s="92"/>
      <c r="F196" s="92"/>
      <c r="G196" s="92"/>
      <c r="H196" s="92"/>
    </row>
    <row r="197" spans="4:8" ht="15.75">
      <c r="D197" s="92"/>
      <c r="E197" s="92"/>
      <c r="F197" s="92"/>
      <c r="G197" s="92"/>
      <c r="H197" s="92"/>
    </row>
    <row r="198" spans="4:8" ht="15.75">
      <c r="D198" s="92"/>
      <c r="E198" s="92"/>
      <c r="F198" s="92"/>
      <c r="G198" s="92"/>
      <c r="H198" s="92"/>
    </row>
    <row r="199" spans="4:8" ht="15.75">
      <c r="D199" s="92"/>
      <c r="E199" s="92"/>
      <c r="F199" s="92"/>
      <c r="G199" s="92"/>
      <c r="H199" s="92"/>
    </row>
    <row r="200" spans="4:8" ht="15.75">
      <c r="D200" s="92"/>
      <c r="E200" s="92"/>
      <c r="F200" s="92"/>
      <c r="G200" s="92"/>
      <c r="H200" s="92"/>
    </row>
    <row r="201" spans="4:8" ht="15.75">
      <c r="D201" s="92"/>
      <c r="E201" s="92"/>
      <c r="F201" s="92"/>
      <c r="G201" s="92"/>
      <c r="H201" s="92"/>
    </row>
    <row r="202" spans="4:8" ht="15.75">
      <c r="D202" s="92"/>
      <c r="E202" s="92"/>
      <c r="F202" s="92"/>
      <c r="G202" s="92"/>
      <c r="H202" s="92"/>
    </row>
    <row r="203" spans="4:8" ht="15.75">
      <c r="D203" s="92"/>
      <c r="E203" s="92"/>
      <c r="F203" s="92"/>
      <c r="G203" s="92"/>
      <c r="H203" s="92"/>
    </row>
    <row r="204" spans="4:8" ht="15.75">
      <c r="D204" s="92"/>
      <c r="E204" s="92"/>
      <c r="F204" s="92"/>
      <c r="G204" s="92"/>
      <c r="H204" s="92"/>
    </row>
    <row r="205" spans="4:8" ht="15.75">
      <c r="D205" s="92"/>
      <c r="E205" s="92"/>
      <c r="F205" s="92"/>
      <c r="G205" s="92"/>
      <c r="H205" s="92"/>
    </row>
    <row r="206" spans="4:8" ht="15.75">
      <c r="D206" s="92"/>
      <c r="E206" s="92"/>
      <c r="F206" s="92"/>
      <c r="G206" s="92"/>
      <c r="H206" s="92"/>
    </row>
    <row r="207" spans="4:8" ht="15.75">
      <c r="D207" s="92"/>
      <c r="E207" s="92"/>
      <c r="F207" s="92"/>
      <c r="G207" s="92"/>
      <c r="H207" s="92"/>
    </row>
    <row r="208" spans="4:8" ht="15.75">
      <c r="D208" s="92"/>
      <c r="E208" s="92"/>
      <c r="F208" s="92"/>
      <c r="G208" s="92"/>
      <c r="H208" s="92"/>
    </row>
    <row r="209" spans="4:8" ht="15.75">
      <c r="D209" s="92"/>
      <c r="E209" s="92"/>
      <c r="F209" s="92"/>
      <c r="G209" s="92"/>
      <c r="H209" s="92"/>
    </row>
    <row r="210" spans="4:8" ht="15.75">
      <c r="D210" s="92"/>
      <c r="E210" s="92"/>
      <c r="F210" s="92"/>
      <c r="G210" s="92"/>
      <c r="H210" s="92"/>
    </row>
    <row r="211" spans="4:8" ht="15.75">
      <c r="D211" s="92"/>
      <c r="E211" s="92"/>
      <c r="F211" s="92"/>
      <c r="G211" s="92"/>
      <c r="H211" s="92"/>
    </row>
    <row r="212" spans="4:8" ht="15.75">
      <c r="D212" s="92"/>
      <c r="E212" s="92"/>
      <c r="F212" s="92"/>
      <c r="G212" s="92"/>
      <c r="H212" s="92"/>
    </row>
    <row r="213" spans="4:8" ht="15.75">
      <c r="D213" s="92"/>
      <c r="E213" s="92"/>
      <c r="F213" s="92"/>
      <c r="G213" s="92"/>
      <c r="H213" s="92"/>
    </row>
    <row r="214" spans="4:8" ht="15.75">
      <c r="D214" s="92"/>
      <c r="E214" s="92"/>
      <c r="F214" s="92"/>
      <c r="G214" s="92"/>
      <c r="H214" s="92"/>
    </row>
    <row r="215" spans="4:8" ht="15.75">
      <c r="D215" s="92"/>
      <c r="E215" s="92"/>
      <c r="F215" s="92"/>
      <c r="G215" s="92"/>
      <c r="H215" s="92"/>
    </row>
    <row r="216" spans="4:8" ht="15.75">
      <c r="D216" s="92"/>
      <c r="E216" s="92"/>
      <c r="F216" s="92"/>
      <c r="G216" s="92"/>
      <c r="H216" s="92"/>
    </row>
    <row r="217" spans="4:8" ht="15.75">
      <c r="D217" s="92"/>
      <c r="E217" s="92"/>
      <c r="F217" s="92"/>
      <c r="G217" s="92"/>
      <c r="H217" s="92"/>
    </row>
    <row r="218" spans="4:8" ht="15.75">
      <c r="D218" s="92"/>
      <c r="E218" s="92"/>
      <c r="F218" s="92"/>
      <c r="G218" s="92"/>
      <c r="H218" s="92"/>
    </row>
    <row r="219" spans="4:8" ht="15.75">
      <c r="D219" s="92"/>
      <c r="E219" s="92"/>
      <c r="F219" s="92"/>
      <c r="G219" s="92"/>
      <c r="H219" s="92"/>
    </row>
    <row r="220" spans="4:8" ht="15.75">
      <c r="D220" s="92"/>
      <c r="E220" s="92"/>
      <c r="F220" s="92"/>
      <c r="G220" s="92"/>
      <c r="H220" s="92"/>
    </row>
    <row r="221" spans="4:8" ht="15.75">
      <c r="D221" s="92"/>
      <c r="E221" s="92"/>
      <c r="F221" s="92"/>
      <c r="G221" s="92"/>
      <c r="H221" s="92"/>
    </row>
    <row r="222" spans="4:8" ht="15.75">
      <c r="D222" s="92"/>
      <c r="E222" s="92"/>
      <c r="F222" s="92"/>
      <c r="G222" s="92"/>
      <c r="H222" s="92"/>
    </row>
    <row r="223" spans="4:8" ht="15.75">
      <c r="D223" s="92"/>
      <c r="E223" s="92"/>
      <c r="F223" s="92"/>
      <c r="G223" s="92"/>
      <c r="H223" s="92"/>
    </row>
    <row r="224" spans="4:8" ht="15.75">
      <c r="D224" s="92"/>
      <c r="E224" s="92"/>
      <c r="F224" s="92"/>
      <c r="G224" s="92"/>
      <c r="H224" s="92"/>
    </row>
    <row r="225" spans="4:8" ht="15.75">
      <c r="D225" s="92"/>
      <c r="E225" s="92"/>
      <c r="F225" s="92"/>
      <c r="G225" s="92"/>
      <c r="H225" s="92"/>
    </row>
    <row r="226" spans="4:8" ht="15.75">
      <c r="D226" s="92"/>
      <c r="E226" s="92"/>
      <c r="F226" s="92"/>
      <c r="G226" s="92"/>
      <c r="H226" s="92"/>
    </row>
    <row r="227" spans="4:8" ht="15.75">
      <c r="D227" s="92"/>
      <c r="E227" s="92"/>
      <c r="F227" s="92"/>
      <c r="G227" s="92"/>
      <c r="H227" s="92"/>
    </row>
    <row r="228" spans="4:8" ht="15.75">
      <c r="D228" s="92"/>
      <c r="E228" s="92"/>
      <c r="F228" s="92"/>
      <c r="G228" s="92"/>
      <c r="H228" s="92"/>
    </row>
    <row r="229" spans="4:8" ht="15.75">
      <c r="D229" s="92"/>
      <c r="E229" s="92"/>
      <c r="F229" s="92"/>
      <c r="G229" s="92"/>
      <c r="H229" s="92"/>
    </row>
    <row r="230" spans="4:8" ht="15.75">
      <c r="D230" s="92"/>
      <c r="E230" s="92"/>
      <c r="F230" s="92"/>
      <c r="G230" s="92"/>
      <c r="H230" s="92"/>
    </row>
    <row r="231" spans="4:8" ht="15.75">
      <c r="D231" s="92"/>
      <c r="E231" s="92"/>
      <c r="F231" s="92"/>
      <c r="G231" s="92"/>
      <c r="H231" s="92"/>
    </row>
    <row r="232" spans="4:8" ht="15.75">
      <c r="D232" s="92"/>
      <c r="E232" s="92"/>
      <c r="F232" s="92"/>
      <c r="G232" s="92"/>
      <c r="H232" s="92"/>
    </row>
    <row r="233" spans="4:8" ht="15.75">
      <c r="D233" s="92"/>
      <c r="E233" s="92"/>
      <c r="F233" s="92"/>
      <c r="G233" s="92"/>
      <c r="H233" s="92"/>
    </row>
    <row r="234" spans="4:8" ht="15.75">
      <c r="D234" s="92"/>
      <c r="E234" s="92"/>
      <c r="F234" s="92"/>
      <c r="G234" s="92"/>
      <c r="H234" s="92"/>
    </row>
    <row r="235" spans="4:8" ht="15.75">
      <c r="D235" s="92"/>
      <c r="E235" s="92"/>
      <c r="F235" s="92"/>
      <c r="G235" s="92"/>
      <c r="H235" s="92"/>
    </row>
    <row r="236" spans="4:8" ht="15.75">
      <c r="D236" s="92"/>
      <c r="E236" s="92"/>
      <c r="F236" s="92"/>
      <c r="G236" s="92"/>
      <c r="H236" s="92"/>
    </row>
    <row r="237" spans="4:8" ht="15.75">
      <c r="D237" s="92"/>
      <c r="E237" s="92"/>
      <c r="F237" s="92"/>
      <c r="G237" s="92"/>
      <c r="H237" s="92"/>
    </row>
    <row r="238" spans="4:8" ht="15.75">
      <c r="D238" s="92"/>
      <c r="E238" s="92"/>
      <c r="F238" s="92"/>
      <c r="G238" s="92"/>
      <c r="H238" s="92"/>
    </row>
    <row r="239" spans="4:8" ht="15.75">
      <c r="D239" s="92"/>
      <c r="E239" s="92"/>
      <c r="F239" s="92"/>
      <c r="G239" s="92"/>
      <c r="H239" s="92"/>
    </row>
    <row r="240" spans="4:8" ht="15.75">
      <c r="D240" s="92"/>
      <c r="E240" s="92"/>
      <c r="F240" s="92"/>
      <c r="G240" s="92"/>
      <c r="H240" s="92"/>
    </row>
    <row r="241" spans="4:8" ht="15.75">
      <c r="D241" s="92"/>
      <c r="E241" s="92"/>
      <c r="F241" s="92"/>
      <c r="G241" s="92"/>
      <c r="H241" s="92"/>
    </row>
    <row r="242" spans="4:8" ht="15.75">
      <c r="D242" s="92"/>
      <c r="E242" s="92"/>
      <c r="F242" s="92"/>
      <c r="G242" s="92"/>
      <c r="H242" s="92"/>
    </row>
    <row r="243" spans="4:8" ht="15.75">
      <c r="D243" s="92"/>
      <c r="E243" s="92"/>
      <c r="F243" s="92"/>
      <c r="G243" s="92"/>
      <c r="H243" s="92"/>
    </row>
    <row r="244" spans="4:8" ht="15.75">
      <c r="D244" s="92"/>
      <c r="E244" s="92"/>
      <c r="F244" s="92"/>
      <c r="G244" s="92"/>
      <c r="H244" s="92"/>
    </row>
    <row r="245" spans="4:8" ht="15.75">
      <c r="D245" s="92"/>
      <c r="E245" s="92"/>
      <c r="F245" s="92"/>
      <c r="G245" s="92"/>
      <c r="H245" s="92"/>
    </row>
    <row r="246" spans="4:8" ht="15.75">
      <c r="D246" s="92"/>
      <c r="E246" s="92"/>
      <c r="F246" s="92"/>
      <c r="G246" s="92"/>
      <c r="H246" s="92"/>
    </row>
    <row r="247" spans="4:8" ht="15.75">
      <c r="D247" s="92"/>
      <c r="E247" s="92"/>
      <c r="F247" s="92"/>
      <c r="G247" s="92"/>
      <c r="H247" s="92"/>
    </row>
    <row r="248" spans="4:8" ht="15.75">
      <c r="D248" s="92"/>
      <c r="E248" s="92"/>
      <c r="F248" s="92"/>
      <c r="G248" s="92"/>
      <c r="H248" s="92"/>
    </row>
    <row r="249" spans="4:8" ht="15.75">
      <c r="D249" s="92"/>
      <c r="E249" s="92"/>
      <c r="F249" s="92"/>
      <c r="G249" s="92"/>
      <c r="H249" s="92"/>
    </row>
    <row r="250" spans="4:8" ht="15.75">
      <c r="D250" s="92"/>
      <c r="E250" s="92"/>
      <c r="F250" s="92"/>
      <c r="G250" s="92"/>
      <c r="H250" s="92"/>
    </row>
    <row r="251" spans="4:8" ht="15.75">
      <c r="D251" s="92"/>
      <c r="E251" s="92"/>
      <c r="F251" s="92"/>
      <c r="G251" s="92"/>
      <c r="H251" s="92"/>
    </row>
    <row r="252" spans="4:8" ht="15.75">
      <c r="D252" s="92"/>
      <c r="E252" s="92"/>
      <c r="F252" s="92"/>
      <c r="G252" s="92"/>
      <c r="H252" s="92"/>
    </row>
    <row r="253" spans="4:8" ht="15.75">
      <c r="D253" s="92"/>
      <c r="E253" s="92"/>
      <c r="F253" s="92"/>
      <c r="G253" s="92"/>
      <c r="H253" s="92"/>
    </row>
    <row r="254" spans="4:8" ht="15.75">
      <c r="D254" s="92"/>
      <c r="E254" s="92"/>
      <c r="F254" s="92"/>
      <c r="G254" s="92"/>
      <c r="H254" s="92"/>
    </row>
    <row r="255" spans="4:8" ht="15.75">
      <c r="D255" s="92"/>
      <c r="E255" s="92"/>
      <c r="F255" s="92"/>
      <c r="G255" s="92"/>
      <c r="H255" s="92"/>
    </row>
    <row r="256" spans="4:8" ht="15.75">
      <c r="D256" s="92"/>
      <c r="E256" s="92"/>
      <c r="F256" s="92"/>
      <c r="G256" s="92"/>
      <c r="H256" s="92"/>
    </row>
    <row r="257" spans="4:8" ht="15.75">
      <c r="D257" s="92"/>
      <c r="E257" s="92"/>
      <c r="F257" s="92"/>
      <c r="G257" s="92"/>
      <c r="H257" s="92"/>
    </row>
    <row r="258" spans="4:8" ht="15.75">
      <c r="D258" s="92"/>
      <c r="E258" s="92"/>
      <c r="F258" s="92"/>
      <c r="G258" s="92"/>
      <c r="H258" s="92"/>
    </row>
    <row r="259" spans="4:8" ht="15.75">
      <c r="D259" s="92"/>
      <c r="E259" s="92"/>
      <c r="F259" s="92"/>
      <c r="G259" s="92"/>
      <c r="H259" s="92"/>
    </row>
    <row r="260" spans="4:8" ht="15.75">
      <c r="D260" s="92"/>
      <c r="E260" s="92"/>
      <c r="F260" s="92"/>
      <c r="G260" s="92"/>
      <c r="H260" s="92"/>
    </row>
    <row r="261" spans="4:8" ht="15.75">
      <c r="D261" s="92"/>
      <c r="E261" s="92"/>
      <c r="F261" s="92"/>
      <c r="G261" s="92"/>
      <c r="H261" s="92"/>
    </row>
    <row r="262" spans="4:8" ht="15.75">
      <c r="D262" s="92"/>
      <c r="E262" s="92"/>
      <c r="F262" s="92"/>
      <c r="G262" s="92"/>
      <c r="H262" s="92"/>
    </row>
    <row r="263" spans="4:8" ht="15.75">
      <c r="D263" s="92"/>
      <c r="E263" s="92"/>
      <c r="F263" s="92"/>
      <c r="G263" s="92"/>
      <c r="H263" s="92"/>
    </row>
    <row r="264" spans="4:8" ht="15.75">
      <c r="D264" s="92"/>
      <c r="E264" s="92"/>
      <c r="F264" s="92"/>
      <c r="G264" s="92"/>
      <c r="H264" s="92"/>
    </row>
    <row r="265" spans="4:8" ht="15.75">
      <c r="D265" s="92"/>
      <c r="E265" s="92"/>
      <c r="F265" s="92"/>
      <c r="G265" s="92"/>
      <c r="H265" s="92"/>
    </row>
    <row r="266" spans="4:8" ht="15.75">
      <c r="D266" s="92"/>
      <c r="E266" s="92"/>
      <c r="F266" s="92"/>
      <c r="G266" s="92"/>
      <c r="H266" s="92"/>
    </row>
    <row r="267" spans="4:8" ht="15.75">
      <c r="D267" s="92"/>
      <c r="E267" s="92"/>
      <c r="F267" s="92"/>
      <c r="G267" s="92"/>
      <c r="H267" s="92"/>
    </row>
    <row r="268" spans="4:8" ht="15.75">
      <c r="D268" s="92"/>
      <c r="E268" s="92"/>
      <c r="F268" s="92"/>
      <c r="G268" s="92"/>
      <c r="H268" s="92"/>
    </row>
    <row r="269" spans="4:8" ht="15.75">
      <c r="D269" s="92"/>
      <c r="E269" s="92"/>
      <c r="F269" s="92"/>
      <c r="G269" s="92"/>
      <c r="H269" s="92"/>
    </row>
    <row r="270" spans="4:8" ht="15.75">
      <c r="D270" s="92"/>
      <c r="E270" s="92"/>
      <c r="F270" s="92"/>
      <c r="G270" s="92"/>
      <c r="H270" s="92"/>
    </row>
    <row r="271" spans="4:8" ht="15.75">
      <c r="D271" s="92"/>
      <c r="E271" s="92"/>
      <c r="F271" s="92"/>
      <c r="G271" s="92"/>
      <c r="H271" s="92"/>
    </row>
    <row r="272" spans="4:8" ht="15.75">
      <c r="D272" s="92"/>
      <c r="E272" s="92"/>
      <c r="F272" s="92"/>
      <c r="G272" s="92"/>
      <c r="H272" s="92"/>
    </row>
    <row r="273" spans="4:8" ht="15.75">
      <c r="D273" s="92"/>
      <c r="E273" s="92"/>
      <c r="F273" s="92"/>
      <c r="G273" s="92"/>
      <c r="H273" s="92"/>
    </row>
    <row r="274" spans="4:8" ht="15.75">
      <c r="D274" s="92"/>
      <c r="E274" s="92"/>
      <c r="F274" s="92"/>
      <c r="G274" s="92"/>
      <c r="H274" s="92"/>
    </row>
    <row r="275" spans="4:8" ht="15.75">
      <c r="D275" s="92"/>
      <c r="E275" s="92"/>
      <c r="F275" s="92"/>
      <c r="G275" s="92"/>
      <c r="H275" s="92"/>
    </row>
    <row r="276" spans="4:8" ht="15.75">
      <c r="D276" s="92"/>
      <c r="E276" s="92"/>
      <c r="F276" s="92"/>
      <c r="G276" s="92"/>
      <c r="H276" s="92"/>
    </row>
    <row r="277" spans="4:8" ht="15.75">
      <c r="D277" s="92"/>
      <c r="E277" s="92"/>
      <c r="F277" s="92"/>
      <c r="G277" s="92"/>
      <c r="H277" s="92"/>
    </row>
    <row r="278" spans="4:8" ht="15.75">
      <c r="D278" s="92"/>
      <c r="E278" s="92"/>
      <c r="F278" s="92"/>
      <c r="G278" s="92"/>
      <c r="H278" s="92"/>
    </row>
    <row r="279" spans="4:8" ht="15.75">
      <c r="D279" s="92"/>
      <c r="E279" s="92"/>
      <c r="F279" s="92"/>
      <c r="G279" s="92"/>
      <c r="H279" s="92"/>
    </row>
    <row r="280" spans="4:8" ht="15.75">
      <c r="D280" s="92"/>
      <c r="E280" s="92"/>
      <c r="F280" s="92"/>
      <c r="G280" s="92"/>
      <c r="H280" s="92"/>
    </row>
    <row r="281" spans="4:8" ht="15.75">
      <c r="D281" s="92"/>
      <c r="E281" s="92"/>
      <c r="F281" s="92"/>
      <c r="G281" s="92"/>
      <c r="H281" s="92"/>
    </row>
    <row r="282" spans="4:8" ht="15.75">
      <c r="D282" s="92"/>
      <c r="E282" s="92"/>
      <c r="F282" s="92"/>
      <c r="G282" s="92"/>
      <c r="H282" s="92"/>
    </row>
    <row r="283" spans="4:8" ht="15.75">
      <c r="D283" s="92"/>
      <c r="E283" s="92"/>
      <c r="F283" s="92"/>
      <c r="G283" s="92"/>
      <c r="H283" s="92"/>
    </row>
    <row r="284" spans="4:8" ht="15.75">
      <c r="D284" s="92"/>
      <c r="E284" s="92"/>
      <c r="F284" s="92"/>
      <c r="G284" s="92"/>
      <c r="H284" s="92"/>
    </row>
    <row r="285" spans="4:8" ht="15.75">
      <c r="D285" s="92"/>
      <c r="E285" s="92"/>
      <c r="F285" s="92"/>
      <c r="G285" s="92"/>
      <c r="H285" s="92"/>
    </row>
    <row r="286" spans="4:8" ht="15.75">
      <c r="D286" s="92"/>
      <c r="E286" s="92"/>
      <c r="F286" s="92"/>
      <c r="G286" s="92"/>
      <c r="H286" s="92"/>
    </row>
    <row r="287" spans="4:8" ht="15.75">
      <c r="D287" s="92"/>
      <c r="E287" s="92"/>
      <c r="F287" s="92"/>
      <c r="G287" s="92"/>
      <c r="H287" s="92"/>
    </row>
    <row r="288" spans="4:8" ht="15.75">
      <c r="D288" s="92"/>
      <c r="E288" s="92"/>
      <c r="F288" s="92"/>
      <c r="G288" s="92"/>
      <c r="H288" s="92"/>
    </row>
    <row r="289" spans="4:8" ht="15.75">
      <c r="D289" s="92"/>
      <c r="E289" s="92"/>
      <c r="F289" s="92"/>
      <c r="G289" s="92"/>
      <c r="H289" s="92"/>
    </row>
    <row r="290" spans="4:8" ht="15.75">
      <c r="D290" s="92"/>
      <c r="E290" s="92"/>
      <c r="F290" s="92"/>
      <c r="G290" s="92"/>
      <c r="H290" s="92"/>
    </row>
    <row r="291" spans="4:8" ht="15.75">
      <c r="D291" s="92"/>
      <c r="E291" s="92"/>
      <c r="F291" s="92"/>
      <c r="G291" s="92"/>
      <c r="H291" s="92"/>
    </row>
    <row r="292" spans="4:8" ht="15.75">
      <c r="D292" s="92"/>
      <c r="E292" s="92"/>
      <c r="F292" s="92"/>
      <c r="G292" s="92"/>
      <c r="H292" s="92"/>
    </row>
    <row r="293" spans="4:8" ht="15.75">
      <c r="D293" s="92"/>
      <c r="E293" s="92"/>
      <c r="F293" s="92"/>
      <c r="G293" s="92"/>
      <c r="H293" s="92"/>
    </row>
    <row r="294" spans="4:8" ht="15.75">
      <c r="D294" s="92"/>
      <c r="E294" s="92"/>
      <c r="F294" s="92"/>
      <c r="G294" s="92"/>
      <c r="H294" s="92"/>
    </row>
    <row r="295" spans="4:8" ht="15.75">
      <c r="D295" s="92"/>
      <c r="E295" s="92"/>
      <c r="F295" s="92"/>
      <c r="G295" s="92"/>
      <c r="H295" s="92"/>
    </row>
    <row r="296" spans="4:8" ht="15.75">
      <c r="D296" s="92"/>
      <c r="E296" s="92"/>
      <c r="F296" s="92"/>
      <c r="G296" s="92"/>
      <c r="H296" s="92"/>
    </row>
    <row r="297" spans="4:8" ht="15.75">
      <c r="D297" s="92"/>
      <c r="E297" s="92"/>
      <c r="F297" s="92"/>
      <c r="G297" s="92"/>
      <c r="H297" s="92"/>
    </row>
    <row r="298" spans="4:8" ht="15.75">
      <c r="D298" s="92"/>
      <c r="E298" s="92"/>
      <c r="F298" s="92"/>
      <c r="G298" s="92"/>
      <c r="H298" s="92"/>
    </row>
    <row r="299" spans="4:8" ht="15.75">
      <c r="D299" s="92"/>
      <c r="E299" s="92"/>
      <c r="F299" s="92"/>
      <c r="G299" s="92"/>
      <c r="H299" s="92"/>
    </row>
    <row r="300" spans="4:8" ht="15.75">
      <c r="D300" s="92"/>
      <c r="E300" s="92"/>
      <c r="F300" s="92"/>
      <c r="G300" s="92"/>
      <c r="H300" s="92"/>
    </row>
    <row r="301" spans="4:8" ht="15.75">
      <c r="D301" s="92"/>
      <c r="E301" s="92"/>
      <c r="F301" s="92"/>
      <c r="G301" s="92"/>
      <c r="H301" s="92"/>
    </row>
    <row r="302" spans="4:8" ht="15.75">
      <c r="D302" s="92"/>
      <c r="E302" s="92"/>
      <c r="F302" s="92"/>
      <c r="G302" s="92"/>
      <c r="H302" s="92"/>
    </row>
    <row r="303" spans="4:8" ht="15.75">
      <c r="D303" s="92"/>
      <c r="E303" s="92"/>
      <c r="F303" s="92"/>
      <c r="G303" s="92"/>
      <c r="H303" s="92"/>
    </row>
    <row r="304" spans="4:8" ht="15.75">
      <c r="D304" s="92"/>
      <c r="E304" s="92"/>
      <c r="F304" s="92"/>
      <c r="G304" s="92"/>
      <c r="H304" s="92"/>
    </row>
    <row r="305" spans="4:8" ht="15.75">
      <c r="D305" s="92"/>
      <c r="E305" s="92"/>
      <c r="F305" s="92"/>
      <c r="G305" s="92"/>
      <c r="H305" s="92"/>
    </row>
    <row r="306" spans="4:8" ht="15.75">
      <c r="D306" s="92"/>
      <c r="E306" s="92"/>
      <c r="F306" s="92"/>
      <c r="G306" s="92"/>
      <c r="H306" s="92"/>
    </row>
    <row r="307" spans="4:8" ht="15.75">
      <c r="D307" s="92"/>
      <c r="E307" s="92"/>
      <c r="F307" s="92"/>
      <c r="G307" s="92"/>
      <c r="H307" s="92"/>
    </row>
    <row r="308" spans="4:8" ht="15.75">
      <c r="D308" s="92"/>
      <c r="E308" s="92"/>
      <c r="F308" s="92"/>
      <c r="G308" s="92"/>
      <c r="H308" s="92"/>
    </row>
    <row r="309" spans="4:8" ht="15.75">
      <c r="D309" s="92"/>
      <c r="E309" s="92"/>
      <c r="F309" s="92"/>
      <c r="G309" s="92"/>
      <c r="H309" s="92"/>
    </row>
    <row r="310" spans="4:8" ht="15.75">
      <c r="D310" s="92"/>
      <c r="E310" s="92"/>
      <c r="F310" s="92"/>
      <c r="G310" s="92"/>
      <c r="H310" s="92"/>
    </row>
    <row r="311" spans="4:8" ht="15.75">
      <c r="D311" s="92"/>
      <c r="E311" s="92"/>
      <c r="F311" s="92"/>
      <c r="G311" s="92"/>
      <c r="H311" s="92"/>
    </row>
    <row r="312" spans="4:8" ht="15.75">
      <c r="D312" s="92"/>
      <c r="E312" s="92"/>
      <c r="F312" s="92"/>
      <c r="G312" s="92"/>
      <c r="H312" s="92"/>
    </row>
    <row r="313" spans="4:8" ht="15.75">
      <c r="D313" s="92"/>
      <c r="E313" s="92"/>
      <c r="F313" s="92"/>
      <c r="G313" s="92"/>
      <c r="H313" s="92"/>
    </row>
    <row r="314" spans="4:8" ht="15.75">
      <c r="D314" s="92"/>
      <c r="E314" s="92"/>
      <c r="F314" s="92"/>
      <c r="G314" s="92"/>
      <c r="H314" s="92"/>
    </row>
    <row r="315" spans="4:8" ht="15.75">
      <c r="D315" s="92"/>
      <c r="E315" s="92"/>
      <c r="F315" s="92"/>
      <c r="G315" s="92"/>
      <c r="H315" s="92"/>
    </row>
    <row r="316" spans="4:8" ht="15.75">
      <c r="D316" s="92"/>
      <c r="E316" s="92"/>
      <c r="F316" s="92"/>
      <c r="G316" s="92"/>
      <c r="H316" s="92"/>
    </row>
    <row r="317" spans="4:8" ht="15.75">
      <c r="D317" s="92"/>
      <c r="E317" s="92"/>
      <c r="F317" s="92"/>
      <c r="G317" s="92"/>
      <c r="H317" s="92"/>
    </row>
    <row r="318" spans="4:8" ht="15.75">
      <c r="D318" s="92"/>
      <c r="E318" s="92"/>
      <c r="F318" s="92"/>
      <c r="G318" s="92"/>
      <c r="H318" s="92"/>
    </row>
    <row r="319" spans="4:8" ht="15.75">
      <c r="D319" s="92"/>
      <c r="E319" s="92"/>
      <c r="F319" s="92"/>
      <c r="G319" s="92"/>
      <c r="H319" s="92"/>
    </row>
    <row r="320" spans="4:8" ht="15.75">
      <c r="D320" s="92"/>
      <c r="E320" s="92"/>
      <c r="F320" s="92"/>
      <c r="G320" s="92"/>
      <c r="H320" s="92"/>
    </row>
    <row r="321" spans="4:8" ht="15.75">
      <c r="D321" s="92"/>
      <c r="E321" s="92"/>
      <c r="F321" s="92"/>
      <c r="G321" s="92"/>
      <c r="H321" s="92"/>
    </row>
    <row r="322" spans="4:8" ht="15.75">
      <c r="D322" s="92"/>
      <c r="E322" s="92"/>
      <c r="F322" s="92"/>
      <c r="G322" s="92"/>
      <c r="H322" s="92"/>
    </row>
    <row r="323" spans="4:8" ht="15.75">
      <c r="D323" s="92"/>
      <c r="E323" s="92"/>
      <c r="F323" s="92"/>
      <c r="G323" s="92"/>
      <c r="H323" s="92"/>
    </row>
    <row r="324" spans="4:8" ht="15.75">
      <c r="D324" s="92"/>
      <c r="E324" s="92"/>
      <c r="F324" s="92"/>
      <c r="G324" s="92"/>
      <c r="H324" s="92"/>
    </row>
    <row r="325" spans="4:8" ht="15.75">
      <c r="D325" s="92"/>
      <c r="E325" s="92"/>
      <c r="F325" s="92"/>
      <c r="G325" s="92"/>
      <c r="H325" s="92"/>
    </row>
    <row r="326" spans="4:8" ht="15.75">
      <c r="D326" s="92"/>
      <c r="E326" s="92"/>
      <c r="F326" s="92"/>
      <c r="G326" s="92"/>
      <c r="H326" s="92"/>
    </row>
    <row r="327" spans="4:8" ht="15.75">
      <c r="D327" s="92"/>
      <c r="E327" s="92"/>
      <c r="F327" s="92"/>
      <c r="G327" s="92"/>
      <c r="H327" s="92"/>
    </row>
    <row r="328" spans="4:8" ht="15.75">
      <c r="D328" s="92"/>
      <c r="E328" s="92"/>
      <c r="F328" s="92"/>
      <c r="G328" s="92"/>
      <c r="H328" s="92"/>
    </row>
    <row r="329" spans="4:8" ht="15.75">
      <c r="D329" s="92"/>
      <c r="E329" s="92"/>
      <c r="F329" s="92"/>
      <c r="G329" s="92"/>
      <c r="H329" s="92"/>
    </row>
    <row r="330" spans="4:8" ht="15.75">
      <c r="D330" s="92"/>
      <c r="E330" s="92"/>
      <c r="F330" s="92"/>
      <c r="G330" s="92"/>
      <c r="H330" s="92"/>
    </row>
    <row r="331" spans="4:8" ht="15.75">
      <c r="D331" s="92"/>
      <c r="E331" s="92"/>
      <c r="F331" s="92"/>
      <c r="G331" s="92"/>
      <c r="H331" s="92"/>
    </row>
    <row r="332" spans="4:8" ht="15.75">
      <c r="D332" s="92"/>
      <c r="E332" s="92"/>
      <c r="F332" s="92"/>
      <c r="G332" s="92"/>
      <c r="H332" s="92"/>
    </row>
    <row r="333" spans="4:8" ht="15.75">
      <c r="D333" s="92"/>
      <c r="E333" s="92"/>
      <c r="F333" s="92"/>
      <c r="G333" s="92"/>
      <c r="H333" s="92"/>
    </row>
    <row r="334" spans="4:8" ht="15.75">
      <c r="D334" s="92"/>
      <c r="E334" s="92"/>
      <c r="F334" s="92"/>
      <c r="G334" s="92"/>
      <c r="H334" s="92"/>
    </row>
    <row r="335" spans="4:8" ht="15.75">
      <c r="D335" s="92"/>
      <c r="E335" s="92"/>
      <c r="F335" s="92"/>
      <c r="G335" s="92"/>
      <c r="H335" s="92"/>
    </row>
    <row r="336" spans="4:8" ht="15.75">
      <c r="D336" s="92"/>
      <c r="E336" s="92"/>
      <c r="F336" s="92"/>
      <c r="G336" s="92"/>
      <c r="H336" s="92"/>
    </row>
    <row r="337" spans="4:8" ht="15.75">
      <c r="D337" s="92"/>
      <c r="E337" s="92"/>
      <c r="F337" s="92"/>
      <c r="G337" s="92"/>
      <c r="H337" s="92"/>
    </row>
    <row r="338" spans="4:8" ht="15.75">
      <c r="D338" s="92"/>
      <c r="E338" s="92"/>
      <c r="F338" s="92"/>
      <c r="G338" s="92"/>
      <c r="H338" s="92"/>
    </row>
    <row r="339" spans="4:8" ht="15.75">
      <c r="D339" s="92"/>
      <c r="E339" s="92"/>
      <c r="F339" s="92"/>
      <c r="G339" s="92"/>
      <c r="H339" s="92"/>
    </row>
    <row r="340" spans="4:8" ht="15.75">
      <c r="D340" s="92"/>
      <c r="E340" s="92"/>
      <c r="F340" s="92"/>
      <c r="G340" s="92"/>
      <c r="H340" s="92"/>
    </row>
    <row r="341" spans="4:8" ht="15.75">
      <c r="D341" s="92"/>
      <c r="E341" s="92"/>
      <c r="F341" s="92"/>
      <c r="G341" s="92"/>
      <c r="H341" s="92"/>
    </row>
    <row r="342" spans="4:8" ht="15.75">
      <c r="D342" s="92"/>
      <c r="E342" s="92"/>
      <c r="F342" s="92"/>
      <c r="G342" s="92"/>
      <c r="H342" s="92"/>
    </row>
    <row r="343" spans="4:8" ht="15.75">
      <c r="D343" s="92"/>
      <c r="E343" s="92"/>
      <c r="F343" s="92"/>
      <c r="G343" s="92"/>
      <c r="H343" s="92"/>
    </row>
    <row r="344" spans="4:8" ht="15.75">
      <c r="D344" s="92"/>
      <c r="E344" s="92"/>
      <c r="F344" s="92"/>
      <c r="G344" s="92"/>
      <c r="H344" s="92"/>
    </row>
    <row r="345" spans="4:8" ht="15.75">
      <c r="D345" s="92"/>
      <c r="E345" s="92"/>
      <c r="F345" s="92"/>
      <c r="G345" s="92"/>
      <c r="H345" s="92"/>
    </row>
    <row r="346" spans="4:8" ht="15.75">
      <c r="D346" s="92"/>
      <c r="E346" s="92"/>
      <c r="F346" s="92"/>
      <c r="G346" s="92"/>
      <c r="H346" s="92"/>
    </row>
    <row r="347" spans="4:8" ht="15.75">
      <c r="D347" s="92"/>
      <c r="E347" s="92"/>
      <c r="F347" s="92"/>
      <c r="G347" s="92"/>
      <c r="H347" s="92"/>
    </row>
    <row r="348" spans="4:8" ht="15.75">
      <c r="D348" s="92"/>
      <c r="E348" s="92"/>
      <c r="F348" s="92"/>
      <c r="G348" s="92"/>
      <c r="H348" s="92"/>
    </row>
    <row r="349" spans="4:8" ht="15.75">
      <c r="D349" s="92"/>
      <c r="E349" s="92"/>
      <c r="F349" s="92"/>
      <c r="G349" s="92"/>
      <c r="H349" s="92"/>
    </row>
    <row r="350" spans="4:8" ht="15.75">
      <c r="D350" s="92"/>
      <c r="E350" s="92"/>
      <c r="F350" s="92"/>
      <c r="G350" s="92"/>
      <c r="H350" s="92"/>
    </row>
    <row r="351" spans="4:8" ht="15.75">
      <c r="D351" s="92"/>
      <c r="E351" s="92"/>
      <c r="F351" s="92"/>
      <c r="G351" s="92"/>
      <c r="H351" s="92"/>
    </row>
    <row r="352" spans="4:8" ht="15.75">
      <c r="D352" s="92"/>
      <c r="E352" s="92"/>
      <c r="F352" s="92"/>
      <c r="G352" s="92"/>
      <c r="H352" s="92"/>
    </row>
    <row r="353" spans="4:8" ht="15.75">
      <c r="D353" s="92"/>
      <c r="E353" s="92"/>
      <c r="F353" s="92"/>
      <c r="G353" s="92"/>
      <c r="H353" s="92"/>
    </row>
    <row r="354" spans="4:8" ht="15.75">
      <c r="D354" s="92"/>
      <c r="E354" s="92"/>
      <c r="F354" s="92"/>
      <c r="G354" s="92"/>
      <c r="H354" s="92"/>
    </row>
    <row r="355" spans="4:8" ht="15.75">
      <c r="D355" s="92"/>
      <c r="E355" s="92"/>
      <c r="F355" s="92"/>
      <c r="G355" s="92"/>
      <c r="H355" s="92"/>
    </row>
    <row r="356" spans="4:8" ht="15.75">
      <c r="D356" s="92"/>
      <c r="E356" s="92"/>
      <c r="F356" s="92"/>
      <c r="G356" s="92"/>
      <c r="H356" s="92"/>
    </row>
    <row r="357" spans="4:8" ht="15.75">
      <c r="D357" s="92"/>
      <c r="E357" s="92"/>
      <c r="F357" s="92"/>
      <c r="G357" s="92"/>
      <c r="H357" s="92"/>
    </row>
    <row r="358" spans="4:8" ht="15.75">
      <c r="D358" s="92"/>
      <c r="E358" s="92"/>
      <c r="F358" s="92"/>
      <c r="G358" s="92"/>
      <c r="H358" s="92"/>
    </row>
    <row r="359" spans="4:8" ht="15.75">
      <c r="D359" s="92"/>
      <c r="E359" s="92"/>
      <c r="F359" s="92"/>
      <c r="G359" s="92"/>
      <c r="H359" s="92"/>
    </row>
    <row r="360" spans="4:8" ht="15.75">
      <c r="D360" s="92"/>
      <c r="E360" s="92"/>
      <c r="F360" s="92"/>
      <c r="G360" s="92"/>
      <c r="H360" s="92"/>
    </row>
    <row r="361" spans="4:8" ht="15.75">
      <c r="D361" s="92"/>
      <c r="E361" s="92"/>
      <c r="F361" s="92"/>
      <c r="G361" s="92"/>
      <c r="H361" s="92"/>
    </row>
    <row r="362" spans="4:8" ht="15.75">
      <c r="D362" s="92"/>
      <c r="E362" s="92"/>
      <c r="F362" s="92"/>
      <c r="G362" s="92"/>
      <c r="H362" s="92"/>
    </row>
    <row r="363" spans="4:8" ht="15.75">
      <c r="D363" s="92"/>
      <c r="E363" s="92"/>
      <c r="F363" s="92"/>
      <c r="G363" s="92"/>
      <c r="H363" s="92"/>
    </row>
    <row r="364" spans="4:8" ht="15.75">
      <c r="D364" s="92"/>
      <c r="E364" s="92"/>
      <c r="F364" s="92"/>
      <c r="G364" s="92"/>
      <c r="H364" s="92"/>
    </row>
    <row r="365" spans="4:8" ht="15.75">
      <c r="D365" s="92"/>
      <c r="E365" s="92"/>
      <c r="F365" s="92"/>
      <c r="G365" s="92"/>
      <c r="H365" s="92"/>
    </row>
    <row r="366" spans="4:8" ht="15.75">
      <c r="D366" s="92"/>
      <c r="E366" s="92"/>
      <c r="F366" s="92"/>
      <c r="G366" s="92"/>
      <c r="H366" s="92"/>
    </row>
    <row r="367" spans="4:8" ht="15.75">
      <c r="D367" s="92"/>
      <c r="E367" s="92"/>
      <c r="F367" s="92"/>
      <c r="G367" s="92"/>
      <c r="H367" s="92"/>
    </row>
    <row r="368" spans="4:8" ht="15.75">
      <c r="D368" s="92"/>
      <c r="E368" s="92"/>
      <c r="F368" s="92"/>
      <c r="G368" s="92"/>
      <c r="H368" s="92"/>
    </row>
    <row r="369" spans="4:8" ht="15.75">
      <c r="D369" s="92"/>
      <c r="E369" s="92"/>
      <c r="F369" s="92"/>
      <c r="G369" s="92"/>
      <c r="H369" s="92"/>
    </row>
    <row r="370" spans="4:8" ht="15.75">
      <c r="D370" s="92"/>
      <c r="E370" s="92"/>
      <c r="F370" s="92"/>
      <c r="G370" s="92"/>
      <c r="H370" s="92"/>
    </row>
    <row r="371" spans="4:8" ht="15.75">
      <c r="D371" s="92"/>
      <c r="E371" s="92"/>
      <c r="F371" s="92"/>
      <c r="G371" s="92"/>
      <c r="H371" s="92"/>
    </row>
    <row r="372" spans="4:8" ht="15.75">
      <c r="D372" s="92"/>
      <c r="E372" s="92"/>
      <c r="F372" s="92"/>
      <c r="G372" s="92"/>
      <c r="H372" s="92"/>
    </row>
    <row r="373" spans="4:8" ht="15.75">
      <c r="D373" s="92"/>
      <c r="E373" s="92"/>
      <c r="F373" s="92"/>
      <c r="G373" s="92"/>
      <c r="H373" s="92"/>
    </row>
    <row r="374" spans="4:8" ht="15.75">
      <c r="D374" s="92"/>
      <c r="E374" s="92"/>
      <c r="F374" s="92"/>
      <c r="G374" s="92"/>
      <c r="H374" s="92"/>
    </row>
    <row r="375" spans="4:8" ht="15.75">
      <c r="D375" s="92"/>
      <c r="E375" s="92"/>
      <c r="F375" s="92"/>
      <c r="G375" s="92"/>
      <c r="H375" s="92"/>
    </row>
    <row r="376" spans="4:8" ht="15.75">
      <c r="D376" s="92"/>
      <c r="E376" s="92"/>
      <c r="F376" s="92"/>
      <c r="G376" s="92"/>
      <c r="H376" s="92"/>
    </row>
    <row r="377" spans="4:8" ht="15.75">
      <c r="D377" s="92"/>
      <c r="E377" s="92"/>
      <c r="F377" s="92"/>
      <c r="G377" s="92"/>
      <c r="H377" s="92"/>
    </row>
    <row r="378" spans="4:8" ht="15.75">
      <c r="D378" s="92"/>
      <c r="E378" s="92"/>
      <c r="F378" s="92"/>
      <c r="G378" s="92"/>
      <c r="H378" s="92"/>
    </row>
    <row r="379" spans="4:8" ht="15.75">
      <c r="D379" s="92"/>
      <c r="E379" s="92"/>
      <c r="F379" s="92"/>
      <c r="G379" s="92"/>
      <c r="H379" s="92"/>
    </row>
    <row r="380" spans="4:8" ht="15.75">
      <c r="D380" s="92"/>
      <c r="E380" s="92"/>
      <c r="F380" s="92"/>
      <c r="G380" s="92"/>
      <c r="H380" s="92"/>
    </row>
    <row r="381" spans="4:8" ht="15.75">
      <c r="D381" s="92"/>
      <c r="E381" s="92"/>
      <c r="F381" s="92"/>
      <c r="G381" s="92"/>
      <c r="H381" s="92"/>
    </row>
    <row r="382" spans="4:8" ht="15.75">
      <c r="D382" s="92"/>
      <c r="E382" s="92"/>
      <c r="F382" s="92"/>
      <c r="G382" s="92"/>
      <c r="H382" s="92"/>
    </row>
    <row r="383" spans="4:8" ht="15.75">
      <c r="D383" s="92"/>
      <c r="E383" s="92"/>
      <c r="F383" s="92"/>
      <c r="G383" s="92"/>
      <c r="H383" s="92"/>
    </row>
    <row r="384" spans="4:8" ht="15.75">
      <c r="D384" s="92"/>
      <c r="E384" s="92"/>
      <c r="F384" s="92"/>
      <c r="G384" s="92"/>
      <c r="H384" s="92"/>
    </row>
    <row r="385" spans="4:8" ht="15.75">
      <c r="D385" s="92"/>
      <c r="E385" s="92"/>
      <c r="F385" s="92"/>
      <c r="G385" s="92"/>
      <c r="H385" s="92"/>
    </row>
    <row r="386" spans="4:8" ht="15.75">
      <c r="D386" s="92"/>
      <c r="E386" s="92"/>
      <c r="F386" s="92"/>
      <c r="G386" s="92"/>
      <c r="H386" s="92"/>
    </row>
    <row r="387" spans="4:8" ht="15.75">
      <c r="D387" s="92"/>
      <c r="E387" s="92"/>
      <c r="F387" s="92"/>
      <c r="G387" s="92"/>
      <c r="H387" s="92"/>
    </row>
    <row r="388" spans="4:8" ht="15.75">
      <c r="D388" s="92"/>
      <c r="E388" s="92"/>
      <c r="F388" s="92"/>
      <c r="G388" s="92"/>
      <c r="H388" s="92"/>
    </row>
    <row r="389" spans="4:8" ht="15.75">
      <c r="D389" s="92"/>
      <c r="E389" s="92"/>
      <c r="F389" s="92"/>
      <c r="G389" s="92"/>
      <c r="H389" s="92"/>
    </row>
    <row r="390" spans="4:8" ht="15.75">
      <c r="D390" s="92"/>
      <c r="E390" s="92"/>
      <c r="F390" s="92"/>
      <c r="G390" s="92"/>
      <c r="H390" s="92"/>
    </row>
    <row r="391" spans="4:8" ht="15.75">
      <c r="D391" s="92"/>
      <c r="E391" s="92"/>
      <c r="F391" s="92"/>
      <c r="G391" s="92"/>
      <c r="H391" s="92"/>
    </row>
    <row r="392" spans="4:8" ht="15.75">
      <c r="D392" s="92"/>
      <c r="E392" s="92"/>
      <c r="F392" s="92"/>
      <c r="G392" s="92"/>
      <c r="H392" s="92"/>
    </row>
    <row r="393" spans="4:8" ht="15.75">
      <c r="D393" s="92"/>
      <c r="E393" s="92"/>
      <c r="F393" s="92"/>
      <c r="G393" s="92"/>
      <c r="H393" s="92"/>
    </row>
    <row r="394" spans="4:8" ht="15.75">
      <c r="D394" s="92"/>
      <c r="E394" s="92"/>
      <c r="F394" s="92"/>
      <c r="G394" s="92"/>
      <c r="H394" s="92"/>
    </row>
    <row r="395" spans="4:8" ht="15.75">
      <c r="D395" s="92"/>
      <c r="E395" s="92"/>
      <c r="F395" s="92"/>
      <c r="G395" s="92"/>
      <c r="H395" s="92"/>
    </row>
    <row r="396" spans="4:8" ht="15.75">
      <c r="D396" s="92"/>
      <c r="E396" s="92"/>
      <c r="F396" s="92"/>
      <c r="G396" s="92"/>
      <c r="H396" s="92"/>
    </row>
    <row r="397" spans="4:8" ht="15.75">
      <c r="D397" s="92"/>
      <c r="E397" s="92"/>
      <c r="F397" s="92"/>
      <c r="G397" s="92"/>
      <c r="H397" s="92"/>
    </row>
    <row r="398" spans="4:8" ht="15.75">
      <c r="D398" s="92"/>
      <c r="E398" s="92"/>
      <c r="F398" s="92"/>
      <c r="G398" s="92"/>
      <c r="H398" s="92"/>
    </row>
    <row r="399" spans="4:8" ht="15.75">
      <c r="D399" s="92"/>
      <c r="E399" s="92"/>
      <c r="F399" s="92"/>
      <c r="G399" s="92"/>
      <c r="H399" s="92"/>
    </row>
    <row r="400" spans="4:8" ht="15.75">
      <c r="D400" s="92"/>
      <c r="E400" s="92"/>
      <c r="F400" s="92"/>
      <c r="G400" s="92"/>
      <c r="H400" s="92"/>
    </row>
    <row r="401" spans="4:8" ht="15.75">
      <c r="D401" s="92"/>
      <c r="E401" s="92"/>
      <c r="F401" s="92"/>
      <c r="G401" s="92"/>
      <c r="H401" s="92"/>
    </row>
    <row r="402" spans="4:8" ht="15.75">
      <c r="D402" s="92"/>
      <c r="E402" s="92"/>
      <c r="F402" s="92"/>
      <c r="G402" s="92"/>
      <c r="H402" s="92"/>
    </row>
    <row r="403" spans="4:8" ht="15.75">
      <c r="D403" s="92"/>
      <c r="E403" s="92"/>
      <c r="F403" s="92"/>
      <c r="G403" s="92"/>
      <c r="H403" s="92"/>
    </row>
    <row r="404" spans="4:8" ht="15.75">
      <c r="D404" s="92"/>
      <c r="E404" s="92"/>
      <c r="F404" s="92"/>
      <c r="G404" s="92"/>
      <c r="H404" s="92"/>
    </row>
    <row r="405" spans="4:8" ht="15.75">
      <c r="D405" s="92"/>
      <c r="E405" s="92"/>
      <c r="F405" s="92"/>
      <c r="G405" s="92"/>
      <c r="H405" s="92"/>
    </row>
    <row r="406" spans="4:8" ht="15.75">
      <c r="D406" s="92"/>
      <c r="E406" s="92"/>
      <c r="F406" s="92"/>
      <c r="G406" s="92"/>
      <c r="H406" s="92"/>
    </row>
    <row r="407" spans="4:8" ht="15.75">
      <c r="D407" s="92"/>
      <c r="E407" s="92"/>
      <c r="F407" s="92"/>
      <c r="G407" s="92"/>
      <c r="H407" s="92"/>
    </row>
    <row r="408" spans="4:8" ht="15.75">
      <c r="D408" s="92"/>
      <c r="E408" s="92"/>
      <c r="F408" s="92"/>
      <c r="G408" s="92"/>
      <c r="H408" s="92"/>
    </row>
    <row r="409" spans="4:8" ht="15.75">
      <c r="D409" s="92"/>
      <c r="E409" s="92"/>
      <c r="F409" s="92"/>
      <c r="G409" s="92"/>
      <c r="H409" s="92"/>
    </row>
    <row r="410" spans="4:8" ht="15.75">
      <c r="D410" s="92"/>
      <c r="E410" s="92"/>
      <c r="F410" s="92"/>
      <c r="G410" s="92"/>
      <c r="H410" s="92"/>
    </row>
    <row r="411" spans="4:8" ht="15.75">
      <c r="D411" s="92"/>
      <c r="E411" s="92"/>
      <c r="F411" s="92"/>
      <c r="G411" s="92"/>
      <c r="H411" s="92"/>
    </row>
    <row r="412" spans="4:8" ht="15.75">
      <c r="D412" s="92"/>
      <c r="E412" s="92"/>
      <c r="F412" s="92"/>
      <c r="G412" s="92"/>
      <c r="H412" s="92"/>
    </row>
    <row r="413" spans="4:8" ht="15.75">
      <c r="D413" s="92"/>
      <c r="E413" s="92"/>
      <c r="F413" s="92"/>
      <c r="G413" s="92"/>
      <c r="H413" s="92"/>
    </row>
    <row r="414" spans="4:8" ht="15.75">
      <c r="D414" s="92"/>
      <c r="E414" s="92"/>
      <c r="F414" s="92"/>
      <c r="G414" s="92"/>
      <c r="H414" s="92"/>
    </row>
    <row r="415" spans="4:8" ht="15.75">
      <c r="D415" s="92"/>
      <c r="E415" s="92"/>
      <c r="F415" s="92"/>
      <c r="G415" s="92"/>
      <c r="H415" s="92"/>
    </row>
    <row r="416" spans="4:8" ht="15.75">
      <c r="D416" s="92"/>
      <c r="E416" s="92"/>
      <c r="F416" s="92"/>
      <c r="G416" s="92"/>
      <c r="H416" s="92"/>
    </row>
    <row r="417" spans="4:8" ht="15.75">
      <c r="D417" s="92"/>
      <c r="E417" s="92"/>
      <c r="F417" s="92"/>
      <c r="G417" s="92"/>
      <c r="H417" s="92"/>
    </row>
    <row r="418" spans="4:8" ht="15.75">
      <c r="D418" s="92"/>
      <c r="E418" s="92"/>
      <c r="F418" s="92"/>
      <c r="G418" s="92"/>
      <c r="H418" s="92"/>
    </row>
    <row r="419" spans="4:8" ht="15.75">
      <c r="D419" s="92"/>
      <c r="E419" s="92"/>
      <c r="F419" s="92"/>
      <c r="G419" s="92"/>
      <c r="H419" s="92"/>
    </row>
    <row r="420" spans="4:8" ht="15.75">
      <c r="D420" s="92"/>
      <c r="E420" s="92"/>
      <c r="F420" s="92"/>
      <c r="G420" s="92"/>
      <c r="H420" s="92"/>
    </row>
    <row r="421" spans="4:8" ht="15.75">
      <c r="D421" s="92"/>
      <c r="E421" s="92"/>
      <c r="F421" s="92"/>
      <c r="G421" s="92"/>
      <c r="H421" s="92"/>
    </row>
    <row r="422" spans="4:8" ht="15.75">
      <c r="D422" s="92"/>
      <c r="E422" s="92"/>
      <c r="F422" s="92"/>
      <c r="G422" s="92"/>
      <c r="H422" s="92"/>
    </row>
    <row r="423" spans="4:8" ht="15.75">
      <c r="D423" s="92"/>
      <c r="E423" s="92"/>
      <c r="F423" s="92"/>
      <c r="G423" s="92"/>
      <c r="H423" s="92"/>
    </row>
    <row r="424" spans="4:8" ht="15.75">
      <c r="D424" s="92"/>
      <c r="E424" s="92"/>
      <c r="F424" s="92"/>
      <c r="G424" s="92"/>
      <c r="H424" s="92"/>
    </row>
    <row r="425" spans="4:8" ht="15.75">
      <c r="D425" s="92"/>
      <c r="E425" s="92"/>
      <c r="F425" s="92"/>
      <c r="G425" s="92"/>
      <c r="H425" s="92"/>
    </row>
    <row r="426" spans="4:8" ht="15.75">
      <c r="D426" s="92"/>
      <c r="E426" s="92"/>
      <c r="F426" s="92"/>
      <c r="G426" s="92"/>
      <c r="H426" s="92"/>
    </row>
    <row r="427" spans="4:8" ht="15.75">
      <c r="D427" s="92"/>
      <c r="E427" s="92"/>
      <c r="F427" s="92"/>
      <c r="G427" s="92"/>
      <c r="H427" s="92"/>
    </row>
    <row r="428" spans="4:8" ht="15.75">
      <c r="D428" s="92"/>
      <c r="E428" s="92"/>
      <c r="F428" s="92"/>
      <c r="G428" s="92"/>
      <c r="H428" s="92"/>
    </row>
    <row r="429" spans="4:8" ht="15.75">
      <c r="D429" s="92"/>
      <c r="E429" s="92"/>
      <c r="F429" s="92"/>
      <c r="G429" s="92"/>
      <c r="H429" s="92"/>
    </row>
    <row r="430" spans="4:8" ht="15.75">
      <c r="D430" s="92"/>
      <c r="E430" s="92"/>
      <c r="F430" s="92"/>
      <c r="G430" s="92"/>
      <c r="H430" s="92"/>
    </row>
    <row r="431" spans="4:8" ht="15.75">
      <c r="D431" s="92"/>
      <c r="E431" s="92"/>
      <c r="F431" s="92"/>
      <c r="G431" s="92"/>
      <c r="H431" s="92"/>
    </row>
    <row r="432" spans="4:8" ht="15.75">
      <c r="D432" s="92"/>
      <c r="E432" s="92"/>
      <c r="F432" s="92"/>
      <c r="G432" s="92"/>
      <c r="H432" s="92"/>
    </row>
    <row r="433" spans="4:8" ht="15.75">
      <c r="D433" s="92"/>
      <c r="E433" s="92"/>
      <c r="F433" s="92"/>
      <c r="G433" s="92"/>
      <c r="H433" s="92"/>
    </row>
    <row r="434" spans="4:8" ht="15.75">
      <c r="D434" s="92"/>
      <c r="E434" s="92"/>
      <c r="F434" s="92"/>
      <c r="G434" s="92"/>
      <c r="H434" s="92"/>
    </row>
    <row r="435" spans="4:8" ht="15.75">
      <c r="D435" s="92"/>
      <c r="E435" s="92"/>
      <c r="F435" s="92"/>
      <c r="G435" s="92"/>
      <c r="H435" s="92"/>
    </row>
    <row r="436" spans="4:8" ht="15.75">
      <c r="D436" s="92"/>
      <c r="E436" s="92"/>
      <c r="F436" s="92"/>
      <c r="G436" s="92"/>
      <c r="H436" s="92"/>
    </row>
    <row r="437" spans="4:8" ht="15.75">
      <c r="D437" s="92"/>
      <c r="E437" s="92"/>
      <c r="F437" s="92"/>
      <c r="G437" s="92"/>
      <c r="H437" s="92"/>
    </row>
    <row r="438" spans="4:8" ht="15.75">
      <c r="D438" s="92"/>
      <c r="E438" s="92"/>
      <c r="F438" s="92"/>
      <c r="G438" s="92"/>
      <c r="H438" s="92"/>
    </row>
    <row r="439" spans="4:8" ht="15.75">
      <c r="D439" s="92"/>
      <c r="E439" s="92"/>
      <c r="F439" s="92"/>
      <c r="G439" s="92"/>
      <c r="H439" s="92"/>
    </row>
    <row r="440" spans="4:8" ht="15.75">
      <c r="D440" s="92"/>
      <c r="E440" s="92"/>
      <c r="F440" s="92"/>
      <c r="G440" s="92"/>
      <c r="H440" s="92"/>
    </row>
    <row r="441" spans="4:8" ht="15.75">
      <c r="D441" s="92"/>
      <c r="E441" s="92"/>
      <c r="F441" s="92"/>
      <c r="G441" s="92"/>
      <c r="H441" s="92"/>
    </row>
    <row r="442" spans="4:8" ht="15.75">
      <c r="D442" s="92"/>
      <c r="E442" s="92"/>
      <c r="F442" s="92"/>
      <c r="G442" s="92"/>
      <c r="H442" s="92"/>
    </row>
    <row r="443" spans="4:8" ht="15.75">
      <c r="D443" s="92"/>
      <c r="E443" s="92"/>
      <c r="F443" s="92"/>
      <c r="G443" s="92"/>
      <c r="H443" s="92"/>
    </row>
    <row r="444" spans="4:8" ht="15.75">
      <c r="D444" s="92"/>
      <c r="E444" s="92"/>
      <c r="F444" s="92"/>
      <c r="G444" s="92"/>
      <c r="H444" s="92"/>
    </row>
    <row r="445" spans="4:8" ht="15.75">
      <c r="D445" s="92"/>
      <c r="E445" s="92"/>
      <c r="F445" s="92"/>
      <c r="G445" s="92"/>
      <c r="H445" s="92"/>
    </row>
    <row r="446" spans="4:8" ht="15.75">
      <c r="D446" s="92"/>
      <c r="E446" s="92"/>
      <c r="F446" s="92"/>
      <c r="G446" s="92"/>
      <c r="H446" s="92"/>
    </row>
    <row r="447" spans="4:8" ht="15.75">
      <c r="D447" s="92"/>
      <c r="E447" s="92"/>
      <c r="F447" s="92"/>
      <c r="G447" s="92"/>
      <c r="H447" s="92"/>
    </row>
    <row r="448" spans="4:8" ht="15.75">
      <c r="D448" s="92"/>
      <c r="E448" s="92"/>
      <c r="F448" s="92"/>
      <c r="G448" s="92"/>
      <c r="H448" s="92"/>
    </row>
    <row r="449" spans="4:8" ht="15.75">
      <c r="D449" s="92"/>
      <c r="E449" s="92"/>
      <c r="F449" s="92"/>
      <c r="G449" s="92"/>
      <c r="H449" s="92"/>
    </row>
    <row r="450" spans="4:8" ht="15.75">
      <c r="D450" s="92"/>
      <c r="E450" s="92"/>
      <c r="F450" s="92"/>
      <c r="G450" s="92"/>
      <c r="H450" s="92"/>
    </row>
    <row r="451" spans="4:8" ht="15.75">
      <c r="D451" s="92"/>
      <c r="E451" s="92"/>
      <c r="F451" s="92"/>
      <c r="G451" s="92"/>
      <c r="H451" s="92"/>
    </row>
    <row r="452" spans="4:8" ht="15.75">
      <c r="D452" s="92"/>
      <c r="E452" s="92"/>
      <c r="F452" s="92"/>
      <c r="G452" s="92"/>
      <c r="H452" s="92"/>
    </row>
    <row r="453" spans="4:8" ht="15.75">
      <c r="D453" s="92"/>
      <c r="E453" s="92"/>
      <c r="F453" s="92"/>
      <c r="G453" s="92"/>
      <c r="H453" s="92"/>
    </row>
    <row r="454" spans="4:8" ht="15.75">
      <c r="D454" s="92"/>
      <c r="E454" s="92"/>
      <c r="F454" s="92"/>
      <c r="G454" s="92"/>
      <c r="H454" s="92"/>
    </row>
    <row r="455" spans="4:8" ht="15.75">
      <c r="D455" s="92"/>
      <c r="E455" s="92"/>
      <c r="F455" s="92"/>
      <c r="G455" s="92"/>
      <c r="H455" s="92"/>
    </row>
    <row r="456" spans="4:8" ht="15.75">
      <c r="D456" s="92"/>
      <c r="E456" s="92"/>
      <c r="F456" s="92"/>
      <c r="G456" s="92"/>
      <c r="H456" s="92"/>
    </row>
    <row r="457" spans="4:8" ht="15.75">
      <c r="D457" s="92"/>
      <c r="E457" s="92"/>
      <c r="F457" s="92"/>
      <c r="G457" s="92"/>
      <c r="H457" s="92"/>
    </row>
    <row r="458" spans="4:8" ht="15.75">
      <c r="D458" s="92"/>
      <c r="E458" s="92"/>
      <c r="F458" s="92"/>
      <c r="G458" s="92"/>
      <c r="H458" s="92"/>
    </row>
    <row r="459" spans="4:8" ht="15.75">
      <c r="D459" s="92"/>
      <c r="E459" s="92"/>
      <c r="F459" s="92"/>
      <c r="G459" s="92"/>
      <c r="H459" s="92"/>
    </row>
    <row r="460" spans="4:8" ht="15.75">
      <c r="D460" s="92"/>
      <c r="E460" s="92"/>
      <c r="F460" s="92"/>
      <c r="G460" s="92"/>
      <c r="H460" s="92"/>
    </row>
    <row r="461" spans="4:8" ht="15.75">
      <c r="D461" s="92"/>
      <c r="E461" s="92"/>
      <c r="F461" s="92"/>
      <c r="G461" s="92"/>
      <c r="H461" s="92"/>
    </row>
    <row r="462" spans="4:8" ht="15.75">
      <c r="D462" s="92"/>
      <c r="E462" s="92"/>
      <c r="F462" s="92"/>
      <c r="G462" s="92"/>
      <c r="H462" s="92"/>
    </row>
    <row r="463" spans="4:8" ht="15.75">
      <c r="D463" s="92"/>
      <c r="E463" s="92"/>
      <c r="F463" s="92"/>
      <c r="G463" s="92"/>
      <c r="H463" s="92"/>
    </row>
    <row r="464" spans="4:8" ht="15.75">
      <c r="D464" s="92"/>
      <c r="E464" s="92"/>
      <c r="F464" s="92"/>
      <c r="G464" s="92"/>
      <c r="H464" s="92"/>
    </row>
    <row r="465" spans="4:8" ht="15.75">
      <c r="D465" s="92"/>
      <c r="E465" s="92"/>
      <c r="F465" s="92"/>
      <c r="G465" s="92"/>
      <c r="H465" s="92"/>
    </row>
    <row r="466" spans="4:8" ht="15.75">
      <c r="D466" s="92"/>
      <c r="E466" s="92"/>
      <c r="F466" s="92"/>
      <c r="G466" s="92"/>
      <c r="H466" s="92"/>
    </row>
    <row r="467" spans="4:8" ht="15.75">
      <c r="D467" s="92"/>
      <c r="E467" s="92"/>
      <c r="F467" s="92"/>
      <c r="G467" s="92"/>
      <c r="H467" s="92"/>
    </row>
    <row r="468" spans="4:8" ht="15.75">
      <c r="D468" s="92"/>
      <c r="E468" s="92"/>
      <c r="F468" s="92"/>
      <c r="G468" s="92"/>
      <c r="H468" s="92"/>
    </row>
    <row r="469" spans="4:8" ht="15.75">
      <c r="D469" s="92"/>
      <c r="E469" s="92"/>
      <c r="F469" s="92"/>
      <c r="G469" s="92"/>
      <c r="H469" s="92"/>
    </row>
    <row r="470" spans="4:8" ht="15.75">
      <c r="D470" s="92"/>
      <c r="E470" s="92"/>
      <c r="F470" s="92"/>
      <c r="G470" s="92"/>
      <c r="H470" s="92"/>
    </row>
    <row r="471" spans="4:8" ht="15.75">
      <c r="D471" s="92"/>
      <c r="E471" s="92"/>
      <c r="F471" s="92"/>
      <c r="G471" s="92"/>
      <c r="H471" s="92"/>
    </row>
    <row r="472" spans="4:8" ht="15.75">
      <c r="D472" s="92"/>
      <c r="E472" s="92"/>
      <c r="F472" s="92"/>
      <c r="G472" s="92"/>
      <c r="H472" s="92"/>
    </row>
    <row r="473" spans="4:8" ht="15.75">
      <c r="D473" s="92"/>
      <c r="E473" s="92"/>
      <c r="F473" s="92"/>
      <c r="G473" s="92"/>
      <c r="H473" s="92"/>
    </row>
    <row r="474" spans="4:8" ht="15.75">
      <c r="D474" s="92"/>
      <c r="E474" s="92"/>
      <c r="F474" s="92"/>
      <c r="G474" s="92"/>
      <c r="H474" s="92"/>
    </row>
    <row r="475" spans="4:8" ht="15.75">
      <c r="D475" s="92"/>
      <c r="E475" s="92"/>
      <c r="F475" s="92"/>
      <c r="G475" s="92"/>
      <c r="H475" s="92"/>
    </row>
    <row r="476" spans="4:8" ht="15.75">
      <c r="D476" s="92"/>
      <c r="E476" s="92"/>
      <c r="F476" s="92"/>
      <c r="G476" s="92"/>
      <c r="H476" s="92"/>
    </row>
    <row r="477" spans="4:8" ht="15.75">
      <c r="D477" s="92"/>
      <c r="E477" s="92"/>
      <c r="F477" s="92"/>
      <c r="G477" s="92"/>
      <c r="H477" s="92"/>
    </row>
    <row r="478" spans="4:8" ht="15.75">
      <c r="D478" s="92"/>
      <c r="E478" s="92"/>
      <c r="F478" s="92"/>
      <c r="G478" s="92"/>
      <c r="H478" s="92"/>
    </row>
    <row r="479" spans="4:8" ht="15.75">
      <c r="D479" s="92"/>
      <c r="E479" s="92"/>
      <c r="F479" s="92"/>
      <c r="G479" s="92"/>
      <c r="H479" s="92"/>
    </row>
    <row r="480" spans="4:8" ht="15.75">
      <c r="D480" s="92"/>
      <c r="E480" s="92"/>
      <c r="F480" s="92"/>
      <c r="G480" s="92"/>
      <c r="H480" s="92"/>
    </row>
    <row r="481" spans="4:8" ht="15.75">
      <c r="D481" s="92"/>
      <c r="E481" s="92"/>
      <c r="F481" s="92"/>
      <c r="G481" s="92"/>
      <c r="H481" s="92"/>
    </row>
    <row r="482" spans="4:8" ht="15.75">
      <c r="D482" s="92"/>
      <c r="E482" s="92"/>
      <c r="F482" s="92"/>
      <c r="G482" s="92"/>
      <c r="H482" s="92"/>
    </row>
    <row r="483" spans="4:8" ht="15.75">
      <c r="D483" s="92"/>
      <c r="E483" s="92"/>
      <c r="F483" s="92"/>
      <c r="G483" s="92"/>
      <c r="H483" s="92"/>
    </row>
    <row r="484" spans="4:8" ht="15.75">
      <c r="D484" s="92"/>
      <c r="E484" s="92"/>
      <c r="F484" s="92"/>
      <c r="G484" s="92"/>
      <c r="H484" s="92"/>
    </row>
    <row r="485" spans="4:8" ht="15.75">
      <c r="D485" s="92"/>
      <c r="E485" s="92"/>
      <c r="F485" s="92"/>
      <c r="G485" s="92"/>
      <c r="H485" s="92"/>
    </row>
    <row r="486" spans="4:8" ht="15.75">
      <c r="D486" s="92"/>
      <c r="E486" s="92"/>
      <c r="F486" s="92"/>
      <c r="G486" s="92"/>
      <c r="H486" s="92"/>
    </row>
    <row r="487" spans="4:8" ht="15.75">
      <c r="D487" s="92"/>
      <c r="E487" s="92"/>
      <c r="F487" s="92"/>
      <c r="G487" s="92"/>
      <c r="H487" s="92"/>
    </row>
    <row r="488" spans="4:8" ht="15.75">
      <c r="D488" s="92"/>
      <c r="E488" s="92"/>
      <c r="F488" s="92"/>
      <c r="G488" s="92"/>
      <c r="H488" s="92"/>
    </row>
    <row r="489" spans="4:8" ht="15.75">
      <c r="D489" s="92"/>
      <c r="E489" s="92"/>
      <c r="F489" s="92"/>
      <c r="G489" s="92"/>
      <c r="H489" s="92"/>
    </row>
    <row r="490" spans="4:8" ht="15.75">
      <c r="D490" s="92"/>
      <c r="E490" s="92"/>
      <c r="F490" s="92"/>
      <c r="G490" s="92"/>
      <c r="H490" s="92"/>
    </row>
    <row r="491" spans="4:8" ht="15.75">
      <c r="D491" s="92"/>
      <c r="E491" s="92"/>
      <c r="F491" s="92"/>
      <c r="G491" s="92"/>
      <c r="H491" s="92"/>
    </row>
    <row r="492" spans="4:8" ht="15.75">
      <c r="D492" s="92"/>
      <c r="E492" s="92"/>
      <c r="F492" s="92"/>
      <c r="G492" s="92"/>
      <c r="H492" s="92"/>
    </row>
    <row r="493" spans="4:8" ht="15.75">
      <c r="D493" s="92"/>
      <c r="E493" s="92"/>
      <c r="F493" s="92"/>
      <c r="G493" s="92"/>
      <c r="H493" s="92"/>
    </row>
    <row r="494" spans="4:8" ht="15.75">
      <c r="D494" s="92"/>
      <c r="E494" s="92"/>
      <c r="F494" s="92"/>
      <c r="G494" s="92"/>
      <c r="H494" s="92"/>
    </row>
    <row r="495" spans="4:8" ht="15.75">
      <c r="D495" s="92"/>
      <c r="E495" s="92"/>
      <c r="F495" s="92"/>
      <c r="G495" s="92"/>
      <c r="H495" s="92"/>
    </row>
    <row r="496" spans="4:8" ht="15.75">
      <c r="D496" s="92"/>
      <c r="E496" s="92"/>
      <c r="F496" s="92"/>
      <c r="G496" s="92"/>
      <c r="H496" s="92"/>
    </row>
    <row r="497" spans="4:8" ht="15.75">
      <c r="D497" s="92"/>
      <c r="E497" s="92"/>
      <c r="F497" s="92"/>
      <c r="G497" s="92"/>
      <c r="H497" s="92"/>
    </row>
    <row r="498" spans="4:8" ht="15.75">
      <c r="D498" s="92"/>
      <c r="E498" s="92"/>
      <c r="F498" s="92"/>
      <c r="G498" s="92"/>
      <c r="H498" s="92"/>
    </row>
    <row r="499" spans="4:8" ht="15.75">
      <c r="D499" s="92"/>
      <c r="E499" s="92"/>
      <c r="F499" s="92"/>
      <c r="G499" s="92"/>
      <c r="H499" s="92"/>
    </row>
    <row r="500" spans="4:8" ht="15.75">
      <c r="D500" s="92"/>
      <c r="E500" s="92"/>
      <c r="F500" s="92"/>
      <c r="G500" s="92"/>
      <c r="H500" s="92"/>
    </row>
    <row r="501" spans="4:8" ht="15.75">
      <c r="D501" s="92"/>
      <c r="E501" s="92"/>
      <c r="F501" s="92"/>
      <c r="G501" s="92"/>
      <c r="H501" s="92"/>
    </row>
    <row r="502" spans="4:8" ht="15.75">
      <c r="D502" s="92"/>
      <c r="E502" s="92"/>
      <c r="F502" s="92"/>
      <c r="G502" s="92"/>
      <c r="H502" s="92"/>
    </row>
    <row r="503" spans="4:8" ht="15.75">
      <c r="D503" s="92"/>
      <c r="E503" s="92"/>
      <c r="F503" s="92"/>
      <c r="G503" s="92"/>
      <c r="H503" s="92"/>
    </row>
    <row r="504" spans="4:8" ht="15.75">
      <c r="D504" s="92"/>
      <c r="E504" s="92"/>
      <c r="F504" s="92"/>
      <c r="G504" s="92"/>
      <c r="H504" s="92"/>
    </row>
    <row r="505" spans="4:8" ht="15.75">
      <c r="D505" s="92"/>
      <c r="E505" s="92"/>
      <c r="F505" s="92"/>
      <c r="G505" s="92"/>
      <c r="H505" s="92"/>
    </row>
    <row r="506" spans="4:8" ht="15.75">
      <c r="D506" s="92"/>
      <c r="E506" s="92"/>
      <c r="F506" s="92"/>
      <c r="G506" s="92"/>
      <c r="H506" s="92"/>
    </row>
    <row r="507" spans="4:8" ht="15.75">
      <c r="D507" s="92"/>
      <c r="E507" s="92"/>
      <c r="F507" s="92"/>
      <c r="G507" s="92"/>
      <c r="H507" s="92"/>
    </row>
    <row r="508" spans="4:8" ht="15.75">
      <c r="D508" s="92"/>
      <c r="E508" s="92"/>
      <c r="F508" s="92"/>
      <c r="G508" s="92"/>
      <c r="H508" s="92"/>
    </row>
    <row r="509" spans="4:8" ht="15.75">
      <c r="D509" s="92"/>
      <c r="E509" s="92"/>
      <c r="F509" s="92"/>
      <c r="G509" s="92"/>
      <c r="H509" s="92"/>
    </row>
    <row r="510" spans="4:8" ht="15.75">
      <c r="D510" s="92"/>
      <c r="E510" s="92"/>
      <c r="F510" s="92"/>
      <c r="G510" s="92"/>
      <c r="H510" s="92"/>
    </row>
    <row r="511" spans="4:8" ht="15.75">
      <c r="D511" s="92"/>
      <c r="E511" s="92"/>
      <c r="F511" s="92"/>
      <c r="G511" s="92"/>
      <c r="H511" s="92"/>
    </row>
    <row r="512" spans="4:8" ht="15.75">
      <c r="D512" s="92"/>
      <c r="E512" s="92"/>
      <c r="F512" s="92"/>
      <c r="G512" s="92"/>
      <c r="H512" s="92"/>
    </row>
    <row r="513" spans="4:8" ht="15.75">
      <c r="D513" s="92"/>
      <c r="E513" s="92"/>
      <c r="F513" s="92"/>
      <c r="G513" s="92"/>
      <c r="H513" s="92"/>
    </row>
    <row r="514" spans="4:8" ht="15.75">
      <c r="D514" s="92"/>
      <c r="E514" s="92"/>
      <c r="F514" s="92"/>
      <c r="G514" s="92"/>
      <c r="H514" s="92"/>
    </row>
    <row r="515" spans="4:8" ht="15.75">
      <c r="D515" s="92"/>
      <c r="E515" s="92"/>
      <c r="F515" s="92"/>
      <c r="G515" s="92"/>
      <c r="H515" s="92"/>
    </row>
    <row r="516" spans="4:8" ht="15.75">
      <c r="D516" s="92"/>
      <c r="E516" s="92"/>
      <c r="F516" s="92"/>
      <c r="G516" s="92"/>
      <c r="H516" s="92"/>
    </row>
    <row r="517" spans="4:8" ht="15.75">
      <c r="D517" s="92"/>
      <c r="E517" s="92"/>
      <c r="F517" s="92"/>
      <c r="G517" s="92"/>
      <c r="H517" s="92"/>
    </row>
    <row r="518" spans="4:8" ht="15.75">
      <c r="D518" s="92"/>
      <c r="E518" s="92"/>
      <c r="F518" s="92"/>
      <c r="G518" s="92"/>
      <c r="H518" s="92"/>
    </row>
    <row r="519" spans="4:8" ht="15.75">
      <c r="D519" s="92"/>
      <c r="E519" s="92"/>
      <c r="F519" s="92"/>
      <c r="G519" s="92"/>
      <c r="H519" s="92"/>
    </row>
    <row r="520" spans="4:8" ht="15.75">
      <c r="D520" s="92"/>
      <c r="E520" s="92"/>
      <c r="F520" s="92"/>
      <c r="G520" s="92"/>
      <c r="H520" s="92"/>
    </row>
    <row r="521" spans="4:8" ht="15.75">
      <c r="D521" s="92"/>
      <c r="E521" s="92"/>
      <c r="F521" s="92"/>
      <c r="G521" s="92"/>
      <c r="H521" s="92"/>
    </row>
    <row r="522" spans="4:8" ht="15.75">
      <c r="D522" s="92"/>
      <c r="E522" s="92"/>
      <c r="F522" s="92"/>
      <c r="G522" s="92"/>
      <c r="H522" s="92"/>
    </row>
    <row r="523" spans="4:8" ht="15.75">
      <c r="D523" s="92"/>
      <c r="E523" s="92"/>
      <c r="F523" s="92"/>
      <c r="G523" s="92"/>
      <c r="H523" s="92"/>
    </row>
    <row r="524" spans="4:8" ht="15.75">
      <c r="D524" s="92"/>
      <c r="E524" s="92"/>
      <c r="F524" s="92"/>
      <c r="G524" s="92"/>
      <c r="H524" s="92"/>
    </row>
    <row r="525" spans="4:8" ht="15.75">
      <c r="D525" s="92"/>
      <c r="E525" s="92"/>
      <c r="F525" s="92"/>
      <c r="G525" s="92"/>
      <c r="H525" s="92"/>
    </row>
    <row r="526" spans="4:8" ht="15.75">
      <c r="D526" s="92"/>
      <c r="E526" s="92"/>
      <c r="F526" s="92"/>
      <c r="G526" s="92"/>
      <c r="H526" s="92"/>
    </row>
    <row r="527" spans="4:8" ht="15.75">
      <c r="D527" s="92"/>
      <c r="E527" s="92"/>
      <c r="F527" s="92"/>
      <c r="G527" s="92"/>
      <c r="H527" s="92"/>
    </row>
    <row r="528" spans="4:8" ht="15.75">
      <c r="D528" s="92"/>
      <c r="E528" s="92"/>
      <c r="F528" s="92"/>
      <c r="G528" s="92"/>
      <c r="H528" s="92"/>
    </row>
    <row r="529" spans="4:8" ht="15.75">
      <c r="D529" s="92"/>
      <c r="E529" s="92"/>
      <c r="F529" s="92"/>
      <c r="G529" s="92"/>
      <c r="H529" s="92"/>
    </row>
    <row r="530" spans="4:8" ht="15.75">
      <c r="D530" s="92"/>
      <c r="E530" s="92"/>
      <c r="F530" s="92"/>
      <c r="G530" s="92"/>
      <c r="H530" s="92"/>
    </row>
    <row r="531" spans="4:8" ht="15.75">
      <c r="D531" s="92"/>
      <c r="E531" s="92"/>
      <c r="F531" s="92"/>
      <c r="G531" s="92"/>
      <c r="H531" s="92"/>
    </row>
    <row r="532" spans="4:8" ht="15.75">
      <c r="D532" s="92"/>
      <c r="E532" s="92"/>
      <c r="F532" s="92"/>
      <c r="G532" s="92"/>
      <c r="H532" s="92"/>
    </row>
    <row r="533" spans="4:8" ht="15.75">
      <c r="D533" s="92"/>
      <c r="E533" s="92"/>
      <c r="F533" s="92"/>
      <c r="G533" s="92"/>
      <c r="H533" s="92"/>
    </row>
    <row r="534" spans="4:8" ht="15.75">
      <c r="D534" s="92"/>
      <c r="E534" s="92"/>
      <c r="F534" s="92"/>
      <c r="G534" s="92"/>
      <c r="H534" s="92"/>
    </row>
    <row r="535" spans="4:8" ht="15.75">
      <c r="D535" s="92"/>
      <c r="E535" s="92"/>
      <c r="F535" s="92"/>
      <c r="G535" s="92"/>
      <c r="H535" s="92"/>
    </row>
    <row r="536" spans="4:8" ht="15.75">
      <c r="D536" s="92"/>
      <c r="E536" s="92"/>
      <c r="F536" s="92"/>
      <c r="G536" s="92"/>
      <c r="H536" s="92"/>
    </row>
    <row r="537" spans="4:8" ht="15.75">
      <c r="D537" s="92"/>
      <c r="E537" s="92"/>
      <c r="F537" s="92"/>
      <c r="G537" s="92"/>
      <c r="H537" s="92"/>
    </row>
    <row r="538" spans="4:8" ht="15.75">
      <c r="D538" s="92"/>
      <c r="E538" s="92"/>
      <c r="F538" s="92"/>
      <c r="G538" s="92"/>
      <c r="H538" s="92"/>
    </row>
    <row r="539" spans="4:8" ht="15.75">
      <c r="D539" s="92"/>
      <c r="E539" s="92"/>
      <c r="F539" s="92"/>
      <c r="G539" s="92"/>
      <c r="H539" s="92"/>
    </row>
    <row r="540" spans="4:8" ht="15.75">
      <c r="D540" s="92"/>
      <c r="E540" s="92"/>
      <c r="F540" s="92"/>
      <c r="G540" s="92"/>
      <c r="H540" s="92"/>
    </row>
    <row r="541" spans="4:8" ht="15.75">
      <c r="D541" s="92"/>
      <c r="E541" s="92"/>
      <c r="F541" s="92"/>
      <c r="G541" s="92"/>
      <c r="H541" s="92"/>
    </row>
    <row r="542" spans="4:8" ht="15.75">
      <c r="D542" s="92"/>
      <c r="E542" s="92"/>
      <c r="F542" s="92"/>
      <c r="G542" s="92"/>
      <c r="H542" s="92"/>
    </row>
    <row r="543" spans="4:8" ht="15.75">
      <c r="D543" s="92"/>
      <c r="E543" s="92"/>
      <c r="F543" s="92"/>
      <c r="G543" s="92"/>
      <c r="H543" s="92"/>
    </row>
    <row r="544" spans="4:8" ht="15.75">
      <c r="D544" s="92"/>
      <c r="E544" s="92"/>
      <c r="F544" s="92"/>
      <c r="G544" s="92"/>
      <c r="H544" s="92"/>
    </row>
    <row r="545" spans="4:8" ht="15.75">
      <c r="D545" s="92"/>
      <c r="E545" s="92"/>
      <c r="F545" s="92"/>
      <c r="G545" s="92"/>
      <c r="H545" s="92"/>
    </row>
    <row r="546" spans="4:8" ht="15.75">
      <c r="D546" s="92"/>
      <c r="E546" s="92"/>
      <c r="F546" s="92"/>
      <c r="G546" s="92"/>
      <c r="H546" s="92"/>
    </row>
    <row r="547" spans="4:8" ht="15.75">
      <c r="D547" s="92"/>
      <c r="E547" s="92"/>
      <c r="F547" s="92"/>
      <c r="G547" s="92"/>
      <c r="H547" s="92"/>
    </row>
    <row r="548" spans="4:8" ht="15.75">
      <c r="D548" s="92"/>
      <c r="E548" s="92"/>
      <c r="F548" s="92"/>
      <c r="G548" s="92"/>
      <c r="H548" s="92"/>
    </row>
    <row r="549" spans="4:8" ht="15.75">
      <c r="D549" s="92"/>
      <c r="E549" s="92"/>
      <c r="F549" s="92"/>
      <c r="G549" s="92"/>
      <c r="H549" s="92"/>
    </row>
    <row r="550" spans="4:8" ht="15.75">
      <c r="D550" s="92"/>
      <c r="E550" s="92"/>
      <c r="F550" s="92"/>
      <c r="G550" s="92"/>
      <c r="H550" s="92"/>
    </row>
    <row r="551" spans="4:8" ht="15.75">
      <c r="D551" s="92"/>
      <c r="E551" s="92"/>
      <c r="F551" s="92"/>
      <c r="G551" s="92"/>
      <c r="H551" s="92"/>
    </row>
    <row r="552" spans="4:8" ht="15.75">
      <c r="D552" s="92"/>
      <c r="E552" s="92"/>
      <c r="F552" s="92"/>
      <c r="G552" s="92"/>
      <c r="H552" s="92"/>
    </row>
    <row r="553" spans="4:8" ht="15.75">
      <c r="D553" s="92"/>
      <c r="E553" s="92"/>
      <c r="F553" s="92"/>
      <c r="G553" s="92"/>
      <c r="H553" s="92"/>
    </row>
    <row r="554" spans="4:8" ht="15.75">
      <c r="D554" s="92"/>
      <c r="E554" s="92"/>
      <c r="F554" s="92"/>
      <c r="G554" s="92"/>
      <c r="H554" s="92"/>
    </row>
    <row r="555" spans="4:8" ht="15.75">
      <c r="D555" s="92"/>
      <c r="E555" s="92"/>
      <c r="F555" s="92"/>
      <c r="G555" s="92"/>
      <c r="H555" s="92"/>
    </row>
    <row r="556" spans="4:8" ht="15.75">
      <c r="D556" s="92"/>
      <c r="E556" s="92"/>
      <c r="F556" s="92"/>
      <c r="G556" s="92"/>
      <c r="H556" s="92"/>
    </row>
    <row r="557" spans="4:8" ht="15.75">
      <c r="D557" s="92"/>
      <c r="E557" s="92"/>
      <c r="F557" s="92"/>
      <c r="G557" s="92"/>
      <c r="H557" s="92"/>
    </row>
    <row r="558" spans="4:8" ht="15.75">
      <c r="D558" s="92"/>
      <c r="E558" s="92"/>
      <c r="F558" s="92"/>
      <c r="G558" s="92"/>
      <c r="H558" s="92"/>
    </row>
    <row r="559" spans="4:8" ht="15.75">
      <c r="D559" s="92"/>
      <c r="E559" s="92"/>
      <c r="F559" s="92"/>
      <c r="G559" s="92"/>
      <c r="H559" s="92"/>
    </row>
    <row r="560" spans="4:8" ht="15.75">
      <c r="D560" s="92"/>
      <c r="E560" s="92"/>
      <c r="F560" s="92"/>
      <c r="G560" s="92"/>
      <c r="H560" s="92"/>
    </row>
    <row r="561" spans="4:8" ht="15.75">
      <c r="D561" s="92"/>
      <c r="E561" s="92"/>
      <c r="F561" s="92"/>
      <c r="G561" s="92"/>
      <c r="H561" s="92"/>
    </row>
    <row r="562" spans="4:8" ht="15.75">
      <c r="D562" s="92"/>
      <c r="E562" s="92"/>
      <c r="F562" s="92"/>
      <c r="G562" s="92"/>
      <c r="H562" s="92"/>
    </row>
    <row r="563" spans="4:8" ht="15.75">
      <c r="D563" s="92"/>
      <c r="E563" s="92"/>
      <c r="F563" s="92"/>
      <c r="G563" s="92"/>
      <c r="H563" s="92"/>
    </row>
    <row r="564" spans="4:8" ht="15.75">
      <c r="D564" s="92"/>
      <c r="E564" s="92"/>
      <c r="F564" s="92"/>
      <c r="G564" s="92"/>
      <c r="H564" s="92"/>
    </row>
    <row r="565" spans="4:8" ht="15.75">
      <c r="D565" s="92"/>
      <c r="E565" s="92"/>
      <c r="F565" s="92"/>
      <c r="G565" s="92"/>
      <c r="H565" s="92"/>
    </row>
    <row r="566" spans="4:8" ht="15.75">
      <c r="D566" s="92"/>
      <c r="E566" s="92"/>
      <c r="F566" s="92"/>
      <c r="G566" s="92"/>
      <c r="H566" s="92"/>
    </row>
    <row r="567" spans="4:8" ht="15.75">
      <c r="D567" s="92"/>
      <c r="E567" s="92"/>
      <c r="F567" s="92"/>
      <c r="G567" s="92"/>
      <c r="H567" s="92"/>
    </row>
    <row r="568" spans="4:8" ht="15.75">
      <c r="D568" s="92"/>
      <c r="E568" s="92"/>
      <c r="F568" s="92"/>
      <c r="G568" s="92"/>
      <c r="H568" s="92"/>
    </row>
    <row r="569" spans="4:8" ht="15.75">
      <c r="D569" s="92"/>
      <c r="E569" s="92"/>
      <c r="F569" s="92"/>
      <c r="G569" s="92"/>
      <c r="H569" s="92"/>
    </row>
    <row r="570" spans="4:8" ht="15.75">
      <c r="D570" s="92"/>
      <c r="E570" s="92"/>
      <c r="F570" s="92"/>
      <c r="G570" s="92"/>
      <c r="H570" s="92"/>
    </row>
    <row r="571" spans="4:8" ht="15.75">
      <c r="D571" s="92"/>
      <c r="E571" s="92"/>
      <c r="F571" s="92"/>
      <c r="G571" s="92"/>
      <c r="H571" s="92"/>
    </row>
    <row r="572" spans="4:8" ht="15.75">
      <c r="D572" s="92"/>
      <c r="E572" s="92"/>
      <c r="F572" s="92"/>
      <c r="G572" s="92"/>
      <c r="H572" s="92"/>
    </row>
    <row r="573" spans="4:8" ht="15.75">
      <c r="D573" s="92"/>
      <c r="E573" s="92"/>
      <c r="F573" s="92"/>
      <c r="G573" s="92"/>
      <c r="H573" s="92"/>
    </row>
    <row r="574" spans="4:8" ht="15.75">
      <c r="D574" s="92"/>
      <c r="E574" s="92"/>
      <c r="F574" s="92"/>
      <c r="G574" s="92"/>
      <c r="H574" s="92"/>
    </row>
    <row r="575" spans="4:8" ht="15.75">
      <c r="D575" s="92"/>
      <c r="E575" s="92"/>
      <c r="F575" s="92"/>
      <c r="G575" s="92"/>
      <c r="H575" s="92"/>
    </row>
    <row r="576" spans="4:8" ht="15.75">
      <c r="D576" s="92"/>
      <c r="E576" s="92"/>
      <c r="F576" s="92"/>
      <c r="G576" s="92"/>
      <c r="H576" s="92"/>
    </row>
    <row r="577" spans="4:8" ht="15.75">
      <c r="D577" s="92"/>
      <c r="E577" s="92"/>
      <c r="F577" s="92"/>
      <c r="G577" s="92"/>
      <c r="H577" s="92"/>
    </row>
    <row r="578" spans="4:8" ht="15.75">
      <c r="D578" s="92"/>
      <c r="E578" s="92"/>
      <c r="F578" s="92"/>
      <c r="G578" s="92"/>
      <c r="H578" s="92"/>
    </row>
    <row r="579" spans="4:8" ht="15.75">
      <c r="D579" s="92"/>
      <c r="E579" s="92"/>
      <c r="F579" s="92"/>
      <c r="G579" s="92"/>
      <c r="H579" s="92"/>
    </row>
    <row r="580" spans="4:8" ht="15.75">
      <c r="D580" s="92"/>
      <c r="E580" s="92"/>
      <c r="F580" s="92"/>
      <c r="G580" s="92"/>
      <c r="H580" s="92"/>
    </row>
    <row r="581" spans="4:8" ht="15.75">
      <c r="D581" s="92"/>
      <c r="E581" s="92"/>
      <c r="F581" s="92"/>
      <c r="G581" s="92"/>
      <c r="H581" s="92"/>
    </row>
    <row r="582" spans="4:8" ht="15.75">
      <c r="D582" s="92"/>
      <c r="E582" s="92"/>
      <c r="F582" s="92"/>
      <c r="G582" s="92"/>
      <c r="H582" s="92"/>
    </row>
    <row r="583" spans="4:8" ht="15.75">
      <c r="D583" s="92"/>
      <c r="E583" s="92"/>
      <c r="F583" s="92"/>
      <c r="G583" s="92"/>
      <c r="H583" s="92"/>
    </row>
    <row r="584" spans="4:8" ht="15.75">
      <c r="D584" s="92"/>
      <c r="E584" s="92"/>
      <c r="F584" s="92"/>
      <c r="G584" s="92"/>
      <c r="H584" s="92"/>
    </row>
    <row r="585" spans="4:8" ht="15.75">
      <c r="D585" s="92"/>
      <c r="E585" s="92"/>
      <c r="F585" s="92"/>
      <c r="G585" s="92"/>
      <c r="H585" s="92"/>
    </row>
    <row r="586" spans="4:8" ht="15.75">
      <c r="D586" s="92"/>
      <c r="E586" s="92"/>
      <c r="F586" s="92"/>
      <c r="G586" s="92"/>
      <c r="H586" s="92"/>
    </row>
    <row r="587" spans="4:8" ht="15.75">
      <c r="D587" s="92"/>
      <c r="E587" s="92"/>
      <c r="F587" s="92"/>
      <c r="G587" s="92"/>
      <c r="H587" s="92"/>
    </row>
    <row r="588" spans="4:8" ht="15.75">
      <c r="D588" s="92"/>
      <c r="E588" s="92"/>
      <c r="F588" s="92"/>
      <c r="G588" s="92"/>
      <c r="H588" s="92"/>
    </row>
    <row r="589" spans="4:8" ht="15.75">
      <c r="D589" s="92"/>
      <c r="E589" s="92"/>
      <c r="F589" s="92"/>
      <c r="G589" s="92"/>
      <c r="H589" s="92"/>
    </row>
    <row r="590" spans="4:8" ht="15.75">
      <c r="D590" s="92"/>
      <c r="E590" s="92"/>
      <c r="F590" s="92"/>
      <c r="G590" s="92"/>
      <c r="H590" s="92"/>
    </row>
    <row r="591" spans="4:8" ht="15.75">
      <c r="D591" s="92"/>
      <c r="E591" s="92"/>
      <c r="F591" s="92"/>
      <c r="G591" s="92"/>
      <c r="H591" s="92"/>
    </row>
    <row r="592" spans="4:8" ht="15.75">
      <c r="D592" s="92"/>
      <c r="E592" s="92"/>
      <c r="F592" s="92"/>
      <c r="G592" s="92"/>
      <c r="H592" s="92"/>
    </row>
    <row r="593" spans="4:8" ht="15.75">
      <c r="D593" s="92"/>
      <c r="E593" s="92"/>
      <c r="F593" s="92"/>
      <c r="G593" s="92"/>
      <c r="H593" s="92"/>
    </row>
    <row r="594" spans="4:8" ht="15.75">
      <c r="D594" s="92"/>
      <c r="E594" s="92"/>
      <c r="F594" s="92"/>
      <c r="G594" s="92"/>
      <c r="H594" s="92"/>
    </row>
    <row r="595" spans="4:8" ht="15.75">
      <c r="D595" s="92"/>
      <c r="E595" s="92"/>
      <c r="F595" s="92"/>
      <c r="G595" s="92"/>
      <c r="H595" s="92"/>
    </row>
    <row r="596" spans="4:8" ht="15.75">
      <c r="D596" s="92"/>
      <c r="E596" s="92"/>
      <c r="F596" s="92"/>
      <c r="G596" s="92"/>
      <c r="H596" s="92"/>
    </row>
    <row r="597" spans="4:8" ht="15.75">
      <c r="D597" s="92"/>
      <c r="E597" s="92"/>
      <c r="F597" s="92"/>
      <c r="G597" s="92"/>
      <c r="H597" s="92"/>
    </row>
    <row r="598" spans="4:8" ht="15.75">
      <c r="D598" s="92"/>
      <c r="E598" s="92"/>
      <c r="F598" s="92"/>
      <c r="G598" s="92"/>
      <c r="H598" s="92"/>
    </row>
    <row r="599" spans="4:8" ht="15.75">
      <c r="D599" s="92"/>
      <c r="E599" s="92"/>
      <c r="F599" s="92"/>
      <c r="G599" s="92"/>
      <c r="H599" s="92"/>
    </row>
    <row r="600" spans="4:8" ht="15.75">
      <c r="D600" s="92"/>
      <c r="E600" s="92"/>
      <c r="F600" s="92"/>
      <c r="G600" s="92"/>
      <c r="H600" s="92"/>
    </row>
    <row r="601" spans="4:8" ht="15.75">
      <c r="D601" s="92"/>
      <c r="E601" s="92"/>
      <c r="F601" s="92"/>
      <c r="G601" s="92"/>
      <c r="H601" s="92"/>
    </row>
    <row r="602" spans="4:8" ht="15.75">
      <c r="D602" s="92"/>
      <c r="E602" s="92"/>
      <c r="F602" s="92"/>
      <c r="G602" s="92"/>
      <c r="H602" s="92"/>
    </row>
    <row r="603" spans="4:8" ht="15.75">
      <c r="D603" s="92"/>
      <c r="E603" s="92"/>
      <c r="F603" s="92"/>
      <c r="G603" s="92"/>
      <c r="H603" s="92"/>
    </row>
    <row r="604" spans="4:8" ht="15.75">
      <c r="D604" s="92"/>
      <c r="E604" s="92"/>
      <c r="F604" s="92"/>
      <c r="G604" s="92"/>
      <c r="H604" s="92"/>
    </row>
    <row r="605" spans="4:8" ht="15.75">
      <c r="D605" s="92"/>
      <c r="E605" s="92"/>
      <c r="F605" s="92"/>
      <c r="G605" s="92"/>
      <c r="H605" s="92"/>
    </row>
    <row r="606" spans="4:8" ht="15.75">
      <c r="D606" s="92"/>
      <c r="E606" s="92"/>
      <c r="F606" s="92"/>
      <c r="G606" s="92"/>
      <c r="H606" s="92"/>
    </row>
    <row r="607" spans="4:8" ht="15.75">
      <c r="D607" s="92"/>
      <c r="E607" s="92"/>
      <c r="F607" s="92"/>
      <c r="G607" s="92"/>
      <c r="H607" s="92"/>
    </row>
    <row r="608" spans="4:8" ht="15.75">
      <c r="D608" s="92"/>
      <c r="E608" s="92"/>
      <c r="F608" s="92"/>
      <c r="G608" s="92"/>
      <c r="H608" s="92"/>
    </row>
    <row r="609" spans="4:8" ht="15.75">
      <c r="D609" s="92"/>
      <c r="E609" s="92"/>
      <c r="F609" s="92"/>
      <c r="G609" s="92"/>
      <c r="H609" s="92"/>
    </row>
    <row r="610" spans="4:8" ht="15.75">
      <c r="D610" s="92"/>
      <c r="E610" s="92"/>
      <c r="F610" s="92"/>
      <c r="G610" s="92"/>
      <c r="H610" s="92"/>
    </row>
    <row r="611" spans="4:8" ht="15.75">
      <c r="D611" s="92"/>
      <c r="E611" s="92"/>
      <c r="F611" s="92"/>
      <c r="G611" s="92"/>
      <c r="H611" s="92"/>
    </row>
    <row r="612" spans="4:8" ht="15.75">
      <c r="D612" s="92"/>
      <c r="E612" s="92"/>
      <c r="F612" s="92"/>
      <c r="G612" s="92"/>
      <c r="H612" s="92"/>
    </row>
    <row r="613" spans="4:8" ht="15.75">
      <c r="D613" s="92"/>
      <c r="E613" s="92"/>
      <c r="F613" s="92"/>
      <c r="G613" s="92"/>
      <c r="H613" s="92"/>
    </row>
    <row r="614" spans="4:8" ht="15.75">
      <c r="D614" s="92"/>
      <c r="E614" s="92"/>
      <c r="F614" s="92"/>
      <c r="G614" s="92"/>
      <c r="H614" s="92"/>
    </row>
    <row r="615" spans="4:8" ht="15.75">
      <c r="D615" s="92"/>
      <c r="E615" s="92"/>
      <c r="F615" s="92"/>
      <c r="G615" s="92"/>
      <c r="H615" s="92"/>
    </row>
    <row r="616" spans="4:8" ht="15.75">
      <c r="D616" s="92"/>
      <c r="E616" s="92"/>
      <c r="F616" s="92"/>
      <c r="G616" s="92"/>
      <c r="H616" s="92"/>
    </row>
    <row r="617" spans="4:8" ht="15.75">
      <c r="D617" s="92"/>
      <c r="E617" s="92"/>
      <c r="F617" s="92"/>
      <c r="G617" s="92"/>
      <c r="H617" s="92"/>
    </row>
    <row r="618" spans="4:8" ht="15.75">
      <c r="D618" s="92"/>
      <c r="E618" s="92"/>
      <c r="F618" s="92"/>
      <c r="G618" s="92"/>
      <c r="H618" s="92"/>
    </row>
    <row r="619" spans="4:8" ht="15.75">
      <c r="D619" s="92"/>
      <c r="E619" s="92"/>
      <c r="F619" s="92"/>
      <c r="G619" s="92"/>
      <c r="H619" s="92"/>
    </row>
    <row r="620" spans="4:8" ht="15.75">
      <c r="D620" s="92"/>
      <c r="E620" s="92"/>
      <c r="F620" s="92"/>
      <c r="G620" s="92"/>
      <c r="H620" s="92"/>
    </row>
    <row r="621" spans="4:8" ht="15.75">
      <c r="D621" s="92"/>
      <c r="E621" s="92"/>
      <c r="F621" s="92"/>
      <c r="G621" s="92"/>
      <c r="H621" s="92"/>
    </row>
    <row r="622" spans="4:8" ht="15.75">
      <c r="D622" s="92"/>
      <c r="E622" s="92"/>
      <c r="F622" s="92"/>
      <c r="G622" s="92"/>
      <c r="H622" s="92"/>
    </row>
    <row r="623" spans="4:8" ht="15.75">
      <c r="D623" s="92"/>
      <c r="E623" s="92"/>
      <c r="F623" s="92"/>
      <c r="G623" s="92"/>
      <c r="H623" s="92"/>
    </row>
    <row r="624" spans="4:8" ht="15.75">
      <c r="D624" s="92"/>
      <c r="E624" s="92"/>
      <c r="F624" s="92"/>
      <c r="G624" s="92"/>
      <c r="H624" s="92"/>
    </row>
    <row r="625" spans="4:8" ht="15.75">
      <c r="D625" s="92"/>
      <c r="E625" s="92"/>
      <c r="F625" s="92"/>
      <c r="G625" s="92"/>
      <c r="H625" s="92"/>
    </row>
    <row r="626" spans="4:8" ht="15.75">
      <c r="D626" s="92"/>
      <c r="E626" s="92"/>
      <c r="F626" s="92"/>
      <c r="G626" s="92"/>
      <c r="H626" s="92"/>
    </row>
    <row r="627" spans="4:8" ht="15.75">
      <c r="D627" s="92"/>
      <c r="E627" s="92"/>
      <c r="F627" s="92"/>
      <c r="G627" s="92"/>
      <c r="H627" s="92"/>
    </row>
    <row r="628" spans="4:8" ht="15.75">
      <c r="D628" s="92"/>
      <c r="E628" s="92"/>
      <c r="F628" s="92"/>
      <c r="G628" s="92"/>
      <c r="H628" s="92"/>
    </row>
    <row r="629" spans="4:8" ht="15.75">
      <c r="D629" s="92"/>
      <c r="E629" s="92"/>
      <c r="F629" s="92"/>
      <c r="G629" s="92"/>
      <c r="H629" s="92"/>
    </row>
    <row r="630" spans="4:8" ht="15.75">
      <c r="D630" s="92"/>
      <c r="E630" s="92"/>
      <c r="F630" s="92"/>
      <c r="G630" s="92"/>
      <c r="H630" s="92"/>
    </row>
    <row r="631" spans="4:8" ht="15.75">
      <c r="D631" s="92"/>
      <c r="E631" s="92"/>
      <c r="F631" s="92"/>
      <c r="G631" s="92"/>
      <c r="H631" s="92"/>
    </row>
    <row r="632" spans="4:8" ht="15.75">
      <c r="D632" s="92"/>
      <c r="E632" s="92"/>
      <c r="F632" s="92"/>
      <c r="G632" s="92"/>
      <c r="H632" s="92"/>
    </row>
    <row r="633" spans="4:8" ht="15.75">
      <c r="D633" s="92"/>
      <c r="E633" s="92"/>
      <c r="F633" s="92"/>
      <c r="G633" s="92"/>
      <c r="H633" s="92"/>
    </row>
    <row r="634" spans="4:8" ht="15.75">
      <c r="D634" s="92"/>
      <c r="E634" s="92"/>
      <c r="F634" s="92"/>
      <c r="G634" s="92"/>
      <c r="H634" s="92"/>
    </row>
    <row r="635" spans="4:8" ht="15.75">
      <c r="D635" s="92"/>
      <c r="E635" s="92"/>
      <c r="F635" s="92"/>
      <c r="G635" s="92"/>
      <c r="H635" s="92"/>
    </row>
    <row r="636" spans="4:8" ht="15.75">
      <c r="D636" s="92"/>
      <c r="E636" s="92"/>
      <c r="F636" s="92"/>
      <c r="G636" s="92"/>
      <c r="H636" s="92"/>
    </row>
    <row r="637" spans="4:8" ht="15.75">
      <c r="D637" s="92"/>
      <c r="E637" s="92"/>
      <c r="F637" s="92"/>
      <c r="G637" s="92"/>
      <c r="H637" s="92"/>
    </row>
    <row r="638" spans="4:8" ht="15.75">
      <c r="D638" s="92"/>
      <c r="E638" s="92"/>
      <c r="F638" s="92"/>
      <c r="G638" s="92"/>
      <c r="H638" s="92"/>
    </row>
    <row r="639" spans="4:8" ht="15.75">
      <c r="D639" s="92"/>
      <c r="E639" s="92"/>
      <c r="F639" s="92"/>
      <c r="G639" s="92"/>
      <c r="H639" s="92"/>
    </row>
    <row r="640" spans="4:8" ht="15.75">
      <c r="D640" s="92"/>
      <c r="E640" s="92"/>
      <c r="F640" s="92"/>
      <c r="G640" s="92"/>
      <c r="H640" s="92"/>
    </row>
    <row r="641" spans="4:8" ht="15.75">
      <c r="D641" s="92"/>
      <c r="E641" s="92"/>
      <c r="F641" s="92"/>
      <c r="G641" s="92"/>
      <c r="H641" s="92"/>
    </row>
    <row r="642" spans="4:8" ht="15.75">
      <c r="D642" s="92"/>
      <c r="E642" s="92"/>
      <c r="F642" s="92"/>
      <c r="G642" s="92"/>
      <c r="H642" s="92"/>
    </row>
    <row r="643" spans="4:8" ht="15.75">
      <c r="D643" s="92"/>
      <c r="E643" s="92"/>
      <c r="F643" s="92"/>
      <c r="G643" s="92"/>
      <c r="H643" s="92"/>
    </row>
    <row r="644" spans="4:8" ht="15.75">
      <c r="D644" s="92"/>
      <c r="E644" s="92"/>
      <c r="F644" s="92"/>
      <c r="G644" s="92"/>
      <c r="H644" s="92"/>
    </row>
    <row r="645" spans="4:8" ht="15.75">
      <c r="D645" s="92"/>
      <c r="E645" s="92"/>
      <c r="F645" s="92"/>
      <c r="G645" s="92"/>
      <c r="H645" s="92"/>
    </row>
    <row r="646" spans="4:8" ht="15.75">
      <c r="D646" s="92"/>
      <c r="E646" s="92"/>
      <c r="F646" s="92"/>
      <c r="G646" s="92"/>
      <c r="H646" s="92"/>
    </row>
    <row r="647" spans="4:8" ht="15.75">
      <c r="D647" s="92"/>
      <c r="E647" s="92"/>
      <c r="F647" s="92"/>
      <c r="G647" s="92"/>
      <c r="H647" s="92"/>
    </row>
    <row r="648" spans="4:8" ht="15.75">
      <c r="D648" s="92"/>
      <c r="E648" s="92"/>
      <c r="F648" s="92"/>
      <c r="G648" s="92"/>
      <c r="H648" s="92"/>
    </row>
    <row r="649" spans="4:8" ht="15.75">
      <c r="D649" s="92"/>
      <c r="E649" s="92"/>
      <c r="F649" s="92"/>
      <c r="G649" s="92"/>
      <c r="H649" s="92"/>
    </row>
    <row r="650" spans="4:8" ht="15.75">
      <c r="D650" s="92"/>
      <c r="E650" s="92"/>
      <c r="F650" s="92"/>
      <c r="G650" s="92"/>
      <c r="H650" s="92"/>
    </row>
    <row r="651" spans="4:8" ht="15.75">
      <c r="D651" s="92"/>
      <c r="E651" s="92"/>
      <c r="F651" s="92"/>
      <c r="G651" s="92"/>
      <c r="H651" s="92"/>
    </row>
    <row r="652" spans="4:8" ht="15.75">
      <c r="D652" s="92"/>
      <c r="E652" s="92"/>
      <c r="F652" s="92"/>
      <c r="G652" s="92"/>
      <c r="H652" s="92"/>
    </row>
    <row r="653" spans="4:8" ht="15.75">
      <c r="D653" s="92"/>
      <c r="E653" s="92"/>
      <c r="F653" s="92"/>
      <c r="G653" s="92"/>
      <c r="H653" s="92"/>
    </row>
    <row r="654" spans="4:8" ht="15.75">
      <c r="D654" s="92"/>
      <c r="E654" s="92"/>
      <c r="F654" s="92"/>
      <c r="G654" s="92"/>
      <c r="H654" s="92"/>
    </row>
    <row r="655" spans="4:8" ht="15.75">
      <c r="D655" s="92"/>
      <c r="E655" s="92"/>
      <c r="F655" s="92"/>
      <c r="G655" s="92"/>
      <c r="H655" s="92"/>
    </row>
    <row r="656" spans="4:8" ht="15.75">
      <c r="D656" s="92"/>
      <c r="E656" s="92"/>
      <c r="F656" s="92"/>
      <c r="G656" s="92"/>
      <c r="H656" s="92"/>
    </row>
    <row r="657" spans="4:8" ht="15.75">
      <c r="D657" s="92"/>
      <c r="E657" s="92"/>
      <c r="F657" s="92"/>
      <c r="G657" s="92"/>
      <c r="H657" s="92"/>
    </row>
    <row r="658" spans="4:8" ht="15.75">
      <c r="D658" s="92"/>
      <c r="E658" s="92"/>
      <c r="F658" s="92"/>
      <c r="G658" s="92"/>
      <c r="H658" s="92"/>
    </row>
    <row r="659" spans="4:8" ht="15.75">
      <c r="D659" s="92"/>
      <c r="E659" s="92"/>
      <c r="F659" s="92"/>
      <c r="G659" s="92"/>
      <c r="H659" s="92"/>
    </row>
    <row r="660" spans="4:8" ht="15.75">
      <c r="D660" s="92"/>
      <c r="E660" s="92"/>
      <c r="F660" s="92"/>
      <c r="G660" s="92"/>
      <c r="H660" s="92"/>
    </row>
    <row r="661" spans="4:8" ht="15.75">
      <c r="D661" s="92"/>
      <c r="E661" s="92"/>
      <c r="F661" s="92"/>
      <c r="G661" s="92"/>
      <c r="H661" s="92"/>
    </row>
    <row r="662" spans="4:8" ht="15.75">
      <c r="D662" s="92"/>
      <c r="E662" s="92"/>
      <c r="F662" s="92"/>
      <c r="G662" s="92"/>
      <c r="H662" s="92"/>
    </row>
    <row r="663" spans="4:8" ht="15.75">
      <c r="D663" s="92"/>
      <c r="E663" s="92"/>
      <c r="F663" s="92"/>
      <c r="G663" s="92"/>
      <c r="H663" s="92"/>
    </row>
    <row r="664" spans="4:8" ht="15.75">
      <c r="D664" s="92"/>
      <c r="E664" s="92"/>
      <c r="F664" s="92"/>
      <c r="G664" s="92"/>
      <c r="H664" s="92"/>
    </row>
    <row r="665" spans="4:8" ht="15.75">
      <c r="D665" s="92"/>
      <c r="E665" s="92"/>
      <c r="F665" s="92"/>
      <c r="G665" s="92"/>
      <c r="H665" s="92"/>
    </row>
    <row r="666" spans="4:8" ht="15.75">
      <c r="D666" s="92"/>
      <c r="E666" s="92"/>
      <c r="F666" s="92"/>
      <c r="G666" s="92"/>
      <c r="H666" s="92"/>
    </row>
    <row r="667" spans="4:8" ht="15.75">
      <c r="D667" s="92"/>
      <c r="E667" s="92"/>
      <c r="F667" s="92"/>
      <c r="G667" s="92"/>
      <c r="H667" s="92"/>
    </row>
    <row r="668" spans="4:8" ht="15.75">
      <c r="D668" s="92"/>
      <c r="E668" s="92"/>
      <c r="F668" s="92"/>
      <c r="G668" s="92"/>
      <c r="H668" s="92"/>
    </row>
    <row r="669" spans="4:8" ht="15.75">
      <c r="D669" s="92"/>
      <c r="E669" s="92"/>
      <c r="F669" s="92"/>
      <c r="G669" s="92"/>
      <c r="H669" s="92"/>
    </row>
    <row r="670" spans="4:8" ht="15.75">
      <c r="D670" s="92"/>
      <c r="E670" s="92"/>
      <c r="F670" s="92"/>
      <c r="G670" s="92"/>
      <c r="H670" s="92"/>
    </row>
    <row r="671" spans="4:8" ht="15.75">
      <c r="D671" s="92"/>
      <c r="E671" s="92"/>
      <c r="F671" s="92"/>
      <c r="G671" s="92"/>
      <c r="H671" s="92"/>
    </row>
    <row r="672" spans="4:8" ht="15.75">
      <c r="D672" s="92"/>
      <c r="E672" s="92"/>
      <c r="F672" s="92"/>
      <c r="G672" s="92"/>
      <c r="H672" s="92"/>
    </row>
    <row r="673" spans="4:8" ht="15.75">
      <c r="D673" s="92"/>
      <c r="E673" s="92"/>
      <c r="F673" s="92"/>
      <c r="G673" s="92"/>
      <c r="H673" s="92"/>
    </row>
    <row r="674" spans="4:8" ht="15.75">
      <c r="D674" s="92"/>
      <c r="E674" s="92"/>
      <c r="F674" s="92"/>
      <c r="G674" s="92"/>
      <c r="H674" s="92"/>
    </row>
    <row r="675" spans="4:8" ht="15.75">
      <c r="D675" s="92"/>
      <c r="E675" s="92"/>
      <c r="F675" s="92"/>
      <c r="G675" s="92"/>
      <c r="H675" s="92"/>
    </row>
    <row r="676" spans="4:8" ht="15.75">
      <c r="D676" s="92"/>
      <c r="E676" s="92"/>
      <c r="F676" s="92"/>
      <c r="G676" s="92"/>
      <c r="H676" s="92"/>
    </row>
    <row r="677" spans="4:8" ht="15.75">
      <c r="D677" s="92"/>
      <c r="E677" s="92"/>
      <c r="F677" s="92"/>
      <c r="G677" s="92"/>
      <c r="H677" s="92"/>
    </row>
    <row r="678" spans="4:8" ht="15.75">
      <c r="D678" s="92"/>
      <c r="E678" s="92"/>
      <c r="F678" s="92"/>
      <c r="G678" s="92"/>
      <c r="H678" s="92"/>
    </row>
    <row r="679" spans="4:8" ht="15.75">
      <c r="D679" s="92"/>
      <c r="E679" s="92"/>
      <c r="F679" s="92"/>
      <c r="G679" s="92"/>
      <c r="H679" s="92"/>
    </row>
    <row r="680" spans="4:8" ht="15.75">
      <c r="D680" s="92"/>
      <c r="E680" s="92"/>
      <c r="F680" s="92"/>
      <c r="G680" s="92"/>
      <c r="H680" s="92"/>
    </row>
    <row r="681" spans="4:8" ht="15.75">
      <c r="D681" s="92"/>
      <c r="E681" s="92"/>
      <c r="F681" s="92"/>
      <c r="G681" s="92"/>
      <c r="H681" s="92"/>
    </row>
    <row r="682" spans="4:8" ht="15.75">
      <c r="D682" s="92"/>
      <c r="E682" s="92"/>
      <c r="F682" s="92"/>
      <c r="G682" s="92"/>
      <c r="H682" s="92"/>
    </row>
    <row r="683" spans="4:8" ht="15.75">
      <c r="D683" s="92"/>
      <c r="E683" s="92"/>
      <c r="F683" s="92"/>
      <c r="G683" s="92"/>
      <c r="H683" s="92"/>
    </row>
    <row r="684" spans="4:8" ht="15.75">
      <c r="D684" s="92"/>
      <c r="E684" s="92"/>
      <c r="F684" s="92"/>
      <c r="G684" s="92"/>
      <c r="H684" s="92"/>
    </row>
    <row r="685" spans="4:8" ht="15.75">
      <c r="D685" s="92"/>
      <c r="E685" s="92"/>
      <c r="F685" s="92"/>
      <c r="G685" s="92"/>
      <c r="H685" s="92"/>
    </row>
    <row r="686" spans="4:8" ht="15.75">
      <c r="D686" s="92"/>
      <c r="E686" s="92"/>
      <c r="F686" s="92"/>
      <c r="G686" s="92"/>
      <c r="H686" s="92"/>
    </row>
    <row r="687" spans="4:8" ht="15.75">
      <c r="D687" s="92"/>
      <c r="E687" s="92"/>
      <c r="F687" s="92"/>
      <c r="G687" s="92"/>
      <c r="H687" s="92"/>
    </row>
    <row r="688" spans="4:8" ht="15.75">
      <c r="D688" s="92"/>
      <c r="E688" s="92"/>
      <c r="F688" s="92"/>
      <c r="G688" s="92"/>
      <c r="H688" s="92"/>
    </row>
    <row r="689" spans="4:8" ht="15.75">
      <c r="D689" s="92"/>
      <c r="E689" s="92"/>
      <c r="F689" s="92"/>
      <c r="G689" s="92"/>
      <c r="H689" s="92"/>
    </row>
    <row r="690" spans="4:8" ht="15.75">
      <c r="D690" s="92"/>
      <c r="E690" s="92"/>
      <c r="F690" s="92"/>
      <c r="G690" s="92"/>
      <c r="H690" s="92"/>
    </row>
    <row r="691" spans="4:8" ht="15.75">
      <c r="D691" s="92"/>
      <c r="E691" s="92"/>
      <c r="F691" s="92"/>
      <c r="G691" s="92"/>
      <c r="H691" s="92"/>
    </row>
    <row r="692" spans="4:8" ht="15.75">
      <c r="D692" s="92"/>
      <c r="E692" s="92"/>
      <c r="F692" s="92"/>
      <c r="G692" s="92"/>
      <c r="H692" s="92"/>
    </row>
    <row r="693" spans="4:8" ht="15.75">
      <c r="D693" s="92"/>
      <c r="E693" s="92"/>
      <c r="F693" s="92"/>
      <c r="G693" s="92"/>
      <c r="H693" s="92"/>
    </row>
    <row r="694" spans="4:8" ht="15.75">
      <c r="D694" s="92"/>
      <c r="E694" s="92"/>
      <c r="F694" s="92"/>
      <c r="G694" s="92"/>
      <c r="H694" s="92"/>
    </row>
    <row r="695" spans="4:8" ht="15.75">
      <c r="D695" s="92"/>
      <c r="E695" s="92"/>
      <c r="F695" s="92"/>
      <c r="G695" s="92"/>
      <c r="H695" s="92"/>
    </row>
    <row r="696" spans="4:8" ht="15.75">
      <c r="D696" s="92"/>
      <c r="E696" s="92"/>
      <c r="F696" s="92"/>
      <c r="G696" s="92"/>
      <c r="H696" s="92"/>
    </row>
    <row r="697" spans="4:8" ht="15.75">
      <c r="D697" s="92"/>
      <c r="E697" s="92"/>
      <c r="F697" s="92"/>
      <c r="G697" s="92"/>
      <c r="H697" s="92"/>
    </row>
    <row r="698" spans="4:8" ht="15.75">
      <c r="D698" s="92"/>
      <c r="E698" s="92"/>
      <c r="F698" s="92"/>
      <c r="G698" s="92"/>
      <c r="H698" s="92"/>
    </row>
    <row r="699" spans="4:8" ht="15.75">
      <c r="D699" s="92"/>
      <c r="E699" s="92"/>
      <c r="F699" s="92"/>
      <c r="G699" s="92"/>
      <c r="H699" s="92"/>
    </row>
    <row r="700" spans="4:8" ht="15.75">
      <c r="D700" s="92"/>
      <c r="E700" s="92"/>
      <c r="F700" s="92"/>
      <c r="G700" s="92"/>
      <c r="H700" s="92"/>
    </row>
    <row r="701" spans="4:8" ht="15.75">
      <c r="D701" s="92"/>
      <c r="E701" s="92"/>
      <c r="F701" s="92"/>
      <c r="G701" s="92"/>
      <c r="H701" s="92"/>
    </row>
    <row r="702" spans="4:8" ht="15.75">
      <c r="D702" s="92"/>
      <c r="E702" s="92"/>
      <c r="F702" s="92"/>
      <c r="G702" s="92"/>
      <c r="H702" s="92"/>
    </row>
    <row r="703" spans="4:8" ht="15.75">
      <c r="D703" s="92"/>
      <c r="E703" s="92"/>
      <c r="F703" s="92"/>
      <c r="G703" s="92"/>
      <c r="H703" s="92"/>
    </row>
    <row r="704" spans="4:8" ht="15.75">
      <c r="D704" s="92"/>
      <c r="E704" s="92"/>
      <c r="F704" s="92"/>
      <c r="G704" s="92"/>
      <c r="H704" s="92"/>
    </row>
    <row r="705" spans="4:8" ht="15.75">
      <c r="D705" s="92"/>
      <c r="E705" s="92"/>
      <c r="F705" s="92"/>
      <c r="G705" s="92"/>
      <c r="H705" s="92"/>
    </row>
    <row r="706" spans="4:8" ht="15.75">
      <c r="D706" s="92"/>
      <c r="E706" s="92"/>
      <c r="F706" s="92"/>
      <c r="G706" s="92"/>
      <c r="H706" s="92"/>
    </row>
    <row r="707" spans="4:8" ht="15.75">
      <c r="D707" s="92"/>
      <c r="E707" s="92"/>
      <c r="F707" s="92"/>
      <c r="G707" s="92"/>
      <c r="H707" s="92"/>
    </row>
    <row r="708" spans="4:8" ht="15.75">
      <c r="D708" s="92"/>
      <c r="E708" s="92"/>
      <c r="F708" s="92"/>
      <c r="G708" s="92"/>
      <c r="H708" s="92"/>
    </row>
    <row r="709" spans="4:8" ht="15.75">
      <c r="D709" s="92"/>
      <c r="E709" s="92"/>
      <c r="F709" s="92"/>
      <c r="G709" s="92"/>
      <c r="H709" s="92"/>
    </row>
    <row r="710" spans="4:8" ht="15.75">
      <c r="D710" s="92"/>
      <c r="E710" s="92"/>
      <c r="F710" s="92"/>
      <c r="G710" s="92"/>
      <c r="H710" s="92"/>
    </row>
    <row r="711" spans="4:8" ht="15.75">
      <c r="D711" s="92"/>
      <c r="E711" s="92"/>
      <c r="F711" s="92"/>
      <c r="G711" s="92"/>
      <c r="H711" s="92"/>
    </row>
    <row r="712" spans="4:8" ht="15.75">
      <c r="D712" s="92"/>
      <c r="E712" s="92"/>
      <c r="F712" s="92"/>
      <c r="G712" s="92"/>
      <c r="H712" s="92"/>
    </row>
    <row r="713" spans="4:8" ht="15.75">
      <c r="D713" s="92"/>
      <c r="E713" s="92"/>
      <c r="F713" s="92"/>
      <c r="G713" s="92"/>
      <c r="H713" s="92"/>
    </row>
    <row r="714" spans="4:8" ht="15.75">
      <c r="D714" s="92"/>
      <c r="E714" s="92"/>
      <c r="F714" s="92"/>
      <c r="G714" s="92"/>
      <c r="H714" s="92"/>
    </row>
    <row r="715" spans="4:8" ht="15.75">
      <c r="D715" s="92"/>
      <c r="E715" s="92"/>
      <c r="F715" s="92"/>
      <c r="G715" s="92"/>
      <c r="H715" s="92"/>
    </row>
    <row r="716" spans="4:8" ht="15.75">
      <c r="D716" s="92"/>
      <c r="E716" s="92"/>
      <c r="F716" s="92"/>
      <c r="G716" s="92"/>
      <c r="H716" s="92"/>
    </row>
    <row r="717" spans="4:8" ht="15.75">
      <c r="D717" s="92"/>
      <c r="E717" s="92"/>
      <c r="F717" s="92"/>
      <c r="G717" s="92"/>
      <c r="H717" s="92"/>
    </row>
    <row r="718" spans="4:8" ht="15.75">
      <c r="D718" s="92"/>
      <c r="E718" s="92"/>
      <c r="F718" s="92"/>
      <c r="G718" s="92"/>
      <c r="H718" s="92"/>
    </row>
    <row r="719" spans="4:8" ht="15.75">
      <c r="D719" s="92"/>
      <c r="E719" s="92"/>
      <c r="F719" s="92"/>
      <c r="G719" s="92"/>
      <c r="H719" s="92"/>
    </row>
    <row r="720" spans="4:8" ht="15.75">
      <c r="D720" s="92"/>
      <c r="E720" s="92"/>
      <c r="F720" s="92"/>
      <c r="G720" s="92"/>
      <c r="H720" s="92"/>
    </row>
    <row r="721" spans="4:8" ht="15.75">
      <c r="D721" s="92"/>
      <c r="E721" s="92"/>
      <c r="F721" s="92"/>
      <c r="G721" s="92"/>
      <c r="H721" s="92"/>
    </row>
    <row r="722" spans="4:8" ht="15.75">
      <c r="D722" s="92"/>
      <c r="E722" s="92"/>
      <c r="F722" s="92"/>
      <c r="G722" s="92"/>
      <c r="H722" s="92"/>
    </row>
    <row r="723" spans="4:8" ht="15.75">
      <c r="D723" s="92"/>
      <c r="E723" s="92"/>
      <c r="F723" s="92"/>
      <c r="G723" s="92"/>
      <c r="H723" s="92"/>
    </row>
    <row r="724" spans="4:8" ht="15.75">
      <c r="D724" s="92"/>
      <c r="E724" s="92"/>
      <c r="F724" s="92"/>
      <c r="G724" s="92"/>
      <c r="H724" s="92"/>
    </row>
    <row r="725" spans="4:8" ht="15.75">
      <c r="D725" s="92"/>
      <c r="E725" s="92"/>
      <c r="F725" s="92"/>
      <c r="G725" s="92"/>
      <c r="H725" s="92"/>
    </row>
    <row r="726" spans="4:8" ht="15.75">
      <c r="D726" s="92"/>
      <c r="E726" s="92"/>
      <c r="F726" s="92"/>
      <c r="G726" s="92"/>
      <c r="H726" s="92"/>
    </row>
    <row r="727" spans="4:8" ht="15.75">
      <c r="D727" s="92"/>
      <c r="E727" s="92"/>
      <c r="F727" s="92"/>
      <c r="G727" s="92"/>
      <c r="H727" s="92"/>
    </row>
    <row r="728" spans="4:8" ht="15.75">
      <c r="D728" s="92"/>
      <c r="E728" s="92"/>
      <c r="F728" s="92"/>
      <c r="G728" s="92"/>
      <c r="H728" s="92"/>
    </row>
    <row r="729" spans="4:8" ht="15.75">
      <c r="D729" s="92"/>
      <c r="E729" s="92"/>
      <c r="F729" s="92"/>
      <c r="G729" s="92"/>
      <c r="H729" s="92"/>
    </row>
    <row r="730" spans="4:8" ht="15.75">
      <c r="D730" s="92"/>
      <c r="E730" s="92"/>
      <c r="F730" s="92"/>
      <c r="G730" s="92"/>
      <c r="H730" s="92"/>
    </row>
    <row r="731" spans="4:8" ht="15.75">
      <c r="D731" s="92"/>
      <c r="E731" s="92"/>
      <c r="F731" s="92"/>
      <c r="G731" s="92"/>
      <c r="H731" s="92"/>
    </row>
    <row r="732" spans="4:8" ht="15.75">
      <c r="D732" s="92"/>
      <c r="E732" s="92"/>
      <c r="F732" s="92"/>
      <c r="G732" s="92"/>
      <c r="H732" s="92"/>
    </row>
    <row r="733" spans="4:8" ht="15.75">
      <c r="D733" s="92"/>
      <c r="E733" s="92"/>
      <c r="F733" s="92"/>
      <c r="G733" s="92"/>
      <c r="H733" s="92"/>
    </row>
    <row r="734" spans="4:8" ht="15.75">
      <c r="D734" s="92"/>
      <c r="E734" s="92"/>
      <c r="F734" s="92"/>
      <c r="G734" s="92"/>
      <c r="H734" s="92"/>
    </row>
    <row r="735" spans="4:8" ht="15.75">
      <c r="D735" s="92"/>
      <c r="E735" s="92"/>
      <c r="F735" s="92"/>
      <c r="G735" s="92"/>
      <c r="H735" s="92"/>
    </row>
    <row r="736" spans="4:8" ht="15.75">
      <c r="D736" s="92"/>
      <c r="E736" s="92"/>
      <c r="F736" s="92"/>
      <c r="G736" s="92"/>
      <c r="H736" s="92"/>
    </row>
    <row r="737" spans="4:8" ht="15.75">
      <c r="D737" s="92"/>
      <c r="E737" s="92"/>
      <c r="F737" s="92"/>
      <c r="G737" s="92"/>
      <c r="H737" s="92"/>
    </row>
    <row r="738" spans="4:8" ht="15.75">
      <c r="D738" s="92"/>
      <c r="E738" s="92"/>
      <c r="F738" s="92"/>
      <c r="G738" s="92"/>
      <c r="H738" s="92"/>
    </row>
    <row r="739" spans="4:8" ht="15.75">
      <c r="D739" s="92"/>
      <c r="E739" s="92"/>
      <c r="F739" s="92"/>
      <c r="G739" s="92"/>
      <c r="H739" s="92"/>
    </row>
    <row r="740" spans="4:8" ht="15.75">
      <c r="D740" s="92"/>
      <c r="E740" s="92"/>
      <c r="F740" s="92"/>
      <c r="G740" s="92"/>
      <c r="H740" s="92"/>
    </row>
    <row r="741" spans="4:8" ht="15.75">
      <c r="D741" s="92"/>
      <c r="E741" s="92"/>
      <c r="F741" s="92"/>
      <c r="G741" s="92"/>
      <c r="H741" s="92"/>
    </row>
    <row r="742" spans="4:8" ht="15.75">
      <c r="D742" s="92"/>
      <c r="E742" s="92"/>
      <c r="F742" s="92"/>
      <c r="G742" s="92"/>
      <c r="H742" s="92"/>
    </row>
    <row r="743" spans="4:8" ht="15.75">
      <c r="D743" s="92"/>
      <c r="E743" s="92"/>
      <c r="F743" s="92"/>
      <c r="G743" s="92"/>
      <c r="H743" s="92"/>
    </row>
    <row r="744" spans="4:8" ht="15.75">
      <c r="D744" s="92"/>
      <c r="E744" s="92"/>
      <c r="F744" s="92"/>
      <c r="G744" s="92"/>
      <c r="H744" s="92"/>
    </row>
    <row r="745" spans="4:8" ht="15.75">
      <c r="D745" s="92"/>
      <c r="E745" s="92"/>
      <c r="F745" s="92"/>
      <c r="G745" s="92"/>
      <c r="H745" s="92"/>
    </row>
    <row r="746" spans="4:8" ht="15.75">
      <c r="D746" s="92"/>
      <c r="E746" s="92"/>
      <c r="F746" s="92"/>
      <c r="G746" s="92"/>
      <c r="H746" s="92"/>
    </row>
    <row r="747" spans="4:8" ht="15.75">
      <c r="D747" s="92"/>
      <c r="E747" s="92"/>
      <c r="F747" s="92"/>
      <c r="G747" s="92"/>
      <c r="H747" s="92"/>
    </row>
    <row r="748" spans="4:8" ht="15.75">
      <c r="D748" s="92"/>
      <c r="E748" s="92"/>
      <c r="F748" s="92"/>
      <c r="G748" s="92"/>
      <c r="H748" s="92"/>
    </row>
    <row r="749" spans="4:8" ht="15.75">
      <c r="D749" s="92"/>
      <c r="E749" s="92"/>
      <c r="F749" s="92"/>
      <c r="G749" s="92"/>
      <c r="H749" s="92"/>
    </row>
    <row r="750" spans="4:8" ht="15.75">
      <c r="D750" s="92"/>
      <c r="E750" s="92"/>
      <c r="F750" s="92"/>
      <c r="G750" s="92"/>
      <c r="H750" s="92"/>
    </row>
    <row r="751" spans="4:8" ht="15.75">
      <c r="D751" s="92"/>
      <c r="E751" s="92"/>
      <c r="F751" s="92"/>
      <c r="G751" s="92"/>
      <c r="H751" s="92"/>
    </row>
    <row r="752" spans="4:8" ht="15.75">
      <c r="D752" s="92"/>
      <c r="E752" s="92"/>
      <c r="F752" s="92"/>
      <c r="G752" s="92"/>
      <c r="H752" s="92"/>
    </row>
    <row r="753" spans="4:8" ht="15.75">
      <c r="D753" s="92"/>
      <c r="E753" s="92"/>
      <c r="F753" s="92"/>
      <c r="G753" s="92"/>
      <c r="H753" s="92"/>
    </row>
    <row r="754" spans="4:8" ht="15.75">
      <c r="D754" s="92"/>
      <c r="E754" s="92"/>
      <c r="F754" s="92"/>
      <c r="G754" s="92"/>
      <c r="H754" s="92"/>
    </row>
    <row r="755" spans="4:8" ht="15.75">
      <c r="D755" s="92"/>
      <c r="E755" s="92"/>
      <c r="F755" s="92"/>
      <c r="G755" s="92"/>
      <c r="H755" s="92"/>
    </row>
    <row r="756" spans="4:8" ht="15.75">
      <c r="D756" s="92"/>
      <c r="E756" s="92"/>
      <c r="F756" s="92"/>
      <c r="G756" s="92"/>
      <c r="H756" s="92"/>
    </row>
    <row r="757" spans="4:8" ht="15.75">
      <c r="D757" s="92"/>
      <c r="E757" s="92"/>
      <c r="F757" s="92"/>
      <c r="G757" s="92"/>
      <c r="H757" s="92"/>
    </row>
    <row r="758" spans="4:8" ht="15.75">
      <c r="D758" s="92"/>
      <c r="E758" s="92"/>
      <c r="F758" s="92"/>
      <c r="G758" s="92"/>
      <c r="H758" s="92"/>
    </row>
    <row r="759" spans="4:8" ht="15.75">
      <c r="D759" s="92"/>
      <c r="E759" s="92"/>
      <c r="F759" s="92"/>
      <c r="G759" s="92"/>
      <c r="H759" s="92"/>
    </row>
    <row r="760" spans="4:8" ht="15.75">
      <c r="D760" s="92"/>
      <c r="E760" s="92"/>
      <c r="F760" s="92"/>
      <c r="G760" s="92"/>
      <c r="H760" s="92"/>
    </row>
    <row r="761" spans="4:8" ht="15.75">
      <c r="D761" s="92"/>
      <c r="E761" s="92"/>
      <c r="F761" s="92"/>
      <c r="G761" s="92"/>
      <c r="H761" s="92"/>
    </row>
    <row r="762" spans="4:8" ht="15.75">
      <c r="D762" s="92"/>
      <c r="E762" s="92"/>
      <c r="F762" s="92"/>
      <c r="G762" s="92"/>
      <c r="H762" s="92"/>
    </row>
    <row r="763" spans="4:8" ht="15.75">
      <c r="D763" s="92"/>
      <c r="E763" s="92"/>
      <c r="F763" s="92"/>
      <c r="G763" s="92"/>
      <c r="H763" s="92"/>
    </row>
    <row r="764" spans="4:8" ht="15.75">
      <c r="D764" s="92"/>
      <c r="E764" s="92"/>
      <c r="F764" s="92"/>
      <c r="G764" s="92"/>
      <c r="H764" s="92"/>
    </row>
    <row r="765" spans="4:8" ht="15.75">
      <c r="D765" s="92"/>
      <c r="E765" s="92"/>
      <c r="F765" s="92"/>
      <c r="G765" s="92"/>
      <c r="H765" s="92"/>
    </row>
    <row r="766" spans="4:8" ht="15.75">
      <c r="D766" s="92"/>
      <c r="E766" s="92"/>
      <c r="F766" s="92"/>
      <c r="G766" s="92"/>
      <c r="H766" s="92"/>
    </row>
    <row r="767" spans="4:8" ht="15.75">
      <c r="D767" s="92"/>
      <c r="E767" s="92"/>
      <c r="F767" s="92"/>
      <c r="G767" s="92"/>
      <c r="H767" s="92"/>
    </row>
    <row r="768" spans="4:8" ht="15.75">
      <c r="D768" s="92"/>
      <c r="E768" s="92"/>
      <c r="F768" s="92"/>
      <c r="G768" s="92"/>
      <c r="H768" s="92"/>
    </row>
    <row r="769" spans="4:8" ht="15.75">
      <c r="D769" s="92"/>
      <c r="E769" s="92"/>
      <c r="F769" s="92"/>
      <c r="G769" s="92"/>
      <c r="H769" s="92"/>
    </row>
    <row r="770" spans="4:8" ht="15.75">
      <c r="D770" s="92"/>
      <c r="E770" s="92"/>
      <c r="F770" s="92"/>
      <c r="G770" s="92"/>
      <c r="H770" s="92"/>
    </row>
    <row r="771" spans="4:8" ht="15.75">
      <c r="D771" s="92"/>
      <c r="E771" s="92"/>
      <c r="F771" s="92"/>
      <c r="G771" s="92"/>
      <c r="H771" s="92"/>
    </row>
    <row r="772" spans="4:8" ht="15.75">
      <c r="D772" s="92"/>
      <c r="E772" s="92"/>
      <c r="F772" s="92"/>
      <c r="G772" s="92"/>
      <c r="H772" s="92"/>
    </row>
    <row r="773" spans="4:8" ht="15.75">
      <c r="D773" s="92"/>
      <c r="E773" s="92"/>
      <c r="F773" s="92"/>
      <c r="G773" s="92"/>
      <c r="H773" s="92"/>
    </row>
    <row r="774" spans="4:8" ht="15.75">
      <c r="D774" s="92"/>
      <c r="E774" s="92"/>
      <c r="F774" s="92"/>
      <c r="G774" s="92"/>
      <c r="H774" s="92"/>
    </row>
    <row r="775" spans="4:8" ht="15.75">
      <c r="D775" s="92"/>
      <c r="E775" s="92"/>
      <c r="F775" s="92"/>
      <c r="G775" s="92"/>
      <c r="H775" s="92"/>
    </row>
    <row r="776" spans="4:8" ht="15.75">
      <c r="D776" s="92"/>
      <c r="E776" s="92"/>
      <c r="F776" s="92"/>
      <c r="G776" s="92"/>
      <c r="H776" s="92"/>
    </row>
    <row r="777" spans="4:8" ht="15.75">
      <c r="D777" s="92"/>
      <c r="E777" s="92"/>
      <c r="F777" s="92"/>
      <c r="G777" s="92"/>
      <c r="H777" s="92"/>
    </row>
    <row r="778" spans="4:8" ht="15.75">
      <c r="D778" s="92"/>
      <c r="E778" s="92"/>
      <c r="F778" s="92"/>
      <c r="G778" s="92"/>
      <c r="H778" s="92"/>
    </row>
    <row r="779" spans="4:8" ht="15.75">
      <c r="D779" s="92"/>
      <c r="E779" s="92"/>
      <c r="F779" s="92"/>
      <c r="G779" s="92"/>
      <c r="H779" s="92"/>
    </row>
    <row r="780" spans="4:8" ht="15.75">
      <c r="D780" s="92"/>
      <c r="E780" s="92"/>
      <c r="F780" s="92"/>
      <c r="G780" s="92"/>
      <c r="H780" s="92"/>
    </row>
    <row r="781" spans="4:8" ht="15.75">
      <c r="D781" s="92"/>
      <c r="E781" s="92"/>
      <c r="F781" s="92"/>
      <c r="G781" s="92"/>
      <c r="H781" s="92"/>
    </row>
    <row r="782" spans="4:8" ht="15.75">
      <c r="D782" s="92"/>
      <c r="E782" s="92"/>
      <c r="F782" s="92"/>
      <c r="G782" s="92"/>
      <c r="H782" s="92"/>
    </row>
    <row r="783" spans="4:8" ht="15.75">
      <c r="D783" s="92"/>
      <c r="E783" s="92"/>
      <c r="F783" s="92"/>
      <c r="G783" s="92"/>
      <c r="H783" s="92"/>
    </row>
    <row r="784" spans="4:8" ht="15.75">
      <c r="D784" s="92"/>
      <c r="E784" s="92"/>
      <c r="F784" s="92"/>
      <c r="G784" s="92"/>
      <c r="H784" s="92"/>
    </row>
    <row r="785" spans="4:8" ht="15.75">
      <c r="D785" s="92"/>
      <c r="E785" s="92"/>
      <c r="F785" s="92"/>
      <c r="G785" s="92"/>
      <c r="H785" s="92"/>
    </row>
    <row r="786" spans="4:8" ht="15.75">
      <c r="D786" s="92"/>
      <c r="E786" s="92"/>
      <c r="F786" s="92"/>
      <c r="G786" s="92"/>
      <c r="H786" s="92"/>
    </row>
    <row r="787" spans="4:8" ht="15.75">
      <c r="D787" s="92"/>
      <c r="E787" s="92"/>
      <c r="F787" s="92"/>
      <c r="G787" s="92"/>
      <c r="H787" s="92"/>
    </row>
    <row r="788" spans="4:8" ht="15.75">
      <c r="D788" s="92"/>
      <c r="E788" s="92"/>
      <c r="F788" s="92"/>
      <c r="G788" s="92"/>
      <c r="H788" s="92"/>
    </row>
    <row r="789" spans="4:8" ht="15.75">
      <c r="D789" s="92"/>
      <c r="E789" s="92"/>
      <c r="F789" s="92"/>
      <c r="G789" s="92"/>
      <c r="H789" s="92"/>
    </row>
    <row r="790" spans="4:8" ht="15.75">
      <c r="D790" s="92"/>
      <c r="E790" s="92"/>
      <c r="F790" s="92"/>
      <c r="G790" s="92"/>
      <c r="H790" s="92"/>
    </row>
    <row r="791" spans="4:8" ht="15.75">
      <c r="D791" s="92"/>
      <c r="E791" s="92"/>
      <c r="F791" s="92"/>
      <c r="G791" s="92"/>
      <c r="H791" s="92"/>
    </row>
    <row r="792" spans="4:8" ht="15.75">
      <c r="D792" s="92"/>
      <c r="E792" s="92"/>
      <c r="F792" s="92"/>
      <c r="G792" s="92"/>
      <c r="H792" s="92"/>
    </row>
    <row r="793" spans="4:8" ht="15.75">
      <c r="D793" s="92"/>
      <c r="E793" s="92"/>
      <c r="F793" s="92"/>
      <c r="G793" s="92"/>
      <c r="H793" s="92"/>
    </row>
    <row r="794" spans="4:8" ht="15.75">
      <c r="D794" s="92"/>
      <c r="E794" s="92"/>
      <c r="F794" s="92"/>
      <c r="G794" s="92"/>
      <c r="H794" s="92"/>
    </row>
    <row r="795" spans="4:8" ht="15.75">
      <c r="D795" s="92"/>
      <c r="E795" s="92"/>
      <c r="F795" s="92"/>
      <c r="G795" s="92"/>
      <c r="H795" s="92"/>
    </row>
    <row r="796" spans="4:8" ht="15.75">
      <c r="D796" s="92"/>
      <c r="E796" s="92"/>
      <c r="F796" s="92"/>
      <c r="G796" s="92"/>
      <c r="H796" s="92"/>
    </row>
    <row r="797" spans="4:8" ht="15.75">
      <c r="D797" s="92"/>
      <c r="E797" s="92"/>
      <c r="F797" s="92"/>
      <c r="G797" s="92"/>
      <c r="H797" s="92"/>
    </row>
    <row r="798" spans="4:8" ht="15.75">
      <c r="D798" s="92"/>
      <c r="E798" s="92"/>
      <c r="F798" s="92"/>
      <c r="G798" s="92"/>
      <c r="H798" s="92"/>
    </row>
    <row r="799" spans="4:8" ht="15.75">
      <c r="D799" s="92"/>
      <c r="E799" s="92"/>
      <c r="F799" s="92"/>
      <c r="G799" s="92"/>
      <c r="H799" s="92"/>
    </row>
    <row r="800" spans="4:8" ht="15.75">
      <c r="D800" s="92"/>
      <c r="E800" s="92"/>
      <c r="F800" s="92"/>
      <c r="G800" s="92"/>
      <c r="H800" s="92"/>
    </row>
    <row r="801" spans="4:8" ht="15.75">
      <c r="D801" s="92"/>
      <c r="E801" s="92"/>
      <c r="F801" s="92"/>
      <c r="G801" s="92"/>
      <c r="H801" s="92"/>
    </row>
    <row r="802" spans="4:8" ht="15.75">
      <c r="D802" s="92"/>
      <c r="E802" s="92"/>
      <c r="F802" s="92"/>
      <c r="G802" s="92"/>
      <c r="H802" s="92"/>
    </row>
    <row r="803" spans="4:8" ht="15.75">
      <c r="D803" s="92"/>
      <c r="E803" s="92"/>
      <c r="F803" s="92"/>
      <c r="G803" s="92"/>
      <c r="H803" s="92"/>
    </row>
    <row r="804" spans="4:8" ht="15.75">
      <c r="D804" s="92"/>
      <c r="E804" s="92"/>
      <c r="F804" s="92"/>
      <c r="G804" s="92"/>
      <c r="H804" s="92"/>
    </row>
    <row r="805" spans="4:8" ht="15.75">
      <c r="D805" s="92"/>
      <c r="E805" s="92"/>
      <c r="F805" s="92"/>
      <c r="G805" s="92"/>
      <c r="H805" s="92"/>
    </row>
    <row r="806" spans="4:8" ht="15.75">
      <c r="D806" s="92"/>
      <c r="E806" s="92"/>
      <c r="F806" s="92"/>
      <c r="G806" s="92"/>
      <c r="H806" s="92"/>
    </row>
    <row r="807" spans="4:8" ht="15.75">
      <c r="D807" s="92"/>
      <c r="E807" s="92"/>
      <c r="F807" s="92"/>
      <c r="G807" s="92"/>
      <c r="H807" s="92"/>
    </row>
    <row r="808" spans="4:8" ht="15.75">
      <c r="D808" s="92"/>
      <c r="E808" s="92"/>
      <c r="F808" s="92"/>
      <c r="G808" s="92"/>
      <c r="H808" s="92"/>
    </row>
    <row r="809" spans="4:8" ht="15.75">
      <c r="D809" s="92"/>
      <c r="E809" s="92"/>
      <c r="F809" s="92"/>
      <c r="G809" s="92"/>
      <c r="H809" s="92"/>
    </row>
    <row r="810" spans="4:8" ht="15.75">
      <c r="D810" s="92"/>
      <c r="E810" s="92"/>
      <c r="F810" s="92"/>
      <c r="G810" s="92"/>
      <c r="H810" s="92"/>
    </row>
    <row r="811" spans="4:8" ht="15.75">
      <c r="D811" s="92"/>
      <c r="E811" s="92"/>
      <c r="F811" s="92"/>
      <c r="G811" s="92"/>
      <c r="H811" s="92"/>
    </row>
    <row r="812" spans="4:8" ht="15.75">
      <c r="D812" s="92"/>
      <c r="E812" s="92"/>
      <c r="F812" s="92"/>
      <c r="G812" s="92"/>
      <c r="H812" s="92"/>
    </row>
    <row r="813" spans="4:8" ht="15.75">
      <c r="D813" s="92"/>
      <c r="E813" s="92"/>
      <c r="F813" s="92"/>
      <c r="G813" s="92"/>
      <c r="H813" s="92"/>
    </row>
    <row r="814" spans="4:8" ht="15.75">
      <c r="D814" s="92"/>
      <c r="E814" s="92"/>
      <c r="F814" s="92"/>
      <c r="G814" s="92"/>
      <c r="H814" s="92"/>
    </row>
    <row r="815" spans="4:8" ht="15.75">
      <c r="D815" s="92"/>
      <c r="E815" s="92"/>
      <c r="F815" s="92"/>
      <c r="G815" s="92"/>
      <c r="H815" s="92"/>
    </row>
    <row r="816" spans="4:8" ht="15.75">
      <c r="D816" s="92"/>
      <c r="E816" s="92"/>
      <c r="F816" s="92"/>
      <c r="G816" s="92"/>
      <c r="H816" s="92"/>
    </row>
    <row r="817" spans="4:8" ht="15.75">
      <c r="D817" s="92"/>
      <c r="E817" s="92"/>
      <c r="F817" s="92"/>
      <c r="G817" s="92"/>
      <c r="H817" s="92"/>
    </row>
    <row r="818" spans="4:8" ht="15.75">
      <c r="D818" s="92"/>
      <c r="E818" s="92"/>
      <c r="F818" s="92"/>
      <c r="G818" s="92"/>
      <c r="H818" s="92"/>
    </row>
    <row r="819" spans="4:8" ht="15.75">
      <c r="D819" s="92"/>
      <c r="E819" s="92"/>
      <c r="F819" s="92"/>
      <c r="G819" s="92"/>
      <c r="H819" s="92"/>
    </row>
    <row r="820" spans="4:8" ht="15.75">
      <c r="D820" s="92"/>
      <c r="E820" s="92"/>
      <c r="F820" s="92"/>
      <c r="G820" s="92"/>
      <c r="H820" s="92"/>
    </row>
    <row r="821" spans="4:8" ht="15.75">
      <c r="D821" s="92"/>
      <c r="E821" s="92"/>
      <c r="F821" s="92"/>
      <c r="G821" s="92"/>
      <c r="H821" s="92"/>
    </row>
    <row r="822" spans="4:8" ht="15.75">
      <c r="D822" s="92"/>
      <c r="E822" s="92"/>
      <c r="F822" s="92"/>
      <c r="G822" s="92"/>
      <c r="H822" s="92"/>
    </row>
    <row r="823" spans="4:8" ht="15.75">
      <c r="D823" s="92"/>
      <c r="E823" s="92"/>
      <c r="F823" s="92"/>
      <c r="G823" s="92"/>
      <c r="H823" s="92"/>
    </row>
    <row r="824" spans="4:8" ht="15.75">
      <c r="D824" s="92"/>
      <c r="E824" s="92"/>
      <c r="F824" s="92"/>
      <c r="G824" s="92"/>
      <c r="H824" s="92"/>
    </row>
    <row r="825" spans="4:8" ht="15.75">
      <c r="D825" s="92"/>
      <c r="E825" s="92"/>
      <c r="F825" s="92"/>
      <c r="G825" s="92"/>
      <c r="H825" s="92"/>
    </row>
    <row r="826" spans="4:8" ht="15.75">
      <c r="D826" s="92"/>
      <c r="E826" s="92"/>
      <c r="F826" s="92"/>
      <c r="G826" s="92"/>
      <c r="H826" s="92"/>
    </row>
    <row r="827" spans="4:8" ht="15.75">
      <c r="D827" s="92"/>
      <c r="E827" s="92"/>
      <c r="F827" s="92"/>
      <c r="G827" s="92"/>
      <c r="H827" s="92"/>
    </row>
    <row r="828" spans="4:8" ht="15.75">
      <c r="D828" s="92"/>
      <c r="E828" s="92"/>
      <c r="F828" s="92"/>
      <c r="G828" s="92"/>
      <c r="H828" s="92"/>
    </row>
    <row r="829" spans="4:8" ht="15.75">
      <c r="D829" s="92"/>
      <c r="E829" s="92"/>
      <c r="F829" s="92"/>
      <c r="G829" s="92"/>
      <c r="H829" s="92"/>
    </row>
    <row r="830" spans="4:8" ht="15.75">
      <c r="D830" s="92"/>
      <c r="E830" s="92"/>
      <c r="F830" s="92"/>
      <c r="G830" s="92"/>
      <c r="H830" s="92"/>
    </row>
    <row r="831" spans="4:8" ht="15.75">
      <c r="D831" s="92"/>
      <c r="E831" s="92"/>
      <c r="F831" s="92"/>
      <c r="G831" s="92"/>
      <c r="H831" s="92"/>
    </row>
    <row r="832" spans="4:8" ht="15.75">
      <c r="D832" s="92"/>
      <c r="E832" s="92"/>
      <c r="F832" s="92"/>
      <c r="G832" s="92"/>
      <c r="H832" s="92"/>
    </row>
    <row r="833" spans="4:8" ht="15.75">
      <c r="D833" s="92"/>
      <c r="E833" s="92"/>
      <c r="F833" s="92"/>
      <c r="G833" s="92"/>
      <c r="H833" s="92"/>
    </row>
    <row r="834" spans="4:8" ht="15.75">
      <c r="D834" s="92"/>
      <c r="E834" s="92"/>
      <c r="F834" s="92"/>
      <c r="G834" s="92"/>
      <c r="H834" s="92"/>
    </row>
    <row r="835" spans="4:8" ht="15.75">
      <c r="D835" s="92"/>
      <c r="E835" s="92"/>
      <c r="F835" s="92"/>
      <c r="G835" s="92"/>
      <c r="H835" s="92"/>
    </row>
    <row r="836" spans="4:8" ht="15.75">
      <c r="D836" s="92"/>
      <c r="E836" s="92"/>
      <c r="F836" s="92"/>
      <c r="G836" s="92"/>
      <c r="H836" s="92"/>
    </row>
    <row r="837" spans="4:8" ht="15.75">
      <c r="D837" s="92"/>
      <c r="E837" s="92"/>
      <c r="F837" s="92"/>
      <c r="G837" s="92"/>
      <c r="H837" s="92"/>
    </row>
    <row r="838" spans="4:8" ht="15.75">
      <c r="D838" s="92"/>
      <c r="E838" s="92"/>
      <c r="F838" s="92"/>
      <c r="G838" s="92"/>
      <c r="H838" s="92"/>
    </row>
    <row r="839" spans="4:8" ht="15.75">
      <c r="D839" s="92"/>
      <c r="E839" s="92"/>
      <c r="F839" s="92"/>
      <c r="G839" s="92"/>
      <c r="H839" s="92"/>
    </row>
    <row r="840" spans="4:8" ht="15.75">
      <c r="D840" s="92"/>
      <c r="E840" s="92"/>
      <c r="F840" s="92"/>
      <c r="G840" s="92"/>
      <c r="H840" s="92"/>
    </row>
    <row r="841" spans="4:8" ht="15.75">
      <c r="D841" s="92"/>
      <c r="E841" s="92"/>
      <c r="F841" s="92"/>
      <c r="G841" s="92"/>
      <c r="H841" s="92"/>
    </row>
    <row r="842" spans="4:8" ht="15.75">
      <c r="D842" s="92"/>
      <c r="E842" s="92"/>
      <c r="F842" s="92"/>
      <c r="G842" s="92"/>
      <c r="H842" s="92"/>
    </row>
    <row r="843" spans="4:8" ht="15.75">
      <c r="D843" s="92"/>
      <c r="E843" s="92"/>
      <c r="F843" s="92"/>
      <c r="G843" s="92"/>
      <c r="H843" s="92"/>
    </row>
    <row r="844" spans="4:8" ht="15.75">
      <c r="D844" s="92"/>
      <c r="E844" s="92"/>
      <c r="F844" s="92"/>
      <c r="G844" s="92"/>
      <c r="H844" s="92"/>
    </row>
    <row r="845" spans="4:8" ht="15.75">
      <c r="D845" s="92"/>
      <c r="E845" s="92"/>
      <c r="F845" s="92"/>
      <c r="G845" s="92"/>
      <c r="H845" s="92"/>
    </row>
    <row r="846" spans="4:8" ht="15.75">
      <c r="D846" s="92"/>
      <c r="E846" s="92"/>
      <c r="F846" s="92"/>
      <c r="G846" s="92"/>
      <c r="H846" s="92"/>
    </row>
    <row r="847" spans="4:8" ht="15.75">
      <c r="D847" s="92"/>
      <c r="E847" s="92"/>
      <c r="F847" s="92"/>
      <c r="G847" s="92"/>
      <c r="H847" s="92"/>
    </row>
    <row r="848" spans="4:8" ht="15.75">
      <c r="D848" s="92"/>
      <c r="E848" s="92"/>
      <c r="F848" s="92"/>
      <c r="G848" s="92"/>
      <c r="H848" s="92"/>
    </row>
    <row r="849" spans="4:8" ht="15.75">
      <c r="D849" s="92"/>
      <c r="E849" s="92"/>
      <c r="F849" s="92"/>
      <c r="G849" s="92"/>
      <c r="H849" s="92"/>
    </row>
    <row r="850" spans="4:8" ht="15.75">
      <c r="D850" s="92"/>
      <c r="E850" s="92"/>
      <c r="F850" s="92"/>
      <c r="G850" s="92"/>
      <c r="H850" s="92"/>
    </row>
    <row r="851" spans="4:8" ht="15.75">
      <c r="D851" s="92"/>
      <c r="E851" s="92"/>
      <c r="F851" s="92"/>
      <c r="G851" s="92"/>
      <c r="H851" s="92"/>
    </row>
    <row r="852" spans="4:8" ht="15.75">
      <c r="D852" s="92"/>
      <c r="E852" s="92"/>
      <c r="F852" s="92"/>
      <c r="G852" s="92"/>
      <c r="H852" s="92"/>
    </row>
    <row r="853" spans="4:8" ht="15.75">
      <c r="D853" s="92"/>
      <c r="E853" s="92"/>
      <c r="F853" s="92"/>
      <c r="G853" s="92"/>
      <c r="H853" s="92"/>
    </row>
    <row r="854" spans="4:8" ht="15.75">
      <c r="D854" s="92"/>
      <c r="E854" s="92"/>
      <c r="F854" s="92"/>
      <c r="G854" s="92"/>
      <c r="H854" s="92"/>
    </row>
    <row r="855" spans="4:8" ht="15.75">
      <c r="D855" s="92"/>
      <c r="E855" s="92"/>
      <c r="F855" s="92"/>
      <c r="G855" s="92"/>
      <c r="H855" s="92"/>
    </row>
    <row r="856" spans="4:8" ht="15.75">
      <c r="D856" s="92"/>
      <c r="E856" s="92"/>
      <c r="F856" s="92"/>
      <c r="G856" s="92"/>
      <c r="H856" s="92"/>
    </row>
    <row r="857" spans="4:8" ht="15.75">
      <c r="D857" s="92"/>
      <c r="E857" s="92"/>
      <c r="F857" s="92"/>
      <c r="G857" s="92"/>
      <c r="H857" s="92"/>
    </row>
    <row r="858" spans="4:8" ht="15.75">
      <c r="D858" s="92"/>
      <c r="E858" s="92"/>
      <c r="F858" s="92"/>
      <c r="G858" s="92"/>
      <c r="H858" s="92"/>
    </row>
    <row r="859" spans="4:8" ht="15.75">
      <c r="D859" s="92"/>
      <c r="E859" s="92"/>
      <c r="F859" s="92"/>
      <c r="G859" s="92"/>
      <c r="H859" s="92"/>
    </row>
    <row r="860" spans="4:8" ht="15.75">
      <c r="D860" s="92"/>
      <c r="E860" s="92"/>
      <c r="F860" s="92"/>
      <c r="G860" s="92"/>
      <c r="H860" s="92"/>
    </row>
    <row r="861" spans="4:8" ht="15.75">
      <c r="D861" s="92"/>
      <c r="E861" s="92"/>
      <c r="F861" s="92"/>
      <c r="G861" s="92"/>
      <c r="H861" s="92"/>
    </row>
    <row r="862" spans="4:8" ht="15.75">
      <c r="D862" s="92"/>
      <c r="E862" s="92"/>
      <c r="F862" s="92"/>
      <c r="G862" s="92"/>
      <c r="H862" s="92"/>
    </row>
    <row r="863" spans="4:8" ht="15.75">
      <c r="D863" s="92"/>
      <c r="E863" s="92"/>
      <c r="F863" s="92"/>
      <c r="G863" s="92"/>
      <c r="H863" s="92"/>
    </row>
    <row r="864" spans="4:8" ht="15.75">
      <c r="D864" s="92"/>
      <c r="E864" s="92"/>
      <c r="F864" s="92"/>
      <c r="G864" s="92"/>
      <c r="H864" s="92"/>
    </row>
    <row r="865" spans="4:8" ht="15.75">
      <c r="D865" s="92"/>
      <c r="E865" s="92"/>
      <c r="F865" s="92"/>
      <c r="G865" s="92"/>
      <c r="H865" s="92"/>
    </row>
    <row r="866" spans="4:8" ht="15.75">
      <c r="D866" s="92"/>
      <c r="E866" s="92"/>
      <c r="F866" s="92"/>
      <c r="G866" s="92"/>
      <c r="H866" s="92"/>
    </row>
    <row r="867" spans="4:8" ht="15.75">
      <c r="D867" s="92"/>
      <c r="E867" s="92"/>
      <c r="F867" s="92"/>
      <c r="G867" s="92"/>
      <c r="H867" s="92"/>
    </row>
    <row r="868" spans="4:8" ht="15.75">
      <c r="D868" s="92"/>
      <c r="E868" s="92"/>
      <c r="F868" s="92"/>
      <c r="G868" s="92"/>
      <c r="H868" s="92"/>
    </row>
    <row r="869" spans="4:8" ht="15.75">
      <c r="D869" s="92"/>
      <c r="E869" s="92"/>
      <c r="F869" s="92"/>
      <c r="G869" s="92"/>
      <c r="H869" s="92"/>
    </row>
    <row r="870" spans="4:8" ht="15.75">
      <c r="D870" s="92"/>
      <c r="E870" s="92"/>
      <c r="F870" s="92"/>
      <c r="G870" s="92"/>
      <c r="H870" s="92"/>
    </row>
    <row r="871" spans="4:8" ht="15.75">
      <c r="D871" s="92"/>
      <c r="E871" s="92"/>
      <c r="F871" s="92"/>
      <c r="G871" s="92"/>
      <c r="H871" s="92"/>
    </row>
    <row r="872" spans="4:8" ht="15.75">
      <c r="D872" s="92"/>
      <c r="E872" s="92"/>
      <c r="F872" s="92"/>
      <c r="G872" s="92"/>
      <c r="H872" s="92"/>
    </row>
    <row r="873" spans="4:8" ht="15.75">
      <c r="D873" s="92"/>
      <c r="E873" s="92"/>
      <c r="F873" s="92"/>
      <c r="G873" s="92"/>
      <c r="H873" s="92"/>
    </row>
    <row r="874" spans="4:8" ht="15.75">
      <c r="D874" s="92"/>
      <c r="E874" s="92"/>
      <c r="F874" s="92"/>
      <c r="G874" s="92"/>
      <c r="H874" s="92"/>
    </row>
    <row r="875" spans="4:8" ht="15.75">
      <c r="D875" s="92"/>
      <c r="E875" s="92"/>
      <c r="F875" s="92"/>
      <c r="G875" s="92"/>
      <c r="H875" s="92"/>
    </row>
    <row r="876" spans="4:8" ht="15.75">
      <c r="D876" s="92"/>
      <c r="E876" s="92"/>
      <c r="F876" s="92"/>
      <c r="G876" s="92"/>
      <c r="H876" s="92"/>
    </row>
    <row r="877" spans="4:8" ht="15.75">
      <c r="D877" s="92"/>
      <c r="E877" s="92"/>
      <c r="F877" s="92"/>
      <c r="G877" s="92"/>
      <c r="H877" s="92"/>
    </row>
    <row r="878" spans="4:8" ht="15.75">
      <c r="D878" s="92"/>
      <c r="E878" s="92"/>
      <c r="F878" s="92"/>
      <c r="G878" s="92"/>
      <c r="H878" s="92"/>
    </row>
    <row r="879" spans="4:8" ht="15.75">
      <c r="D879" s="92"/>
      <c r="E879" s="92"/>
      <c r="F879" s="92"/>
      <c r="G879" s="92"/>
      <c r="H879" s="92"/>
    </row>
    <row r="880" spans="4:8" ht="15.75">
      <c r="D880" s="92"/>
      <c r="E880" s="92"/>
      <c r="F880" s="92"/>
      <c r="G880" s="92"/>
      <c r="H880" s="92"/>
    </row>
    <row r="881" spans="4:8" ht="15.75">
      <c r="D881" s="92"/>
      <c r="E881" s="92"/>
      <c r="F881" s="92"/>
      <c r="G881" s="92"/>
      <c r="H881" s="92"/>
    </row>
    <row r="882" spans="4:8" ht="15.75">
      <c r="D882" s="92"/>
      <c r="E882" s="92"/>
      <c r="F882" s="92"/>
      <c r="G882" s="92"/>
      <c r="H882" s="92"/>
    </row>
    <row r="883" spans="4:8" ht="15.75">
      <c r="D883" s="92"/>
      <c r="E883" s="92"/>
      <c r="F883" s="92"/>
      <c r="G883" s="92"/>
      <c r="H883" s="92"/>
    </row>
    <row r="884" spans="4:8" ht="15.75">
      <c r="D884" s="92"/>
      <c r="E884" s="92"/>
      <c r="F884" s="92"/>
      <c r="G884" s="92"/>
      <c r="H884" s="92"/>
    </row>
    <row r="885" spans="4:8" ht="15.75">
      <c r="D885" s="92"/>
      <c r="E885" s="92"/>
      <c r="F885" s="92"/>
      <c r="G885" s="92"/>
      <c r="H885" s="92"/>
    </row>
    <row r="886" spans="4:8" ht="15.75">
      <c r="D886" s="92"/>
      <c r="E886" s="92"/>
      <c r="F886" s="92"/>
      <c r="G886" s="92"/>
      <c r="H886" s="92"/>
    </row>
    <row r="887" spans="4:8" ht="15.75">
      <c r="D887" s="92"/>
      <c r="E887" s="92"/>
      <c r="F887" s="92"/>
      <c r="G887" s="92"/>
      <c r="H887" s="92"/>
    </row>
    <row r="888" spans="4:8" ht="15.75">
      <c r="D888" s="92"/>
      <c r="E888" s="92"/>
      <c r="F888" s="92"/>
      <c r="G888" s="92"/>
      <c r="H888" s="92"/>
    </row>
    <row r="889" spans="4:8" ht="15.75">
      <c r="D889" s="92"/>
      <c r="E889" s="92"/>
      <c r="F889" s="92"/>
      <c r="G889" s="92"/>
      <c r="H889" s="92"/>
    </row>
    <row r="890" spans="4:8" ht="15.75">
      <c r="D890" s="92"/>
      <c r="E890" s="92"/>
      <c r="F890" s="92"/>
      <c r="G890" s="92"/>
      <c r="H890" s="92"/>
    </row>
    <row r="891" spans="4:8" ht="15.75">
      <c r="D891" s="92"/>
      <c r="E891" s="92"/>
      <c r="F891" s="92"/>
      <c r="G891" s="92"/>
      <c r="H891" s="92"/>
    </row>
    <row r="892" spans="4:8" ht="15.75">
      <c r="D892" s="92"/>
      <c r="E892" s="92"/>
      <c r="F892" s="92"/>
      <c r="G892" s="92"/>
      <c r="H892" s="92"/>
    </row>
    <row r="893" spans="4:8" ht="15.75">
      <c r="D893" s="92"/>
      <c r="E893" s="92"/>
      <c r="F893" s="92"/>
      <c r="G893" s="92"/>
      <c r="H893" s="92"/>
    </row>
    <row r="894" spans="4:8" ht="15.75">
      <c r="D894" s="92"/>
      <c r="E894" s="92"/>
      <c r="F894" s="92"/>
      <c r="G894" s="92"/>
      <c r="H894" s="92"/>
    </row>
    <row r="895" spans="4:8" ht="15.75">
      <c r="D895" s="92"/>
      <c r="E895" s="92"/>
      <c r="F895" s="92"/>
      <c r="G895" s="92"/>
      <c r="H895" s="92"/>
    </row>
    <row r="896" spans="4:8" ht="15.75">
      <c r="D896" s="92"/>
      <c r="E896" s="92"/>
      <c r="F896" s="92"/>
      <c r="G896" s="92"/>
      <c r="H896" s="92"/>
    </row>
    <row r="897" spans="4:8" ht="15.75">
      <c r="D897" s="92"/>
      <c r="E897" s="92"/>
      <c r="F897" s="92"/>
      <c r="G897" s="92"/>
      <c r="H897" s="92"/>
    </row>
    <row r="898" spans="4:8" ht="15.75">
      <c r="D898" s="92"/>
      <c r="E898" s="92"/>
      <c r="F898" s="92"/>
      <c r="G898" s="92"/>
      <c r="H898" s="92"/>
    </row>
    <row r="899" spans="4:8" ht="15.75">
      <c r="D899" s="92"/>
      <c r="E899" s="92"/>
      <c r="F899" s="92"/>
      <c r="G899" s="92"/>
      <c r="H899" s="92"/>
    </row>
    <row r="900" spans="4:8" ht="15.75">
      <c r="D900" s="92"/>
      <c r="E900" s="92"/>
      <c r="F900" s="92"/>
      <c r="G900" s="92"/>
      <c r="H900" s="92"/>
    </row>
    <row r="901" spans="4:8" ht="15.75">
      <c r="D901" s="92"/>
      <c r="E901" s="92"/>
      <c r="F901" s="92"/>
      <c r="G901" s="92"/>
      <c r="H901" s="92"/>
    </row>
    <row r="902" spans="4:8" ht="15.75">
      <c r="D902" s="92"/>
      <c r="E902" s="92"/>
      <c r="F902" s="92"/>
      <c r="G902" s="92"/>
      <c r="H902" s="92"/>
    </row>
    <row r="903" spans="4:8" ht="15.75">
      <c r="D903" s="92"/>
      <c r="E903" s="92"/>
      <c r="F903" s="92"/>
      <c r="G903" s="92"/>
      <c r="H903" s="92"/>
    </row>
    <row r="904" spans="4:8" ht="15.75">
      <c r="D904" s="92"/>
      <c r="E904" s="92"/>
      <c r="F904" s="92"/>
      <c r="G904" s="92"/>
      <c r="H904" s="92"/>
    </row>
    <row r="905" spans="4:8" ht="15.75">
      <c r="D905" s="92"/>
      <c r="E905" s="92"/>
      <c r="F905" s="92"/>
      <c r="G905" s="92"/>
      <c r="H905" s="92"/>
    </row>
    <row r="906" spans="4:8" ht="15.75">
      <c r="D906" s="92"/>
      <c r="E906" s="92"/>
      <c r="F906" s="92"/>
      <c r="G906" s="92"/>
      <c r="H906" s="92"/>
    </row>
    <row r="907" spans="4:8" ht="15.75">
      <c r="D907" s="92"/>
      <c r="E907" s="92"/>
      <c r="F907" s="92"/>
      <c r="G907" s="92"/>
      <c r="H907" s="92"/>
    </row>
    <row r="908" spans="4:8" ht="15.75">
      <c r="D908" s="92"/>
      <c r="E908" s="92"/>
      <c r="F908" s="92"/>
      <c r="G908" s="92"/>
      <c r="H908" s="92"/>
    </row>
    <row r="909" spans="4:8" ht="15.75">
      <c r="D909" s="92"/>
      <c r="E909" s="92"/>
      <c r="F909" s="92"/>
      <c r="G909" s="92"/>
      <c r="H909" s="92"/>
    </row>
    <row r="910" spans="4:8" ht="15.75">
      <c r="D910" s="92"/>
      <c r="E910" s="92"/>
      <c r="F910" s="92"/>
      <c r="G910" s="92"/>
      <c r="H910" s="92"/>
    </row>
    <row r="911" spans="4:8" ht="15.75">
      <c r="D911" s="92"/>
      <c r="E911" s="92"/>
      <c r="F911" s="92"/>
      <c r="G911" s="92"/>
      <c r="H911" s="92"/>
    </row>
    <row r="912" spans="4:8" ht="15.75">
      <c r="D912" s="92"/>
      <c r="E912" s="92"/>
      <c r="F912" s="92"/>
      <c r="G912" s="92"/>
      <c r="H912" s="92"/>
    </row>
    <row r="913" spans="4:8" ht="15.75">
      <c r="D913" s="92"/>
      <c r="E913" s="92"/>
      <c r="F913" s="92"/>
      <c r="G913" s="92"/>
      <c r="H913" s="92"/>
    </row>
    <row r="914" spans="4:8" ht="15.75">
      <c r="D914" s="92"/>
      <c r="E914" s="92"/>
      <c r="F914" s="92"/>
      <c r="G914" s="92"/>
      <c r="H914" s="92"/>
    </row>
    <row r="915" spans="4:8" ht="15.75">
      <c r="D915" s="92"/>
      <c r="E915" s="92"/>
      <c r="F915" s="92"/>
      <c r="G915" s="92"/>
      <c r="H915" s="92"/>
    </row>
    <row r="916" spans="4:8" ht="15.75">
      <c r="D916" s="92"/>
      <c r="E916" s="92"/>
      <c r="F916" s="92"/>
      <c r="G916" s="92"/>
      <c r="H916" s="92"/>
    </row>
    <row r="917" spans="4:8" ht="15.75">
      <c r="D917" s="92"/>
      <c r="E917" s="92"/>
      <c r="F917" s="92"/>
      <c r="G917" s="92"/>
      <c r="H917" s="92"/>
    </row>
    <row r="918" spans="4:8" ht="15.75">
      <c r="D918" s="92"/>
      <c r="E918" s="92"/>
      <c r="F918" s="92"/>
      <c r="G918" s="92"/>
      <c r="H918" s="92"/>
    </row>
    <row r="919" spans="4:8" ht="15.75">
      <c r="D919" s="92"/>
      <c r="E919" s="92"/>
      <c r="F919" s="92"/>
      <c r="G919" s="92"/>
      <c r="H919" s="92"/>
    </row>
    <row r="920" spans="4:8" ht="15.75">
      <c r="D920" s="92"/>
      <c r="E920" s="92"/>
      <c r="F920" s="92"/>
      <c r="G920" s="92"/>
      <c r="H920" s="92"/>
    </row>
    <row r="921" spans="4:8" ht="15.75">
      <c r="D921" s="92"/>
      <c r="E921" s="92"/>
      <c r="F921" s="92"/>
      <c r="G921" s="92"/>
      <c r="H921" s="92"/>
    </row>
    <row r="922" spans="4:8" ht="15.75">
      <c r="D922" s="92"/>
      <c r="E922" s="92"/>
      <c r="F922" s="92"/>
      <c r="G922" s="92"/>
      <c r="H922" s="92"/>
    </row>
    <row r="923" spans="4:8" ht="15.75">
      <c r="D923" s="92"/>
      <c r="E923" s="92"/>
      <c r="F923" s="92"/>
      <c r="G923" s="92"/>
      <c r="H923" s="92"/>
    </row>
    <row r="924" spans="4:8" ht="15.75">
      <c r="D924" s="92"/>
      <c r="E924" s="92"/>
      <c r="F924" s="92"/>
      <c r="G924" s="92"/>
      <c r="H924" s="92"/>
    </row>
    <row r="925" spans="4:8" ht="15.75">
      <c r="D925" s="92"/>
      <c r="E925" s="92"/>
      <c r="F925" s="92"/>
      <c r="G925" s="92"/>
      <c r="H925" s="92"/>
    </row>
    <row r="926" spans="4:8" ht="15.75">
      <c r="D926" s="92"/>
      <c r="E926" s="92"/>
      <c r="F926" s="92"/>
      <c r="G926" s="92"/>
      <c r="H926" s="92"/>
    </row>
    <row r="927" spans="4:8" ht="15.75">
      <c r="D927" s="92"/>
      <c r="E927" s="92"/>
      <c r="F927" s="92"/>
      <c r="G927" s="92"/>
      <c r="H927" s="92"/>
    </row>
    <row r="928" spans="4:8" ht="15.75">
      <c r="D928" s="92"/>
      <c r="E928" s="92"/>
      <c r="F928" s="92"/>
      <c r="G928" s="92"/>
      <c r="H928" s="92"/>
    </row>
    <row r="929" spans="4:8" ht="15.75">
      <c r="D929" s="92"/>
      <c r="E929" s="92"/>
      <c r="F929" s="92"/>
      <c r="G929" s="92"/>
      <c r="H929" s="92"/>
    </row>
    <row r="930" spans="4:8" ht="15.75">
      <c r="D930" s="92"/>
      <c r="E930" s="92"/>
      <c r="F930" s="92"/>
      <c r="G930" s="92"/>
      <c r="H930" s="92"/>
    </row>
    <row r="931" spans="4:8" ht="15.75">
      <c r="D931" s="92"/>
      <c r="E931" s="92"/>
      <c r="F931" s="92"/>
      <c r="G931" s="92"/>
      <c r="H931" s="92"/>
    </row>
    <row r="932" spans="4:8" ht="15.75">
      <c r="D932" s="92"/>
      <c r="E932" s="92"/>
      <c r="F932" s="92"/>
      <c r="G932" s="92"/>
      <c r="H932" s="92"/>
    </row>
    <row r="933" spans="4:8" ht="15.75">
      <c r="D933" s="92"/>
      <c r="E933" s="92"/>
      <c r="F933" s="92"/>
      <c r="G933" s="92"/>
      <c r="H933" s="92"/>
    </row>
    <row r="934" spans="4:8" ht="15.75">
      <c r="D934" s="92"/>
      <c r="E934" s="92"/>
      <c r="F934" s="92"/>
      <c r="G934" s="92"/>
      <c r="H934" s="92"/>
    </row>
    <row r="935" spans="4:8" ht="15.75">
      <c r="D935" s="92"/>
      <c r="E935" s="92"/>
      <c r="F935" s="92"/>
      <c r="G935" s="92"/>
      <c r="H935" s="92"/>
    </row>
    <row r="936" spans="4:8" ht="15.75">
      <c r="D936" s="92"/>
      <c r="E936" s="92"/>
      <c r="F936" s="92"/>
      <c r="G936" s="92"/>
      <c r="H936" s="92"/>
    </row>
    <row r="937" spans="4:8" ht="15.75">
      <c r="D937" s="92"/>
      <c r="E937" s="92"/>
      <c r="F937" s="92"/>
      <c r="G937" s="92"/>
      <c r="H937" s="92"/>
    </row>
    <row r="938" spans="4:8" ht="15.75">
      <c r="D938" s="92"/>
      <c r="E938" s="92"/>
      <c r="F938" s="92"/>
      <c r="G938" s="92"/>
      <c r="H938" s="92"/>
    </row>
    <row r="939" spans="4:8" ht="15.75">
      <c r="D939" s="92"/>
      <c r="E939" s="92"/>
      <c r="F939" s="92"/>
      <c r="G939" s="92"/>
      <c r="H939" s="92"/>
    </row>
    <row r="940" spans="4:8" ht="15.75">
      <c r="D940" s="92"/>
      <c r="E940" s="92"/>
      <c r="F940" s="92"/>
      <c r="G940" s="92"/>
      <c r="H940" s="92"/>
    </row>
    <row r="941" spans="4:8" ht="15.75">
      <c r="D941" s="92"/>
      <c r="E941" s="92"/>
      <c r="F941" s="92"/>
      <c r="G941" s="92"/>
      <c r="H941" s="92"/>
    </row>
    <row r="942" spans="4:8" ht="15.75">
      <c r="D942" s="92"/>
      <c r="E942" s="92"/>
      <c r="F942" s="92"/>
      <c r="G942" s="92"/>
      <c r="H942" s="92"/>
    </row>
    <row r="943" spans="4:8" ht="15.75">
      <c r="D943" s="92"/>
      <c r="E943" s="92"/>
      <c r="F943" s="92"/>
      <c r="G943" s="92"/>
      <c r="H943" s="92"/>
    </row>
    <row r="944" spans="4:8" ht="15.75">
      <c r="D944" s="92"/>
      <c r="E944" s="92"/>
      <c r="F944" s="92"/>
      <c r="G944" s="92"/>
      <c r="H944" s="92"/>
    </row>
    <row r="945" spans="4:8" ht="15.75">
      <c r="D945" s="92"/>
      <c r="E945" s="92"/>
      <c r="F945" s="92"/>
      <c r="G945" s="92"/>
      <c r="H945" s="92"/>
    </row>
    <row r="946" spans="4:8" ht="15.75">
      <c r="D946" s="92"/>
      <c r="E946" s="92"/>
      <c r="F946" s="92"/>
      <c r="G946" s="92"/>
      <c r="H946" s="92"/>
    </row>
    <row r="947" spans="4:8" ht="15.75">
      <c r="D947" s="92"/>
      <c r="E947" s="92"/>
      <c r="F947" s="92"/>
      <c r="G947" s="92"/>
      <c r="H947" s="92"/>
    </row>
    <row r="948" spans="4:8" ht="15.75">
      <c r="D948" s="92"/>
      <c r="E948" s="92"/>
      <c r="F948" s="92"/>
      <c r="G948" s="92"/>
      <c r="H948" s="92"/>
    </row>
    <row r="949" spans="4:8" ht="15.75">
      <c r="D949" s="92"/>
      <c r="E949" s="92"/>
      <c r="F949" s="92"/>
      <c r="G949" s="92"/>
      <c r="H949" s="92"/>
    </row>
    <row r="950" spans="4:8" ht="15.75">
      <c r="D950" s="92"/>
      <c r="E950" s="92"/>
      <c r="F950" s="92"/>
      <c r="G950" s="92"/>
      <c r="H950" s="92"/>
    </row>
    <row r="951" spans="4:8" ht="15.75">
      <c r="D951" s="92"/>
      <c r="E951" s="92"/>
      <c r="F951" s="92"/>
      <c r="G951" s="92"/>
      <c r="H951" s="92"/>
    </row>
    <row r="952" spans="4:8" ht="15.75">
      <c r="D952" s="92"/>
      <c r="E952" s="92"/>
      <c r="F952" s="92"/>
      <c r="G952" s="92"/>
      <c r="H952" s="92"/>
    </row>
    <row r="953" spans="4:8" ht="15.75">
      <c r="D953" s="92"/>
      <c r="E953" s="92"/>
      <c r="F953" s="92"/>
      <c r="G953" s="92"/>
      <c r="H953" s="92"/>
    </row>
    <row r="954" spans="4:8" ht="15.75">
      <c r="D954" s="92"/>
      <c r="E954" s="92"/>
      <c r="F954" s="92"/>
      <c r="G954" s="92"/>
      <c r="H954" s="92"/>
    </row>
    <row r="955" spans="4:8" ht="15.75">
      <c r="D955" s="92"/>
      <c r="E955" s="92"/>
      <c r="F955" s="92"/>
      <c r="G955" s="92"/>
      <c r="H955" s="92"/>
    </row>
    <row r="956" spans="4:8" ht="15.75">
      <c r="D956" s="92"/>
      <c r="E956" s="92"/>
      <c r="F956" s="92"/>
      <c r="G956" s="92"/>
      <c r="H956" s="92"/>
    </row>
    <row r="957" spans="4:8" ht="15.75">
      <c r="D957" s="92"/>
      <c r="E957" s="92"/>
      <c r="F957" s="92"/>
      <c r="G957" s="92"/>
      <c r="H957" s="92"/>
    </row>
    <row r="958" spans="4:8" ht="15.75">
      <c r="D958" s="92"/>
      <c r="E958" s="92"/>
      <c r="F958" s="92"/>
      <c r="G958" s="92"/>
      <c r="H958" s="92"/>
    </row>
    <row r="959" spans="4:8" ht="15.75">
      <c r="D959" s="92"/>
      <c r="E959" s="92"/>
      <c r="F959" s="92"/>
      <c r="G959" s="92"/>
      <c r="H959" s="92"/>
    </row>
  </sheetData>
  <mergeCells count="33">
    <mergeCell ref="D4:H4"/>
    <mergeCell ref="D5:H5"/>
    <mergeCell ref="D6:H6"/>
    <mergeCell ref="D7:H7"/>
    <mergeCell ref="D13:H13"/>
    <mergeCell ref="D14:H14"/>
    <mergeCell ref="D15:H15"/>
    <mergeCell ref="B21:B22"/>
    <mergeCell ref="B23:B24"/>
    <mergeCell ref="B25:B28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27:H27"/>
    <mergeCell ref="D28:H28"/>
    <mergeCell ref="D29:H29"/>
    <mergeCell ref="D132:G132"/>
    <mergeCell ref="D133:G133"/>
    <mergeCell ref="D30:H30"/>
    <mergeCell ref="D127:G127"/>
    <mergeCell ref="I127:R127"/>
    <mergeCell ref="D128:G128"/>
    <mergeCell ref="D129:G129"/>
    <mergeCell ref="D130:G130"/>
    <mergeCell ref="D131:G131"/>
  </mergeCells>
  <dataValidations count="13">
    <dataValidation type="list" allowBlank="1" showErrorMessage="1" sqref="D21">
      <formula1>#REF!</formula1>
    </dataValidation>
    <dataValidation type="list" allowBlank="1" showErrorMessage="1" sqref="D18">
      <formula1>#REF!</formula1>
    </dataValidation>
    <dataValidation type="list" allowBlank="1" showErrorMessage="1" sqref="D22">
      <formula1>#REF!</formula1>
    </dataValidation>
    <dataValidation type="list" allowBlank="1" showErrorMessage="1" sqref="D17">
      <formula1>#REF!</formula1>
    </dataValidation>
    <dataValidation type="list" allowBlank="1" showErrorMessage="1" sqref="B35 D129">
      <formula1>#REF!</formula1>
    </dataValidation>
    <dataValidation type="list" allowBlank="1" showErrorMessage="1" sqref="D15">
      <formula1>#REF!</formula1>
    </dataValidation>
    <dataValidation type="list" allowBlank="1" showErrorMessage="1" sqref="B53 B55 B58">
      <formula1>#REF!</formula1>
    </dataValidation>
    <dataValidation type="list" allowBlank="1" showErrorMessage="1" sqref="D14">
      <formula1>#REF!</formula1>
    </dataValidation>
    <dataValidation type="list" allowBlank="1" showErrorMessage="1" sqref="D131">
      <formula1>#REF!</formula1>
    </dataValidation>
    <dataValidation type="list" allowBlank="1" showErrorMessage="1" sqref="D128">
      <formula1>#REF!</formula1>
    </dataValidation>
    <dataValidation type="list" allowBlank="1" showErrorMessage="1" sqref="D127">
      <formula1>#REF!</formula1>
    </dataValidation>
    <dataValidation type="list" allowBlank="1" showErrorMessage="1" sqref="D20">
      <formula1>#REF!</formula1>
    </dataValidation>
    <dataValidation type="list" allowBlank="1" showErrorMessage="1" sqref="D16">
      <formula1>#REF!</formula1>
    </dataValidation>
  </dataValidations>
  <printOptions gridLines="1"/>
  <pageMargins left="0.31496062992125984" right="0.31496062992125984" top="0" bottom="0.74803149606299213" header="0" footer="0"/>
  <pageSetup paperSize="5" scale="4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59"/>
  <sheetViews>
    <sheetView workbookViewId="0"/>
  </sheetViews>
  <sheetFormatPr baseColWidth="10" defaultColWidth="14.42578125" defaultRowHeight="15" customHeight="1"/>
  <cols>
    <col min="1" max="1" width="7" customWidth="1"/>
    <col min="2" max="2" width="17.85546875" customWidth="1"/>
    <col min="3" max="3" width="51.28515625" customWidth="1"/>
    <col min="4" max="4" width="25.140625" customWidth="1"/>
    <col min="5" max="5" width="26.85546875" customWidth="1"/>
    <col min="6" max="6" width="22.5703125" customWidth="1"/>
    <col min="7" max="7" width="21.7109375" customWidth="1"/>
    <col min="8" max="8" width="21.140625" customWidth="1"/>
    <col min="9" max="9" width="29" customWidth="1"/>
    <col min="10" max="10" width="25.5703125" customWidth="1"/>
    <col min="11" max="11" width="29.85546875" customWidth="1"/>
    <col min="12" max="12" width="20.85546875" customWidth="1"/>
    <col min="13" max="13" width="21.28515625" customWidth="1"/>
    <col min="14" max="14" width="19.5703125" customWidth="1"/>
    <col min="15" max="15" width="19.42578125" customWidth="1"/>
    <col min="16" max="16" width="18.5703125" customWidth="1"/>
    <col min="17" max="17" width="23" customWidth="1"/>
    <col min="18" max="18" width="18.85546875" customWidth="1"/>
    <col min="19" max="19" width="14" customWidth="1"/>
    <col min="20" max="32" width="10.7109375" customWidth="1"/>
  </cols>
  <sheetData>
    <row r="1" spans="1:32" ht="15.75">
      <c r="A1" s="1"/>
      <c r="B1" s="2"/>
      <c r="C1" s="2"/>
      <c r="D1" s="3"/>
      <c r="E1" s="3"/>
      <c r="F1" s="3"/>
      <c r="G1" s="3"/>
      <c r="H1" s="3"/>
      <c r="I1" s="2"/>
      <c r="J1" s="4"/>
      <c r="K1" s="4"/>
      <c r="L1" s="2"/>
      <c r="M1" s="2"/>
      <c r="N1" s="4"/>
      <c r="O1" s="4"/>
      <c r="P1" s="4"/>
      <c r="Q1" s="2"/>
      <c r="R1" s="2"/>
      <c r="AF1" s="105"/>
    </row>
    <row r="2" spans="1:32" ht="15.75">
      <c r="A2" s="1"/>
      <c r="B2" s="2"/>
      <c r="C2" s="2"/>
      <c r="D2" s="3"/>
      <c r="E2" s="3"/>
      <c r="F2" s="3"/>
      <c r="G2" s="3"/>
      <c r="H2" s="3"/>
      <c r="I2" s="2"/>
      <c r="J2" s="4"/>
      <c r="K2" s="4"/>
      <c r="L2" s="2"/>
      <c r="M2" s="2"/>
      <c r="N2" s="4"/>
      <c r="O2" s="4"/>
      <c r="P2" s="4"/>
      <c r="Q2" s="2"/>
      <c r="R2" s="2"/>
      <c r="AF2" s="105"/>
    </row>
    <row r="3" spans="1:32" ht="15.75">
      <c r="A3" s="1"/>
      <c r="B3" s="2"/>
      <c r="C3" s="2"/>
      <c r="D3" s="3"/>
      <c r="E3" s="3"/>
      <c r="F3" s="3"/>
      <c r="G3" s="3"/>
      <c r="H3" s="3"/>
      <c r="I3" s="2"/>
      <c r="J3" s="4"/>
      <c r="K3" s="4"/>
      <c r="L3" s="2"/>
      <c r="M3" s="2"/>
      <c r="N3" s="4"/>
      <c r="O3" s="4"/>
      <c r="P3" s="4"/>
      <c r="Q3" s="2"/>
      <c r="R3" s="2"/>
      <c r="AF3" s="105"/>
    </row>
    <row r="4" spans="1:32" ht="15.75">
      <c r="A4" s="1"/>
      <c r="B4" s="2"/>
      <c r="C4" s="2"/>
      <c r="D4" s="173" t="s">
        <v>0</v>
      </c>
      <c r="E4" s="174"/>
      <c r="F4" s="174"/>
      <c r="G4" s="174"/>
      <c r="H4" s="174"/>
      <c r="I4" s="2"/>
      <c r="J4" s="4"/>
      <c r="K4" s="4"/>
      <c r="L4" s="2"/>
      <c r="M4" s="2"/>
      <c r="N4" s="4"/>
      <c r="O4" s="4"/>
      <c r="P4" s="4"/>
      <c r="Q4" s="2"/>
      <c r="R4" s="2"/>
      <c r="AF4" s="105"/>
    </row>
    <row r="5" spans="1:32" ht="15.75">
      <c r="A5" s="1"/>
      <c r="B5" s="2"/>
      <c r="C5" s="2"/>
      <c r="D5" s="173" t="s">
        <v>1</v>
      </c>
      <c r="E5" s="174"/>
      <c r="F5" s="174"/>
      <c r="G5" s="174"/>
      <c r="H5" s="174"/>
      <c r="I5" s="2"/>
      <c r="J5" s="4"/>
      <c r="K5" s="4"/>
      <c r="L5" s="2"/>
      <c r="M5" s="2"/>
      <c r="N5" s="4"/>
      <c r="O5" s="4"/>
      <c r="P5" s="4"/>
      <c r="Q5" s="2"/>
      <c r="R5" s="2"/>
      <c r="AF5" s="105"/>
    </row>
    <row r="6" spans="1:32" ht="15.75">
      <c r="A6" s="1"/>
      <c r="B6" s="2"/>
      <c r="C6" s="2"/>
      <c r="D6" s="173" t="s">
        <v>2</v>
      </c>
      <c r="E6" s="174"/>
      <c r="F6" s="174"/>
      <c r="G6" s="174"/>
      <c r="H6" s="174"/>
      <c r="I6" s="2"/>
      <c r="J6" s="4"/>
      <c r="K6" s="4"/>
      <c r="L6" s="2"/>
      <c r="M6" s="2"/>
      <c r="N6" s="4"/>
      <c r="O6" s="4"/>
      <c r="P6" s="4"/>
      <c r="Q6" s="2"/>
      <c r="R6" s="2"/>
      <c r="AF6" s="105"/>
    </row>
    <row r="7" spans="1:32" ht="15.75">
      <c r="A7" s="1"/>
      <c r="B7" s="2"/>
      <c r="C7" s="2"/>
      <c r="D7" s="173"/>
      <c r="E7" s="174"/>
      <c r="F7" s="174"/>
      <c r="G7" s="174"/>
      <c r="H7" s="174"/>
      <c r="I7" s="2"/>
      <c r="J7" s="4"/>
      <c r="K7" s="4"/>
      <c r="L7" s="2"/>
      <c r="M7" s="2"/>
      <c r="N7" s="4"/>
      <c r="O7" s="4"/>
      <c r="P7" s="4"/>
      <c r="Q7" s="2"/>
      <c r="R7" s="2"/>
      <c r="AF7" s="105"/>
    </row>
    <row r="8" spans="1:32" ht="15.75">
      <c r="A8" s="1"/>
      <c r="B8" s="2"/>
      <c r="C8" s="2"/>
      <c r="D8" s="5"/>
      <c r="E8" s="5"/>
      <c r="F8" s="5"/>
      <c r="G8" s="5"/>
      <c r="H8" s="5"/>
      <c r="I8" s="2"/>
      <c r="J8" s="4"/>
      <c r="K8" s="4"/>
      <c r="L8" s="2"/>
      <c r="M8" s="2"/>
      <c r="N8" s="4"/>
      <c r="O8" s="4"/>
      <c r="P8" s="4"/>
      <c r="Q8" s="2"/>
      <c r="R8" s="2"/>
      <c r="AF8" s="105"/>
    </row>
    <row r="9" spans="1:32" ht="15.75">
      <c r="A9" s="1"/>
      <c r="B9" s="2"/>
      <c r="C9" s="2"/>
      <c r="D9" s="3"/>
      <c r="E9" s="3"/>
      <c r="F9" s="3"/>
      <c r="G9" s="3"/>
      <c r="H9" s="3"/>
      <c r="I9" s="2"/>
      <c r="J9" s="4"/>
      <c r="K9" s="4"/>
      <c r="L9" s="2"/>
      <c r="M9" s="2"/>
      <c r="N9" s="4"/>
      <c r="O9" s="4"/>
      <c r="P9" s="4"/>
      <c r="Q9" s="2"/>
      <c r="R9" s="2"/>
      <c r="AF9" s="105"/>
    </row>
    <row r="10" spans="1:32" ht="15.75">
      <c r="A10" s="1"/>
      <c r="B10" s="2"/>
      <c r="C10" s="2"/>
      <c r="D10" s="3"/>
      <c r="E10" s="3"/>
      <c r="F10" s="3"/>
      <c r="G10" s="3"/>
      <c r="H10" s="3"/>
      <c r="I10" s="2"/>
      <c r="J10" s="4"/>
      <c r="K10" s="4"/>
      <c r="L10" s="2"/>
      <c r="M10" s="2"/>
      <c r="N10" s="4"/>
      <c r="O10" s="4"/>
      <c r="P10" s="4"/>
      <c r="Q10" s="2"/>
      <c r="R10" s="2"/>
      <c r="AF10" s="105"/>
    </row>
    <row r="11" spans="1:32" ht="15.75">
      <c r="A11" s="1"/>
      <c r="B11" s="2"/>
      <c r="C11" s="2"/>
      <c r="D11" s="3"/>
      <c r="E11" s="3"/>
      <c r="F11" s="3"/>
      <c r="G11" s="3"/>
      <c r="H11" s="3"/>
      <c r="I11" s="2"/>
      <c r="J11" s="4"/>
      <c r="K11" s="4"/>
      <c r="L11" s="2"/>
      <c r="M11" s="2"/>
      <c r="N11" s="4"/>
      <c r="O11" s="4"/>
      <c r="P11" s="4"/>
      <c r="Q11" s="2"/>
      <c r="R11" s="2"/>
      <c r="AF11" s="105"/>
    </row>
    <row r="12" spans="1:32" ht="15.75">
      <c r="A12" s="6"/>
      <c r="B12" s="7"/>
      <c r="C12" s="7"/>
      <c r="D12" s="7"/>
      <c r="E12" s="7"/>
      <c r="F12" s="7"/>
      <c r="G12" s="7"/>
      <c r="H12" s="7"/>
      <c r="I12" s="7"/>
      <c r="J12" s="8"/>
      <c r="K12" s="8"/>
      <c r="L12" s="7"/>
      <c r="M12" s="7"/>
      <c r="N12" s="8"/>
      <c r="O12" s="8"/>
      <c r="P12" s="8"/>
      <c r="Q12" s="7"/>
      <c r="R12" s="7"/>
      <c r="S12" s="9"/>
      <c r="AF12" s="105"/>
    </row>
    <row r="13" spans="1:32" ht="15.75">
      <c r="A13" s="6"/>
      <c r="B13" s="7"/>
      <c r="C13" s="10" t="s">
        <v>3</v>
      </c>
      <c r="D13" s="175" t="s">
        <v>4</v>
      </c>
      <c r="E13" s="157"/>
      <c r="F13" s="157"/>
      <c r="G13" s="157"/>
      <c r="H13" s="158"/>
      <c r="I13" s="11"/>
      <c r="J13" s="8"/>
      <c r="K13" s="8"/>
      <c r="L13" s="7"/>
      <c r="M13" s="7"/>
      <c r="N13" s="8"/>
      <c r="O13" s="8"/>
      <c r="P13" s="8"/>
      <c r="Q13" s="7"/>
      <c r="R13" s="7"/>
      <c r="S13" s="9"/>
      <c r="AF13" s="105"/>
    </row>
    <row r="14" spans="1:32" ht="15.75">
      <c r="A14" s="6"/>
      <c r="B14" s="7"/>
      <c r="C14" s="10" t="s">
        <v>5</v>
      </c>
      <c r="D14" s="162" t="s">
        <v>6</v>
      </c>
      <c r="E14" s="157"/>
      <c r="F14" s="157"/>
      <c r="G14" s="157"/>
      <c r="H14" s="158"/>
      <c r="I14" s="12" t="s">
        <v>7</v>
      </c>
      <c r="J14" s="8"/>
      <c r="K14" s="8"/>
      <c r="L14" s="7"/>
      <c r="M14" s="7"/>
      <c r="N14" s="8"/>
      <c r="O14" s="8"/>
      <c r="P14" s="8"/>
      <c r="Q14" s="7"/>
      <c r="R14" s="7"/>
      <c r="S14" s="9"/>
      <c r="AF14" s="105"/>
    </row>
    <row r="15" spans="1:32" ht="15.75">
      <c r="A15" s="6"/>
      <c r="B15" s="7"/>
      <c r="C15" s="10" t="s">
        <v>8</v>
      </c>
      <c r="D15" s="162" t="s">
        <v>9</v>
      </c>
      <c r="E15" s="157"/>
      <c r="F15" s="157"/>
      <c r="G15" s="157"/>
      <c r="H15" s="158"/>
      <c r="I15" s="12" t="s">
        <v>7</v>
      </c>
      <c r="J15" s="8"/>
      <c r="K15" s="8"/>
      <c r="L15" s="7"/>
      <c r="M15" s="7"/>
      <c r="N15" s="8"/>
      <c r="O15" s="8"/>
      <c r="P15" s="8"/>
      <c r="Q15" s="7"/>
      <c r="R15" s="7"/>
      <c r="S15" s="9"/>
      <c r="AF15" s="105"/>
    </row>
    <row r="16" spans="1:32" ht="60">
      <c r="A16" s="6"/>
      <c r="B16" s="7"/>
      <c r="C16" s="10" t="s">
        <v>10</v>
      </c>
      <c r="D16" s="162" t="s">
        <v>11</v>
      </c>
      <c r="E16" s="157"/>
      <c r="F16" s="157"/>
      <c r="G16" s="157"/>
      <c r="H16" s="158"/>
      <c r="I16" s="13" t="s">
        <v>12</v>
      </c>
      <c r="J16" s="8"/>
      <c r="K16" s="8"/>
      <c r="L16" s="7"/>
      <c r="M16" s="7"/>
      <c r="N16" s="8"/>
      <c r="O16" s="8"/>
      <c r="P16" s="8"/>
      <c r="Q16" s="7"/>
      <c r="R16" s="7"/>
      <c r="S16" s="9"/>
      <c r="AF16" s="105"/>
    </row>
    <row r="17" spans="1:32" ht="15.75">
      <c r="A17" s="6"/>
      <c r="B17" s="7"/>
      <c r="C17" s="10" t="s">
        <v>13</v>
      </c>
      <c r="D17" s="162" t="s">
        <v>14</v>
      </c>
      <c r="E17" s="157"/>
      <c r="F17" s="157"/>
      <c r="G17" s="157"/>
      <c r="H17" s="158"/>
      <c r="I17" s="12" t="s">
        <v>7</v>
      </c>
      <c r="J17" s="8"/>
      <c r="K17" s="8"/>
      <c r="L17" s="7"/>
      <c r="M17" s="7"/>
      <c r="N17" s="8"/>
      <c r="O17" s="8"/>
      <c r="P17" s="8"/>
      <c r="Q17" s="7"/>
      <c r="R17" s="7"/>
      <c r="S17" s="9"/>
      <c r="AF17" s="105"/>
    </row>
    <row r="18" spans="1:32" ht="15.75">
      <c r="A18" s="14"/>
      <c r="B18" s="14"/>
      <c r="C18" s="10" t="s">
        <v>15</v>
      </c>
      <c r="D18" s="162" t="s">
        <v>16</v>
      </c>
      <c r="E18" s="157"/>
      <c r="F18" s="157"/>
      <c r="G18" s="157"/>
      <c r="H18" s="158"/>
      <c r="I18" s="12" t="s">
        <v>7</v>
      </c>
      <c r="J18" s="8"/>
      <c r="K18" s="8"/>
      <c r="L18" s="7"/>
      <c r="M18" s="7"/>
      <c r="N18" s="8"/>
      <c r="O18" s="8"/>
      <c r="P18" s="8"/>
      <c r="Q18" s="7"/>
      <c r="R18" s="7"/>
      <c r="S18" s="9"/>
      <c r="AF18" s="105"/>
    </row>
    <row r="19" spans="1:32" ht="15.75" hidden="1">
      <c r="A19" s="15"/>
      <c r="B19" s="16"/>
      <c r="C19" s="10" t="s">
        <v>17</v>
      </c>
      <c r="D19" s="162"/>
      <c r="E19" s="157"/>
      <c r="F19" s="157"/>
      <c r="G19" s="157"/>
      <c r="H19" s="158"/>
      <c r="I19" s="11"/>
      <c r="J19" s="8"/>
      <c r="K19" s="8"/>
      <c r="L19" s="7"/>
      <c r="M19" s="7"/>
      <c r="N19" s="8"/>
      <c r="O19" s="8"/>
      <c r="P19" s="8"/>
      <c r="Q19" s="7"/>
      <c r="R19" s="7"/>
      <c r="S19" s="9"/>
      <c r="AF19" s="105"/>
    </row>
    <row r="20" spans="1:32" ht="15.75">
      <c r="C20" s="10" t="s">
        <v>17</v>
      </c>
      <c r="D20" s="162" t="s">
        <v>18</v>
      </c>
      <c r="E20" s="157"/>
      <c r="F20" s="157"/>
      <c r="G20" s="157"/>
      <c r="H20" s="158"/>
      <c r="I20" s="12" t="s">
        <v>7</v>
      </c>
      <c r="J20" s="8"/>
      <c r="K20" s="8"/>
      <c r="L20" s="7"/>
      <c r="M20" s="7"/>
      <c r="N20" s="8"/>
      <c r="O20" s="8"/>
      <c r="P20" s="8"/>
      <c r="Q20" s="7"/>
      <c r="R20" s="7"/>
      <c r="S20" s="9"/>
      <c r="AF20" s="105"/>
    </row>
    <row r="21" spans="1:32" ht="15.75">
      <c r="A21" s="17"/>
      <c r="B21" s="169" t="s">
        <v>19</v>
      </c>
      <c r="C21" s="10" t="s">
        <v>20</v>
      </c>
      <c r="D21" s="162" t="s">
        <v>21</v>
      </c>
      <c r="E21" s="157"/>
      <c r="F21" s="157"/>
      <c r="G21" s="157"/>
      <c r="H21" s="158"/>
      <c r="I21" s="12" t="s">
        <v>7</v>
      </c>
      <c r="K21" s="8"/>
      <c r="L21" s="7"/>
      <c r="M21" s="7"/>
      <c r="N21" s="8"/>
      <c r="O21" s="8"/>
      <c r="P21" s="8"/>
      <c r="Q21" s="7"/>
      <c r="R21" s="7"/>
      <c r="S21" s="9"/>
      <c r="AF21" s="105"/>
    </row>
    <row r="22" spans="1:32" ht="15.75">
      <c r="A22" s="17"/>
      <c r="B22" s="170"/>
      <c r="C22" s="10" t="s">
        <v>22</v>
      </c>
      <c r="D22" s="162" t="s">
        <v>23</v>
      </c>
      <c r="E22" s="157"/>
      <c r="F22" s="157"/>
      <c r="G22" s="157"/>
      <c r="H22" s="158"/>
      <c r="I22" s="12" t="s">
        <v>7</v>
      </c>
      <c r="J22" s="8"/>
      <c r="K22" s="8"/>
      <c r="L22" s="7"/>
      <c r="M22" s="7"/>
      <c r="N22" s="8"/>
      <c r="O22" s="8"/>
      <c r="P22" s="8"/>
      <c r="Q22" s="7"/>
      <c r="R22" s="7"/>
      <c r="S22" s="9"/>
      <c r="AF22" s="105"/>
    </row>
    <row r="23" spans="1:32" ht="15.75">
      <c r="A23" s="18"/>
      <c r="B23" s="171" t="s">
        <v>24</v>
      </c>
      <c r="C23" s="10" t="s">
        <v>25</v>
      </c>
      <c r="D23" s="162" t="s">
        <v>384</v>
      </c>
      <c r="E23" s="157"/>
      <c r="F23" s="157"/>
      <c r="G23" s="157"/>
      <c r="H23" s="158"/>
      <c r="I23" s="12" t="s">
        <v>7</v>
      </c>
      <c r="J23" s="8"/>
      <c r="K23" s="8"/>
      <c r="L23" s="7"/>
      <c r="M23" s="7"/>
      <c r="N23" s="8"/>
      <c r="O23" s="8"/>
      <c r="P23" s="8"/>
      <c r="Q23" s="7"/>
      <c r="R23" s="7"/>
      <c r="S23" s="9"/>
      <c r="AF23" s="105"/>
    </row>
    <row r="24" spans="1:32" ht="31.5">
      <c r="A24" s="18"/>
      <c r="B24" s="172"/>
      <c r="C24" s="10" t="s">
        <v>27</v>
      </c>
      <c r="D24" s="162" t="s">
        <v>385</v>
      </c>
      <c r="E24" s="157"/>
      <c r="F24" s="157"/>
      <c r="G24" s="157"/>
      <c r="H24" s="158"/>
      <c r="I24" s="12" t="s">
        <v>7</v>
      </c>
      <c r="J24" s="8"/>
      <c r="K24" s="8"/>
      <c r="L24" s="7"/>
      <c r="M24" s="7"/>
      <c r="N24" s="8"/>
      <c r="O24" s="8"/>
      <c r="P24" s="8"/>
      <c r="Q24" s="7"/>
      <c r="R24" s="7"/>
      <c r="S24" s="9"/>
      <c r="AF24" s="105"/>
    </row>
    <row r="25" spans="1:32" ht="15.75">
      <c r="A25" s="18"/>
      <c r="B25" s="171" t="s">
        <v>29</v>
      </c>
      <c r="C25" s="10" t="s">
        <v>30</v>
      </c>
      <c r="D25" s="162" t="s">
        <v>386</v>
      </c>
      <c r="E25" s="157"/>
      <c r="F25" s="157"/>
      <c r="G25" s="157"/>
      <c r="H25" s="158"/>
      <c r="I25" s="12" t="s">
        <v>7</v>
      </c>
      <c r="J25" s="8"/>
      <c r="K25" s="8"/>
      <c r="L25" s="7"/>
      <c r="M25" s="7"/>
      <c r="N25" s="8"/>
      <c r="O25" s="8"/>
      <c r="P25" s="8"/>
      <c r="Q25" s="7"/>
      <c r="R25" s="7"/>
      <c r="S25" s="9"/>
      <c r="AF25" s="105"/>
    </row>
    <row r="26" spans="1:32" ht="15.75">
      <c r="A26" s="18"/>
      <c r="B26" s="170"/>
      <c r="C26" s="10" t="s">
        <v>32</v>
      </c>
      <c r="D26" s="162" t="s">
        <v>387</v>
      </c>
      <c r="E26" s="157"/>
      <c r="F26" s="157"/>
      <c r="G26" s="157"/>
      <c r="H26" s="158"/>
      <c r="I26" s="12" t="s">
        <v>7</v>
      </c>
      <c r="J26" s="8"/>
      <c r="K26" s="8"/>
      <c r="L26" s="7"/>
      <c r="M26" s="7"/>
      <c r="N26" s="8"/>
      <c r="O26" s="8"/>
      <c r="P26" s="8"/>
      <c r="Q26" s="7"/>
      <c r="R26" s="7"/>
      <c r="S26" s="9"/>
      <c r="AF26" s="105"/>
    </row>
    <row r="27" spans="1:32" ht="15.75">
      <c r="A27" s="18"/>
      <c r="B27" s="170"/>
      <c r="C27" s="10" t="s">
        <v>34</v>
      </c>
      <c r="D27" s="162" t="s">
        <v>388</v>
      </c>
      <c r="E27" s="157"/>
      <c r="F27" s="157"/>
      <c r="G27" s="157"/>
      <c r="H27" s="158"/>
      <c r="I27" s="12" t="s">
        <v>7</v>
      </c>
      <c r="J27" s="8"/>
      <c r="K27" s="8"/>
      <c r="L27" s="7"/>
      <c r="M27" s="7"/>
      <c r="N27" s="8"/>
      <c r="O27" s="8"/>
      <c r="P27" s="8"/>
      <c r="Q27" s="7"/>
      <c r="R27" s="7"/>
      <c r="S27" s="9"/>
      <c r="AF27" s="105"/>
    </row>
    <row r="28" spans="1:32" ht="16.5">
      <c r="A28" s="18"/>
      <c r="B28" s="170"/>
      <c r="C28" s="10" t="s">
        <v>36</v>
      </c>
      <c r="D28" s="176" t="s">
        <v>389</v>
      </c>
      <c r="E28" s="157"/>
      <c r="F28" s="157"/>
      <c r="G28" s="157"/>
      <c r="H28" s="158"/>
      <c r="I28" s="7"/>
      <c r="J28" s="8"/>
      <c r="K28" s="8"/>
      <c r="L28" s="7"/>
      <c r="M28" s="7"/>
      <c r="N28" s="8"/>
      <c r="O28" s="19"/>
      <c r="P28" s="19"/>
      <c r="Q28" s="7"/>
      <c r="R28" s="7"/>
      <c r="S28" s="9"/>
      <c r="AF28" s="105"/>
    </row>
    <row r="29" spans="1:32" ht="31.5">
      <c r="A29" s="14"/>
      <c r="B29" s="14"/>
      <c r="C29" s="10" t="s">
        <v>38</v>
      </c>
      <c r="D29" s="163" t="s">
        <v>39</v>
      </c>
      <c r="E29" s="157"/>
      <c r="F29" s="157"/>
      <c r="G29" s="157"/>
      <c r="H29" s="157"/>
      <c r="I29" s="7"/>
      <c r="J29" s="8"/>
      <c r="K29" s="8"/>
      <c r="L29" s="7"/>
      <c r="M29" s="7"/>
      <c r="N29" s="8"/>
      <c r="O29" s="19"/>
      <c r="P29" s="19"/>
      <c r="Q29" s="7"/>
      <c r="R29" s="7"/>
      <c r="S29" s="9"/>
      <c r="AF29" s="105"/>
    </row>
    <row r="30" spans="1:32" ht="15.75">
      <c r="A30" s="14"/>
      <c r="B30" s="14"/>
      <c r="C30" s="20" t="s">
        <v>40</v>
      </c>
      <c r="D30" s="165"/>
      <c r="E30" s="157"/>
      <c r="F30" s="157"/>
      <c r="G30" s="157"/>
      <c r="H30" s="158"/>
      <c r="I30" s="11"/>
      <c r="J30" s="8"/>
      <c r="K30" s="8"/>
      <c r="L30" s="7"/>
      <c r="M30" s="7"/>
      <c r="N30" s="8"/>
      <c r="O30" s="8"/>
      <c r="P30" s="8"/>
      <c r="Q30" s="7"/>
      <c r="R30" s="7"/>
      <c r="S30" s="9"/>
      <c r="AF30" s="105"/>
    </row>
    <row r="31" spans="1:32" ht="15.75">
      <c r="A31" s="6"/>
      <c r="B31" s="7"/>
      <c r="C31" s="7"/>
      <c r="D31" s="21"/>
      <c r="E31" s="21"/>
      <c r="F31" s="21"/>
      <c r="G31" s="21"/>
      <c r="H31" s="21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9"/>
      <c r="AF31" s="105"/>
    </row>
    <row r="32" spans="1:32" ht="63">
      <c r="A32" s="24"/>
      <c r="B32" s="25" t="s">
        <v>42</v>
      </c>
      <c r="C32" s="26" t="s">
        <v>43</v>
      </c>
      <c r="D32" s="20" t="s">
        <v>44</v>
      </c>
      <c r="E32" s="20" t="s">
        <v>45</v>
      </c>
      <c r="F32" s="20" t="s">
        <v>46</v>
      </c>
      <c r="G32" s="20" t="s">
        <v>47</v>
      </c>
      <c r="H32" s="20" t="s">
        <v>48</v>
      </c>
      <c r="I32" s="20" t="s">
        <v>49</v>
      </c>
      <c r="J32" s="27" t="s">
        <v>50</v>
      </c>
      <c r="K32" s="27" t="s">
        <v>51</v>
      </c>
      <c r="L32" s="20" t="s">
        <v>52</v>
      </c>
      <c r="M32" s="20" t="s">
        <v>53</v>
      </c>
      <c r="N32" s="27" t="s">
        <v>54</v>
      </c>
      <c r="O32" s="27" t="s">
        <v>55</v>
      </c>
      <c r="P32" s="27" t="s">
        <v>56</v>
      </c>
      <c r="Q32" s="20" t="s">
        <v>57</v>
      </c>
      <c r="R32" s="20" t="s">
        <v>58</v>
      </c>
      <c r="S32" s="28" t="s">
        <v>59</v>
      </c>
      <c r="T32" s="29" t="s">
        <v>60</v>
      </c>
      <c r="U32" s="29" t="s">
        <v>61</v>
      </c>
      <c r="V32" s="29" t="s">
        <v>62</v>
      </c>
      <c r="W32" s="29" t="s">
        <v>63</v>
      </c>
      <c r="X32" s="29" t="s">
        <v>64</v>
      </c>
      <c r="Y32" s="29" t="s">
        <v>65</v>
      </c>
      <c r="Z32" s="29" t="s">
        <v>66</v>
      </c>
      <c r="AA32" s="29" t="s">
        <v>67</v>
      </c>
      <c r="AB32" s="29" t="s">
        <v>68</v>
      </c>
      <c r="AC32" s="29" t="s">
        <v>69</v>
      </c>
      <c r="AD32" s="29" t="s">
        <v>70</v>
      </c>
      <c r="AE32" s="30" t="s">
        <v>71</v>
      </c>
      <c r="AF32" s="113" t="s">
        <v>72</v>
      </c>
    </row>
    <row r="33" spans="1:32" ht="356.25">
      <c r="B33" s="7"/>
      <c r="C33" s="10" t="s">
        <v>74</v>
      </c>
      <c r="D33" s="31" t="s">
        <v>75</v>
      </c>
      <c r="E33" s="31" t="s">
        <v>76</v>
      </c>
      <c r="F33" s="31" t="s">
        <v>77</v>
      </c>
      <c r="G33" s="32" t="s">
        <v>78</v>
      </c>
      <c r="H33" s="32" t="s">
        <v>79</v>
      </c>
      <c r="I33" s="31" t="s">
        <v>80</v>
      </c>
      <c r="J33" s="33" t="s">
        <v>81</v>
      </c>
      <c r="K33" s="33" t="s">
        <v>82</v>
      </c>
      <c r="L33" s="32" t="s">
        <v>83</v>
      </c>
      <c r="M33" s="32" t="s">
        <v>84</v>
      </c>
      <c r="N33" s="34" t="s">
        <v>85</v>
      </c>
      <c r="O33" s="106">
        <f>(SUMIFS(O35:O60,A35:A60,"FIN"))+SUMIFS(O35:O60,A35:A60,"FIN/PROPÓSITO")</f>
        <v>37731</v>
      </c>
      <c r="P33" s="36"/>
      <c r="Q33" s="31" t="s">
        <v>86</v>
      </c>
      <c r="R33" s="31" t="s">
        <v>87</v>
      </c>
      <c r="S33" s="177"/>
      <c r="T33" s="178"/>
      <c r="U33" s="178"/>
      <c r="V33" s="178"/>
      <c r="W33" s="178"/>
      <c r="X33" s="178"/>
      <c r="Y33" s="178"/>
      <c r="Z33" s="178"/>
      <c r="AA33" s="178"/>
      <c r="AB33" s="178"/>
      <c r="AC33" s="178"/>
      <c r="AD33" s="178"/>
      <c r="AE33" s="107">
        <v>16689</v>
      </c>
      <c r="AF33" s="114"/>
    </row>
    <row r="34" spans="1:32" ht="199.5">
      <c r="B34" s="38" t="s">
        <v>7</v>
      </c>
      <c r="C34" s="10" t="s">
        <v>88</v>
      </c>
      <c r="D34" s="31" t="s">
        <v>89</v>
      </c>
      <c r="E34" s="31" t="s">
        <v>90</v>
      </c>
      <c r="F34" s="31" t="s">
        <v>91</v>
      </c>
      <c r="G34" s="32" t="s">
        <v>92</v>
      </c>
      <c r="H34" s="32" t="s">
        <v>79</v>
      </c>
      <c r="I34" s="31" t="s">
        <v>93</v>
      </c>
      <c r="J34" s="39" t="s">
        <v>94</v>
      </c>
      <c r="K34" s="40" t="s">
        <v>95</v>
      </c>
      <c r="L34" s="32" t="s">
        <v>83</v>
      </c>
      <c r="M34" s="32" t="s">
        <v>84</v>
      </c>
      <c r="N34" s="34" t="s">
        <v>85</v>
      </c>
      <c r="O34" s="106">
        <f>(SUMIFS(O35:O60,A35:A60,"PROPÓSITO"))+SUMIFS(O35:O60,A35:A60,"FIN/PROPÓSITO")</f>
        <v>1503807</v>
      </c>
      <c r="P34" s="36"/>
      <c r="Q34" s="31" t="s">
        <v>96</v>
      </c>
      <c r="R34" s="31" t="s">
        <v>97</v>
      </c>
      <c r="S34" s="177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41">
        <v>115202</v>
      </c>
      <c r="AF34" s="114"/>
    </row>
    <row r="35" spans="1:32" ht="199.5">
      <c r="B35" s="43" t="s">
        <v>98</v>
      </c>
      <c r="C35" s="44" t="s">
        <v>99</v>
      </c>
      <c r="D35" s="31" t="s">
        <v>100</v>
      </c>
      <c r="E35" s="31" t="s">
        <v>390</v>
      </c>
      <c r="F35" s="31" t="s">
        <v>391</v>
      </c>
      <c r="G35" s="31" t="s">
        <v>103</v>
      </c>
      <c r="H35" s="31" t="s">
        <v>79</v>
      </c>
      <c r="I35" s="31" t="s">
        <v>392</v>
      </c>
      <c r="J35" s="33" t="s">
        <v>393</v>
      </c>
      <c r="K35" s="33">
        <v>9</v>
      </c>
      <c r="L35" s="31" t="s">
        <v>107</v>
      </c>
      <c r="M35" s="31" t="s">
        <v>108</v>
      </c>
      <c r="N35" s="31" t="s">
        <v>85</v>
      </c>
      <c r="O35" s="108">
        <v>0.9</v>
      </c>
      <c r="P35" s="36"/>
      <c r="Q35" s="31" t="s">
        <v>86</v>
      </c>
      <c r="R35" s="31" t="s">
        <v>109</v>
      </c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46"/>
      <c r="AF35" s="115"/>
    </row>
    <row r="36" spans="1:32" ht="156.75">
      <c r="A36" s="116" t="s">
        <v>74</v>
      </c>
      <c r="B36" s="117"/>
      <c r="C36" s="118" t="s">
        <v>110</v>
      </c>
      <c r="D36" s="119" t="s">
        <v>111</v>
      </c>
      <c r="E36" s="120" t="s">
        <v>112</v>
      </c>
      <c r="F36" s="119" t="s">
        <v>113</v>
      </c>
      <c r="G36" s="121" t="s">
        <v>103</v>
      </c>
      <c r="H36" s="121" t="s">
        <v>114</v>
      </c>
      <c r="I36" s="120" t="s">
        <v>115</v>
      </c>
      <c r="J36" s="122" t="s">
        <v>116</v>
      </c>
      <c r="K36" s="123" t="s">
        <v>117</v>
      </c>
      <c r="L36" s="119" t="s">
        <v>107</v>
      </c>
      <c r="M36" s="124" t="s">
        <v>108</v>
      </c>
      <c r="N36" s="119">
        <v>517</v>
      </c>
      <c r="O36" s="119">
        <v>7450</v>
      </c>
      <c r="P36" s="125"/>
      <c r="Q36" s="126" t="s">
        <v>118</v>
      </c>
      <c r="R36" s="119" t="s">
        <v>119</v>
      </c>
      <c r="S36" s="119">
        <f ca="1">IFERROR(__xludf.DUMMYFUNCTION("ARRAYFORMULA( VALUE( QUERY((importrange(""1HfDWOOQtW2DmR4T-abQKe-72fB53-8dilSd0l7oSiPQ"",""TOTALES!E2:P3"")),""Select*"",1)))"),0)</f>
        <v>0</v>
      </c>
      <c r="T36" s="119">
        <f ca="1">IFERROR(__xludf.DUMMYFUNCTION("""COMPUTED_VALUE"""),6)</f>
        <v>6</v>
      </c>
      <c r="U36" s="119">
        <f ca="1">IFERROR(__xludf.DUMMYFUNCTION("""COMPUTED_VALUE"""),457)</f>
        <v>457</v>
      </c>
      <c r="V36" s="119">
        <f ca="1">IFERROR(__xludf.DUMMYFUNCTION("""COMPUTED_VALUE"""),1019)</f>
        <v>1019</v>
      </c>
      <c r="W36" s="119">
        <f ca="1">IFERROR(__xludf.DUMMYFUNCTION("""COMPUTED_VALUE"""),729)</f>
        <v>729</v>
      </c>
      <c r="X36" s="119">
        <f ca="1">IFERROR(__xludf.DUMMYFUNCTION("""COMPUTED_VALUE"""),352)</f>
        <v>352</v>
      </c>
      <c r="Y36" s="119">
        <f ca="1">IFERROR(__xludf.DUMMYFUNCTION("""COMPUTED_VALUE"""),1087)</f>
        <v>1087</v>
      </c>
      <c r="Z36" s="119">
        <f ca="1">IFERROR(__xludf.DUMMYFUNCTION("""COMPUTED_VALUE"""),796)</f>
        <v>796</v>
      </c>
      <c r="AA36" s="119">
        <f ca="1">IFERROR(__xludf.DUMMYFUNCTION("""COMPUTED_VALUE"""),739)</f>
        <v>739</v>
      </c>
      <c r="AB36" s="119">
        <f ca="1">IFERROR(__xludf.DUMMYFUNCTION("""COMPUTED_VALUE"""),0)</f>
        <v>0</v>
      </c>
      <c r="AC36" s="119">
        <f ca="1">IFERROR(__xludf.DUMMYFUNCTION("""COMPUTED_VALUE"""),0)</f>
        <v>0</v>
      </c>
      <c r="AD36" s="119">
        <f ca="1">IFERROR(__xludf.DUMMYFUNCTION("""COMPUTED_VALUE"""),0)</f>
        <v>0</v>
      </c>
      <c r="AE36" s="127">
        <f t="shared" ref="AE36:AE60" ca="1" si="0">SUM(S36:U36)</f>
        <v>463</v>
      </c>
      <c r="AF36" s="115">
        <f ca="1">AE36/O36</f>
        <v>6.2147651006711407E-2</v>
      </c>
    </row>
    <row r="37" spans="1:32" ht="142.5">
      <c r="A37" s="55" t="s">
        <v>88</v>
      </c>
      <c r="B37" s="48"/>
      <c r="C37" s="49" t="s">
        <v>120</v>
      </c>
      <c r="D37" s="31" t="s">
        <v>121</v>
      </c>
      <c r="E37" s="31" t="s">
        <v>122</v>
      </c>
      <c r="F37" s="31" t="s">
        <v>123</v>
      </c>
      <c r="G37" s="51" t="s">
        <v>103</v>
      </c>
      <c r="H37" s="51" t="s">
        <v>114</v>
      </c>
      <c r="I37" s="31" t="s">
        <v>124</v>
      </c>
      <c r="J37" s="52" t="s">
        <v>125</v>
      </c>
      <c r="K37" s="33" t="s">
        <v>126</v>
      </c>
      <c r="L37" s="31" t="s">
        <v>107</v>
      </c>
      <c r="M37" s="56" t="s">
        <v>108</v>
      </c>
      <c r="N37" s="31">
        <v>925</v>
      </c>
      <c r="O37" s="63">
        <v>640</v>
      </c>
      <c r="P37" s="54"/>
      <c r="Q37" s="31" t="s">
        <v>127</v>
      </c>
      <c r="R37" s="31" t="s">
        <v>128</v>
      </c>
      <c r="S37" s="31">
        <f ca="1">IFERROR(__xludf.DUMMYFUNCTION("""COMPUTED_VALUE"""),50)</f>
        <v>50</v>
      </c>
      <c r="T37" s="31">
        <f ca="1">IFERROR(__xludf.DUMMYFUNCTION("""COMPUTED_VALUE"""),48)</f>
        <v>48</v>
      </c>
      <c r="U37" s="31">
        <f ca="1">IFERROR(__xludf.DUMMYFUNCTION("""COMPUTED_VALUE"""),55)</f>
        <v>55</v>
      </c>
      <c r="V37" s="31">
        <f ca="1">IFERROR(__xludf.DUMMYFUNCTION("""COMPUTED_VALUE"""),13)</f>
        <v>13</v>
      </c>
      <c r="W37" s="31">
        <f ca="1">IFERROR(__xludf.DUMMYFUNCTION("""COMPUTED_VALUE"""),46)</f>
        <v>46</v>
      </c>
      <c r="X37" s="31">
        <f ca="1">IFERROR(__xludf.DUMMYFUNCTION("""COMPUTED_VALUE"""),44)</f>
        <v>44</v>
      </c>
      <c r="Y37" s="31">
        <f ca="1">IFERROR(__xludf.DUMMYFUNCTION("""COMPUTED_VALUE"""),715)</f>
        <v>715</v>
      </c>
      <c r="Z37" s="31">
        <f ca="1">IFERROR(__xludf.DUMMYFUNCTION("""COMPUTED_VALUE"""),77)</f>
        <v>77</v>
      </c>
      <c r="AA37" s="31">
        <f ca="1">IFERROR(__xludf.DUMMYFUNCTION("""COMPUTED_VALUE"""),432)</f>
        <v>432</v>
      </c>
      <c r="AB37" s="31">
        <f ca="1">IFERROR(__xludf.DUMMYFUNCTION("""COMPUTED_VALUE"""),0)</f>
        <v>0</v>
      </c>
      <c r="AC37" s="31">
        <f ca="1">IFERROR(__xludf.DUMMYFUNCTION("""COMPUTED_VALUE"""),0)</f>
        <v>0</v>
      </c>
      <c r="AD37" s="31">
        <f ca="1">IFERROR(__xludf.DUMMYFUNCTION("""COMPUTED_VALUE"""),0)</f>
        <v>0</v>
      </c>
      <c r="AE37" s="46">
        <f t="shared" ca="1" si="0"/>
        <v>153</v>
      </c>
      <c r="AF37" s="115"/>
    </row>
    <row r="38" spans="1:32" ht="114">
      <c r="A38" s="128" t="s">
        <v>129</v>
      </c>
      <c r="B38" s="117"/>
      <c r="C38" s="118" t="s">
        <v>130</v>
      </c>
      <c r="D38" s="119" t="s">
        <v>131</v>
      </c>
      <c r="E38" s="119" t="s">
        <v>132</v>
      </c>
      <c r="F38" s="119" t="s">
        <v>133</v>
      </c>
      <c r="G38" s="121" t="s">
        <v>103</v>
      </c>
      <c r="H38" s="121" t="s">
        <v>114</v>
      </c>
      <c r="I38" s="120" t="s">
        <v>134</v>
      </c>
      <c r="J38" s="129" t="s">
        <v>135</v>
      </c>
      <c r="K38" s="129" t="s">
        <v>136</v>
      </c>
      <c r="L38" s="119" t="s">
        <v>107</v>
      </c>
      <c r="M38" s="130" t="s">
        <v>108</v>
      </c>
      <c r="N38" s="119">
        <v>10405</v>
      </c>
      <c r="O38" s="131">
        <v>5000</v>
      </c>
      <c r="P38" s="125"/>
      <c r="Q38" s="119" t="s">
        <v>137</v>
      </c>
      <c r="R38" s="119" t="s">
        <v>138</v>
      </c>
      <c r="S38" s="119">
        <f ca="1">IFERROR(__xludf.DUMMYFUNCTION("ARRAYFORMULA(VALUE( QUERY((importrange(""183F2AksfiZ8wFAC_Zhgx5YEVRtSTOaCQywT9_8D0DU8"",""TOTALES!E2:P2"")),""Select*"",1)))"),1086)</f>
        <v>1086</v>
      </c>
      <c r="T38" s="119">
        <f ca="1">IFERROR(__xludf.DUMMYFUNCTION("""COMPUTED_VALUE"""),1126)</f>
        <v>1126</v>
      </c>
      <c r="U38" s="119">
        <f ca="1">IFERROR(__xludf.DUMMYFUNCTION("""COMPUTED_VALUE"""),1236)</f>
        <v>1236</v>
      </c>
      <c r="V38" s="119">
        <f ca="1">IFERROR(__xludf.DUMMYFUNCTION("""COMPUTED_VALUE"""),667)</f>
        <v>667</v>
      </c>
      <c r="W38" s="119">
        <f ca="1">IFERROR(__xludf.DUMMYFUNCTION("""COMPUTED_VALUE"""),916)</f>
        <v>916</v>
      </c>
      <c r="X38" s="119">
        <f ca="1">IFERROR(__xludf.DUMMYFUNCTION("""COMPUTED_VALUE"""),981)</f>
        <v>981</v>
      </c>
      <c r="Y38" s="119">
        <f ca="1">IFERROR(__xludf.DUMMYFUNCTION("""COMPUTED_VALUE"""),966)</f>
        <v>966</v>
      </c>
      <c r="Z38" s="119">
        <f ca="1">IFERROR(__xludf.DUMMYFUNCTION("""COMPUTED_VALUE"""),933)</f>
        <v>933</v>
      </c>
      <c r="AA38" s="119">
        <f ca="1">IFERROR(__xludf.DUMMYFUNCTION("""COMPUTED_VALUE"""),1132)</f>
        <v>1132</v>
      </c>
      <c r="AB38" s="119">
        <f ca="1">IFERROR(__xludf.DUMMYFUNCTION("""COMPUTED_VALUE"""),0)</f>
        <v>0</v>
      </c>
      <c r="AC38" s="119">
        <f ca="1">IFERROR(__xludf.DUMMYFUNCTION("""COMPUTED_VALUE"""),0)</f>
        <v>0</v>
      </c>
      <c r="AD38" s="119">
        <f ca="1">IFERROR(__xludf.DUMMYFUNCTION("""COMPUTED_VALUE"""),0)</f>
        <v>0</v>
      </c>
      <c r="AE38" s="127">
        <f t="shared" ca="1" si="0"/>
        <v>3448</v>
      </c>
      <c r="AF38" s="115">
        <f t="shared" ref="AF38:AF39" ca="1" si="1">AE38/O38</f>
        <v>0.68959999999999999</v>
      </c>
    </row>
    <row r="39" spans="1:32" ht="199.5">
      <c r="A39" s="132" t="s">
        <v>74</v>
      </c>
      <c r="B39" s="133"/>
      <c r="C39" s="134" t="s">
        <v>139</v>
      </c>
      <c r="D39" s="31" t="s">
        <v>140</v>
      </c>
      <c r="E39" s="31" t="s">
        <v>141</v>
      </c>
      <c r="F39" s="31" t="s">
        <v>142</v>
      </c>
      <c r="G39" s="51" t="s">
        <v>103</v>
      </c>
      <c r="H39" s="51" t="s">
        <v>114</v>
      </c>
      <c r="I39" s="50" t="s">
        <v>143</v>
      </c>
      <c r="J39" s="40" t="s">
        <v>144</v>
      </c>
      <c r="K39" s="40" t="s">
        <v>145</v>
      </c>
      <c r="L39" s="31" t="s">
        <v>107</v>
      </c>
      <c r="M39" s="56" t="s">
        <v>108</v>
      </c>
      <c r="N39" s="61">
        <v>9826</v>
      </c>
      <c r="O39" s="61">
        <v>8791</v>
      </c>
      <c r="P39" s="36"/>
      <c r="Q39" s="50" t="s">
        <v>118</v>
      </c>
      <c r="R39" s="31" t="s">
        <v>146</v>
      </c>
      <c r="S39" s="31">
        <f ca="1">IFERROR(__xludf.DUMMYFUNCTION("ARRAYFORMULA(VALUE(QUERY((importrange(""19FdkI7aaBMumczpCHOxlMxTmd_2Wbxy3XvDOYImbjW8"",""TOTALES!E2:P5"")),""Select*"",1)))"),0)</f>
        <v>0</v>
      </c>
      <c r="T39" s="31">
        <f ca="1">IFERROR(__xludf.DUMMYFUNCTION("""COMPUTED_VALUE"""),0)</f>
        <v>0</v>
      </c>
      <c r="U39" s="31">
        <f ca="1">IFERROR(__xludf.DUMMYFUNCTION("""COMPUTED_VALUE"""),2526)</f>
        <v>2526</v>
      </c>
      <c r="V39" s="31">
        <f ca="1">IFERROR(__xludf.DUMMYFUNCTION("""COMPUTED_VALUE"""),6265)</f>
        <v>6265</v>
      </c>
      <c r="W39" s="31">
        <f ca="1">IFERROR(__xludf.DUMMYFUNCTION("""COMPUTED_VALUE"""),0)</f>
        <v>0</v>
      </c>
      <c r="X39" s="31">
        <f ca="1">IFERROR(__xludf.DUMMYFUNCTION("""COMPUTED_VALUE"""),0)</f>
        <v>0</v>
      </c>
      <c r="Y39" s="31">
        <f ca="1">IFERROR(__xludf.DUMMYFUNCTION("""COMPUTED_VALUE"""),0)</f>
        <v>0</v>
      </c>
      <c r="Z39" s="31">
        <f ca="1">IFERROR(__xludf.DUMMYFUNCTION("""COMPUTED_VALUE"""),0)</f>
        <v>0</v>
      </c>
      <c r="AA39" s="31">
        <f ca="1">IFERROR(__xludf.DUMMYFUNCTION("""COMPUTED_VALUE"""),0)</f>
        <v>0</v>
      </c>
      <c r="AB39" s="31">
        <f ca="1">IFERROR(__xludf.DUMMYFUNCTION("""COMPUTED_VALUE"""),0)</f>
        <v>0</v>
      </c>
      <c r="AC39" s="31">
        <f ca="1">IFERROR(__xludf.DUMMYFUNCTION("""COMPUTED_VALUE"""),0)</f>
        <v>0</v>
      </c>
      <c r="AD39" s="31">
        <f ca="1">IFERROR(__xludf.DUMMYFUNCTION("""COMPUTED_VALUE"""),0)</f>
        <v>0</v>
      </c>
      <c r="AE39" s="46">
        <f t="shared" ca="1" si="0"/>
        <v>2526</v>
      </c>
      <c r="AF39" s="115">
        <f t="shared" ca="1" si="1"/>
        <v>0.28733932430895232</v>
      </c>
    </row>
    <row r="40" spans="1:32" ht="114">
      <c r="A40" s="128" t="s">
        <v>88</v>
      </c>
      <c r="B40" s="117"/>
      <c r="C40" s="118" t="s">
        <v>147</v>
      </c>
      <c r="D40" s="119" t="s">
        <v>148</v>
      </c>
      <c r="E40" s="119" t="s">
        <v>149</v>
      </c>
      <c r="F40" s="119" t="s">
        <v>150</v>
      </c>
      <c r="G40" s="121" t="s">
        <v>103</v>
      </c>
      <c r="H40" s="119" t="s">
        <v>114</v>
      </c>
      <c r="I40" s="120" t="s">
        <v>151</v>
      </c>
      <c r="J40" s="129" t="s">
        <v>152</v>
      </c>
      <c r="K40" s="129" t="s">
        <v>153</v>
      </c>
      <c r="L40" s="119" t="s">
        <v>107</v>
      </c>
      <c r="M40" s="135" t="s">
        <v>108</v>
      </c>
      <c r="N40" s="136">
        <v>1378450</v>
      </c>
      <c r="O40" s="131">
        <v>1190350</v>
      </c>
      <c r="P40" s="137"/>
      <c r="Q40" s="126" t="s">
        <v>154</v>
      </c>
      <c r="R40" s="119" t="s">
        <v>155</v>
      </c>
      <c r="S40" s="119">
        <f ca="1">IFERROR(__xludf.DUMMYFUNCTION("""COMPUTED_VALUE"""),0)</f>
        <v>0</v>
      </c>
      <c r="T40" s="119">
        <f ca="1">IFERROR(__xludf.DUMMYFUNCTION("""COMPUTED_VALUE"""),0)</f>
        <v>0</v>
      </c>
      <c r="U40" s="119">
        <f ca="1">IFERROR(__xludf.DUMMYFUNCTION("""COMPUTED_VALUE"""),0)</f>
        <v>0</v>
      </c>
      <c r="V40" s="119">
        <f ca="1">IFERROR(__xludf.DUMMYFUNCTION("""COMPUTED_VALUE"""),338310)</f>
        <v>338310</v>
      </c>
      <c r="W40" s="119">
        <f ca="1">IFERROR(__xludf.DUMMYFUNCTION("""COMPUTED_VALUE"""),175420)</f>
        <v>175420</v>
      </c>
      <c r="X40" s="119">
        <f ca="1">IFERROR(__xludf.DUMMYFUNCTION("""COMPUTED_VALUE"""),162890)</f>
        <v>162890</v>
      </c>
      <c r="Y40" s="119">
        <f ca="1">IFERROR(__xludf.DUMMYFUNCTION("""COMPUTED_VALUE"""),0)</f>
        <v>0</v>
      </c>
      <c r="Z40" s="119">
        <f ca="1">IFERROR(__xludf.DUMMYFUNCTION("""COMPUTED_VALUE"""),56385)</f>
        <v>56385</v>
      </c>
      <c r="AA40" s="119">
        <f ca="1">IFERROR(__xludf.DUMMYFUNCTION("""COMPUTED_VALUE"""),131565)</f>
        <v>131565</v>
      </c>
      <c r="AB40" s="119">
        <f ca="1">IFERROR(__xludf.DUMMYFUNCTION("""COMPUTED_VALUE"""),0)</f>
        <v>0</v>
      </c>
      <c r="AC40" s="119">
        <f ca="1">IFERROR(__xludf.DUMMYFUNCTION("""COMPUTED_VALUE"""),0)</f>
        <v>0</v>
      </c>
      <c r="AD40" s="119">
        <f ca="1">IFERROR(__xludf.DUMMYFUNCTION("""COMPUTED_VALUE"""),0)</f>
        <v>0</v>
      </c>
      <c r="AE40" s="127">
        <f t="shared" ca="1" si="0"/>
        <v>0</v>
      </c>
      <c r="AF40" s="138"/>
    </row>
    <row r="41" spans="1:32" ht="128.25">
      <c r="A41" s="55" t="s">
        <v>88</v>
      </c>
      <c r="B41" s="48"/>
      <c r="C41" s="49" t="s">
        <v>156</v>
      </c>
      <c r="D41" s="31" t="s">
        <v>157</v>
      </c>
      <c r="E41" s="31" t="s">
        <v>158</v>
      </c>
      <c r="F41" s="31" t="s">
        <v>159</v>
      </c>
      <c r="G41" s="51" t="s">
        <v>103</v>
      </c>
      <c r="H41" s="31" t="s">
        <v>114</v>
      </c>
      <c r="I41" s="50" t="s">
        <v>160</v>
      </c>
      <c r="J41" s="58" t="s">
        <v>152</v>
      </c>
      <c r="K41" s="58" t="s">
        <v>161</v>
      </c>
      <c r="L41" s="31" t="s">
        <v>107</v>
      </c>
      <c r="M41" s="62" t="s">
        <v>108</v>
      </c>
      <c r="N41" s="61">
        <v>26296</v>
      </c>
      <c r="O41" s="61">
        <v>26292</v>
      </c>
      <c r="P41" s="36"/>
      <c r="Q41" s="32" t="s">
        <v>154</v>
      </c>
      <c r="R41" s="31" t="s">
        <v>162</v>
      </c>
      <c r="S41" s="31">
        <f ca="1">IFERROR(__xludf.DUMMYFUNCTION("""COMPUTED_VALUE"""),0)</f>
        <v>0</v>
      </c>
      <c r="T41" s="31">
        <f ca="1">IFERROR(__xludf.DUMMYFUNCTION("""COMPUTED_VALUE"""),0)</f>
        <v>0</v>
      </c>
      <c r="U41" s="31">
        <f ca="1">IFERROR(__xludf.DUMMYFUNCTION("""COMPUTED_VALUE"""),6573)</f>
        <v>6573</v>
      </c>
      <c r="V41" s="31">
        <f ca="1">IFERROR(__xludf.DUMMYFUNCTION("""COMPUTED_VALUE"""),0)</f>
        <v>0</v>
      </c>
      <c r="W41" s="31">
        <f ca="1">IFERROR(__xludf.DUMMYFUNCTION("""COMPUTED_VALUE"""),4382)</f>
        <v>4382</v>
      </c>
      <c r="X41" s="31">
        <f ca="1">IFERROR(__xludf.DUMMYFUNCTION("""COMPUTED_VALUE"""),2191)</f>
        <v>2191</v>
      </c>
      <c r="Y41" s="31">
        <f ca="1">IFERROR(__xludf.DUMMYFUNCTION("""COMPUTED_VALUE"""),2322)</f>
        <v>2322</v>
      </c>
      <c r="Z41" s="31">
        <f ca="1">IFERROR(__xludf.DUMMYFUNCTION("""COMPUTED_VALUE"""),2322)</f>
        <v>2322</v>
      </c>
      <c r="AA41" s="31">
        <f ca="1">IFERROR(__xludf.DUMMYFUNCTION("""COMPUTED_VALUE"""),4644)</f>
        <v>4644</v>
      </c>
      <c r="AB41" s="31">
        <f ca="1">IFERROR(__xludf.DUMMYFUNCTION("""COMPUTED_VALUE"""),0)</f>
        <v>0</v>
      </c>
      <c r="AC41" s="31">
        <f ca="1">IFERROR(__xludf.DUMMYFUNCTION("""COMPUTED_VALUE"""),0)</f>
        <v>0</v>
      </c>
      <c r="AD41" s="31">
        <f ca="1">IFERROR(__xludf.DUMMYFUNCTION("""COMPUTED_VALUE"""),0)</f>
        <v>0</v>
      </c>
      <c r="AE41" s="46">
        <f t="shared" ca="1" si="0"/>
        <v>6573</v>
      </c>
      <c r="AF41" s="115"/>
    </row>
    <row r="42" spans="1:32" ht="156.75">
      <c r="A42" s="55" t="s">
        <v>88</v>
      </c>
      <c r="B42" s="48"/>
      <c r="C42" s="49" t="s">
        <v>163</v>
      </c>
      <c r="D42" s="31" t="s">
        <v>164</v>
      </c>
      <c r="E42" s="31" t="s">
        <v>165</v>
      </c>
      <c r="F42" s="31" t="s">
        <v>166</v>
      </c>
      <c r="G42" s="51" t="s">
        <v>103</v>
      </c>
      <c r="H42" s="31" t="s">
        <v>114</v>
      </c>
      <c r="I42" s="50" t="s">
        <v>151</v>
      </c>
      <c r="J42" s="58" t="s">
        <v>152</v>
      </c>
      <c r="K42" s="58" t="s">
        <v>153</v>
      </c>
      <c r="L42" s="31" t="s">
        <v>107</v>
      </c>
      <c r="M42" s="62" t="s">
        <v>108</v>
      </c>
      <c r="N42" s="63">
        <v>4560</v>
      </c>
      <c r="O42" s="61">
        <v>4020</v>
      </c>
      <c r="P42" s="36"/>
      <c r="Q42" s="32" t="s">
        <v>154</v>
      </c>
      <c r="R42" s="31" t="s">
        <v>167</v>
      </c>
      <c r="S42" s="31">
        <f ca="1">IFERROR(__xludf.DUMMYFUNCTION("""COMPUTED_VALUE"""),0)</f>
        <v>0</v>
      </c>
      <c r="T42" s="31">
        <f ca="1">IFERROR(__xludf.DUMMYFUNCTION("""COMPUTED_VALUE"""),0)</f>
        <v>0</v>
      </c>
      <c r="U42" s="31">
        <f ca="1">IFERROR(__xludf.DUMMYFUNCTION("""COMPUTED_VALUE"""),1005)</f>
        <v>1005</v>
      </c>
      <c r="V42" s="31">
        <f ca="1">IFERROR(__xludf.DUMMYFUNCTION("""COMPUTED_VALUE"""),0)</f>
        <v>0</v>
      </c>
      <c r="W42" s="31">
        <f ca="1">IFERROR(__xludf.DUMMYFUNCTION("""COMPUTED_VALUE"""),670)</f>
        <v>670</v>
      </c>
      <c r="X42" s="31">
        <f ca="1">IFERROR(__xludf.DUMMYFUNCTION("""COMPUTED_VALUE"""),335)</f>
        <v>335</v>
      </c>
      <c r="Y42" s="31">
        <f ca="1">IFERROR(__xludf.DUMMYFUNCTION("""COMPUTED_VALUE"""),335)</f>
        <v>335</v>
      </c>
      <c r="Z42" s="31">
        <f ca="1">IFERROR(__xludf.DUMMYFUNCTION("""COMPUTED_VALUE"""),335)</f>
        <v>335</v>
      </c>
      <c r="AA42" s="31">
        <f ca="1">IFERROR(__xludf.DUMMYFUNCTION("""COMPUTED_VALUE"""),670)</f>
        <v>670</v>
      </c>
      <c r="AB42" s="31">
        <f ca="1">IFERROR(__xludf.DUMMYFUNCTION("""COMPUTED_VALUE"""),0)</f>
        <v>0</v>
      </c>
      <c r="AC42" s="31">
        <f ca="1">IFERROR(__xludf.DUMMYFUNCTION("""COMPUTED_VALUE"""),0)</f>
        <v>0</v>
      </c>
      <c r="AD42" s="31">
        <f ca="1">IFERROR(__xludf.DUMMYFUNCTION("""COMPUTED_VALUE"""),0)</f>
        <v>0</v>
      </c>
      <c r="AE42" s="46">
        <f t="shared" ca="1" si="0"/>
        <v>1005</v>
      </c>
      <c r="AF42" s="115"/>
    </row>
    <row r="43" spans="1:32" ht="114">
      <c r="A43" s="128" t="s">
        <v>129</v>
      </c>
      <c r="B43" s="117"/>
      <c r="C43" s="118" t="s">
        <v>168</v>
      </c>
      <c r="D43" s="119" t="s">
        <v>169</v>
      </c>
      <c r="E43" s="119" t="s">
        <v>170</v>
      </c>
      <c r="F43" s="119" t="s">
        <v>171</v>
      </c>
      <c r="G43" s="121" t="s">
        <v>103</v>
      </c>
      <c r="H43" s="119" t="s">
        <v>114</v>
      </c>
      <c r="I43" s="119" t="s">
        <v>172</v>
      </c>
      <c r="J43" s="129" t="s">
        <v>173</v>
      </c>
      <c r="K43" s="129" t="s">
        <v>174</v>
      </c>
      <c r="L43" s="119" t="s">
        <v>107</v>
      </c>
      <c r="M43" s="135" t="s">
        <v>108</v>
      </c>
      <c r="N43" s="136">
        <v>7997</v>
      </c>
      <c r="O43" s="131">
        <v>6000</v>
      </c>
      <c r="P43" s="137"/>
      <c r="Q43" s="119" t="s">
        <v>175</v>
      </c>
      <c r="R43" s="119" t="s">
        <v>176</v>
      </c>
      <c r="S43" s="119">
        <f ca="1">IFERROR(__xludf.DUMMYFUNCTION("ARRAYFORMULA(VALUE(QUERY((importrange(""1aBliDWQx3PghbTc2D0usoHQ1DjKFbMqNouzsCcQtNeg"",""TOTALES!E2:P2"")),""Select*"",1)))"),669)</f>
        <v>669</v>
      </c>
      <c r="T43" s="119">
        <f ca="1">IFERROR(__xludf.DUMMYFUNCTION("""COMPUTED_VALUE"""),562)</f>
        <v>562</v>
      </c>
      <c r="U43" s="119">
        <f ca="1">IFERROR(__xludf.DUMMYFUNCTION("""COMPUTED_VALUE"""),709)</f>
        <v>709</v>
      </c>
      <c r="V43" s="119">
        <f ca="1">IFERROR(__xludf.DUMMYFUNCTION("""COMPUTED_VALUE"""),297)</f>
        <v>297</v>
      </c>
      <c r="W43" s="119">
        <f ca="1">IFERROR(__xludf.DUMMYFUNCTION("""COMPUTED_VALUE"""),556)</f>
        <v>556</v>
      </c>
      <c r="X43" s="119">
        <f ca="1">IFERROR(__xludf.DUMMYFUNCTION("""COMPUTED_VALUE"""),666)</f>
        <v>666</v>
      </c>
      <c r="Y43" s="119">
        <f ca="1">IFERROR(__xludf.DUMMYFUNCTION("""COMPUTED_VALUE"""),643)</f>
        <v>643</v>
      </c>
      <c r="Z43" s="119">
        <f ca="1">IFERROR(__xludf.DUMMYFUNCTION("""COMPUTED_VALUE"""),785)</f>
        <v>785</v>
      </c>
      <c r="AA43" s="119">
        <f ca="1">IFERROR(__xludf.DUMMYFUNCTION("""COMPUTED_VALUE"""),707)</f>
        <v>707</v>
      </c>
      <c r="AB43" s="119">
        <f ca="1">IFERROR(__xludf.DUMMYFUNCTION("""COMPUTED_VALUE"""),0)</f>
        <v>0</v>
      </c>
      <c r="AC43" s="119">
        <f ca="1">IFERROR(__xludf.DUMMYFUNCTION("""COMPUTED_VALUE"""),0)</f>
        <v>0</v>
      </c>
      <c r="AD43" s="119">
        <f ca="1">IFERROR(__xludf.DUMMYFUNCTION("""COMPUTED_VALUE"""),0)</f>
        <v>0</v>
      </c>
      <c r="AE43" s="127">
        <f t="shared" ca="1" si="0"/>
        <v>1940</v>
      </c>
      <c r="AF43" s="115">
        <f t="shared" ref="AF43:AF44" ca="1" si="2">AE43/O43</f>
        <v>0.32333333333333331</v>
      </c>
    </row>
    <row r="44" spans="1:32" ht="128.25">
      <c r="A44" s="128" t="s">
        <v>74</v>
      </c>
      <c r="B44" s="117"/>
      <c r="C44" s="118" t="s">
        <v>177</v>
      </c>
      <c r="D44" s="119" t="s">
        <v>178</v>
      </c>
      <c r="E44" s="119" t="s">
        <v>179</v>
      </c>
      <c r="F44" s="119" t="s">
        <v>180</v>
      </c>
      <c r="G44" s="119" t="s">
        <v>103</v>
      </c>
      <c r="H44" s="119" t="s">
        <v>114</v>
      </c>
      <c r="I44" s="119" t="s">
        <v>394</v>
      </c>
      <c r="J44" s="119" t="s">
        <v>182</v>
      </c>
      <c r="K44" s="119" t="s">
        <v>395</v>
      </c>
      <c r="L44" s="119" t="s">
        <v>107</v>
      </c>
      <c r="M44" s="119" t="s">
        <v>184</v>
      </c>
      <c r="N44" s="119">
        <v>892</v>
      </c>
      <c r="O44" s="119">
        <v>850</v>
      </c>
      <c r="P44" s="119"/>
      <c r="Q44" s="119" t="s">
        <v>185</v>
      </c>
      <c r="R44" s="119" t="s">
        <v>186</v>
      </c>
      <c r="S44" s="119">
        <f ca="1">IFERROR(__xludf.DUMMYFUNCTION("ARRAYFORMULA(VALUE(QUERY((importrange(""1PzLDbnbOgsxlP7TgXOuZl3-wTut_GS_XXcsA4lagmIs"",""TOTALES!E2:P3"")),""Select*"",1)))"),654)</f>
        <v>654</v>
      </c>
      <c r="T44" s="119">
        <f ca="1">IFERROR(__xludf.DUMMYFUNCTION("""COMPUTED_VALUE"""),914)</f>
        <v>914</v>
      </c>
      <c r="U44" s="119">
        <f ca="1">IFERROR(__xludf.DUMMYFUNCTION("""COMPUTED_VALUE"""),724)</f>
        <v>724</v>
      </c>
      <c r="V44" s="119">
        <f ca="1">IFERROR(__xludf.DUMMYFUNCTION("""COMPUTED_VALUE"""),678)</f>
        <v>678</v>
      </c>
      <c r="W44" s="119">
        <f ca="1">IFERROR(__xludf.DUMMYFUNCTION("""COMPUTED_VALUE"""),878)</f>
        <v>878</v>
      </c>
      <c r="X44" s="119">
        <f ca="1">IFERROR(__xludf.DUMMYFUNCTION("""COMPUTED_VALUE"""),858)</f>
        <v>858</v>
      </c>
      <c r="Y44" s="119">
        <f ca="1">IFERROR(__xludf.DUMMYFUNCTION("""COMPUTED_VALUE"""),812)</f>
        <v>812</v>
      </c>
      <c r="Z44" s="119">
        <f ca="1">IFERROR(__xludf.DUMMYFUNCTION("""COMPUTED_VALUE"""),883)</f>
        <v>883</v>
      </c>
      <c r="AA44" s="119">
        <f ca="1">IFERROR(__xludf.DUMMYFUNCTION("""COMPUTED_VALUE"""),724)</f>
        <v>724</v>
      </c>
      <c r="AB44" s="119">
        <f ca="1">IFERROR(__xludf.DUMMYFUNCTION("""COMPUTED_VALUE"""),0)</f>
        <v>0</v>
      </c>
      <c r="AC44" s="119">
        <f ca="1">IFERROR(__xludf.DUMMYFUNCTION("""COMPUTED_VALUE"""),0)</f>
        <v>0</v>
      </c>
      <c r="AD44" s="119">
        <f ca="1">IFERROR(__xludf.DUMMYFUNCTION("""COMPUTED_VALUE"""),0)</f>
        <v>0</v>
      </c>
      <c r="AE44" s="127">
        <f t="shared" ca="1" si="0"/>
        <v>2292</v>
      </c>
      <c r="AF44" s="115">
        <f t="shared" ca="1" si="2"/>
        <v>2.696470588235294</v>
      </c>
    </row>
    <row r="45" spans="1:32" ht="128.25">
      <c r="A45" s="55" t="s">
        <v>88</v>
      </c>
      <c r="B45" s="48"/>
      <c r="C45" s="49" t="s">
        <v>187</v>
      </c>
      <c r="D45" s="31" t="s">
        <v>188</v>
      </c>
      <c r="E45" s="31" t="s">
        <v>189</v>
      </c>
      <c r="F45" s="31" t="s">
        <v>190</v>
      </c>
      <c r="G45" s="31" t="s">
        <v>103</v>
      </c>
      <c r="H45" s="31" t="s">
        <v>114</v>
      </c>
      <c r="I45" s="31" t="s">
        <v>191</v>
      </c>
      <c r="J45" s="31" t="s">
        <v>192</v>
      </c>
      <c r="K45" s="31" t="s">
        <v>193</v>
      </c>
      <c r="L45" s="31" t="s">
        <v>107</v>
      </c>
      <c r="M45" s="31" t="s">
        <v>108</v>
      </c>
      <c r="N45" s="31" t="s">
        <v>85</v>
      </c>
      <c r="O45" s="31">
        <v>15000</v>
      </c>
      <c r="P45" s="31"/>
      <c r="Q45" s="31" t="s">
        <v>185</v>
      </c>
      <c r="R45" s="31" t="s">
        <v>186</v>
      </c>
      <c r="S45" s="31">
        <f ca="1">IFERROR(__xludf.DUMMYFUNCTION("""COMPUTED_VALUE"""),1336)</f>
        <v>1336</v>
      </c>
      <c r="T45" s="31">
        <f ca="1">IFERROR(__xludf.DUMMYFUNCTION("""COMPUTED_VALUE"""),1635)</f>
        <v>1635</v>
      </c>
      <c r="U45" s="31">
        <f ca="1">IFERROR(__xludf.DUMMYFUNCTION("""COMPUTED_VALUE"""),1178)</f>
        <v>1178</v>
      </c>
      <c r="V45" s="31">
        <f ca="1">IFERROR(__xludf.DUMMYFUNCTION("""COMPUTED_VALUE"""),819)</f>
        <v>819</v>
      </c>
      <c r="W45" s="31">
        <f ca="1">IFERROR(__xludf.DUMMYFUNCTION("""COMPUTED_VALUE"""),1270)</f>
        <v>1270</v>
      </c>
      <c r="X45" s="31">
        <f ca="1">IFERROR(__xludf.DUMMYFUNCTION("""COMPUTED_VALUE"""),1426)</f>
        <v>1426</v>
      </c>
      <c r="Y45" s="31">
        <f ca="1">IFERROR(__xludf.DUMMYFUNCTION("""COMPUTED_VALUE"""),1258)</f>
        <v>1258</v>
      </c>
      <c r="Z45" s="31">
        <f ca="1">IFERROR(__xludf.DUMMYFUNCTION("""COMPUTED_VALUE"""),1512)</f>
        <v>1512</v>
      </c>
      <c r="AA45" s="31">
        <f ca="1">IFERROR(__xludf.DUMMYFUNCTION("""COMPUTED_VALUE"""),1160)</f>
        <v>1160</v>
      </c>
      <c r="AB45" s="31">
        <f ca="1">IFERROR(__xludf.DUMMYFUNCTION("""COMPUTED_VALUE"""),0)</f>
        <v>0</v>
      </c>
      <c r="AC45" s="31">
        <f ca="1">IFERROR(__xludf.DUMMYFUNCTION("""COMPUTED_VALUE"""),0)</f>
        <v>0</v>
      </c>
      <c r="AD45" s="31">
        <f ca="1">IFERROR(__xludf.DUMMYFUNCTION("""COMPUTED_VALUE"""),0)</f>
        <v>0</v>
      </c>
      <c r="AE45" s="46">
        <f t="shared" ca="1" si="0"/>
        <v>4149</v>
      </c>
      <c r="AF45" s="115"/>
    </row>
    <row r="46" spans="1:32" ht="128.25">
      <c r="A46" s="128" t="s">
        <v>88</v>
      </c>
      <c r="B46" s="117"/>
      <c r="C46" s="118" t="s">
        <v>194</v>
      </c>
      <c r="D46" s="119" t="s">
        <v>195</v>
      </c>
      <c r="E46" s="119" t="s">
        <v>196</v>
      </c>
      <c r="F46" s="119" t="s">
        <v>197</v>
      </c>
      <c r="G46" s="121" t="s">
        <v>103</v>
      </c>
      <c r="H46" s="119" t="s">
        <v>114</v>
      </c>
      <c r="I46" s="120" t="s">
        <v>198</v>
      </c>
      <c r="J46" s="129" t="s">
        <v>199</v>
      </c>
      <c r="K46" s="129" t="s">
        <v>200</v>
      </c>
      <c r="L46" s="119" t="s">
        <v>107</v>
      </c>
      <c r="M46" s="135" t="s">
        <v>108</v>
      </c>
      <c r="N46" s="136">
        <v>28995</v>
      </c>
      <c r="O46" s="131">
        <v>29000</v>
      </c>
      <c r="P46" s="137"/>
      <c r="Q46" s="126" t="s">
        <v>201</v>
      </c>
      <c r="R46" s="119" t="s">
        <v>202</v>
      </c>
      <c r="S46" s="119">
        <f ca="1">IFERROR(__xludf.DUMMYFUNCTION("ARRAYFORMULA(VALUE(QUERY((importrange(""1NOerfbJeLk-S8tb0Ya-COpXnQm--OVonOlYwD7P0zF0"",""TOTALES!E2:P2"")),""Select*"",1)))"),1527)</f>
        <v>1527</v>
      </c>
      <c r="T46" s="119">
        <f ca="1">IFERROR(__xludf.DUMMYFUNCTION("""COMPUTED_VALUE"""),4190)</f>
        <v>4190</v>
      </c>
      <c r="U46" s="119">
        <f ca="1">IFERROR(__xludf.DUMMYFUNCTION("""COMPUTED_VALUE"""),1152)</f>
        <v>1152</v>
      </c>
      <c r="V46" s="119">
        <f ca="1">IFERROR(__xludf.DUMMYFUNCTION("""COMPUTED_VALUE"""),1286)</f>
        <v>1286</v>
      </c>
      <c r="W46" s="119">
        <f ca="1">IFERROR(__xludf.DUMMYFUNCTION("""COMPUTED_VALUE"""),3830)</f>
        <v>3830</v>
      </c>
      <c r="X46" s="119">
        <f ca="1">IFERROR(__xludf.DUMMYFUNCTION("""COMPUTED_VALUE"""),2868)</f>
        <v>2868</v>
      </c>
      <c r="Y46" s="119">
        <f ca="1">IFERROR(__xludf.DUMMYFUNCTION("""COMPUTED_VALUE"""),2571)</f>
        <v>2571</v>
      </c>
      <c r="Z46" s="119">
        <f ca="1">IFERROR(__xludf.DUMMYFUNCTION("""COMPUTED_VALUE"""),3079)</f>
        <v>3079</v>
      </c>
      <c r="AA46" s="119">
        <f ca="1">IFERROR(__xludf.DUMMYFUNCTION("""COMPUTED_VALUE"""),2526)</f>
        <v>2526</v>
      </c>
      <c r="AB46" s="119">
        <f ca="1">IFERROR(__xludf.DUMMYFUNCTION("""COMPUTED_VALUE"""),0)</f>
        <v>0</v>
      </c>
      <c r="AC46" s="119">
        <f ca="1">IFERROR(__xludf.DUMMYFUNCTION("""COMPUTED_VALUE"""),0)</f>
        <v>0</v>
      </c>
      <c r="AD46" s="119">
        <f ca="1">IFERROR(__xludf.DUMMYFUNCTION("""COMPUTED_VALUE"""),0)</f>
        <v>0</v>
      </c>
      <c r="AE46" s="127">
        <f t="shared" ca="1" si="0"/>
        <v>6869</v>
      </c>
      <c r="AF46" s="115">
        <f t="shared" ref="AF46:AF47" ca="1" si="3">AE46/O46</f>
        <v>0.23686206896551723</v>
      </c>
    </row>
    <row r="47" spans="1:32" ht="171">
      <c r="A47" s="128" t="s">
        <v>74</v>
      </c>
      <c r="B47" s="117"/>
      <c r="C47" s="118" t="s">
        <v>203</v>
      </c>
      <c r="D47" s="119" t="s">
        <v>204</v>
      </c>
      <c r="E47" s="119" t="s">
        <v>205</v>
      </c>
      <c r="F47" s="119" t="s">
        <v>206</v>
      </c>
      <c r="G47" s="121" t="s">
        <v>103</v>
      </c>
      <c r="H47" s="119" t="s">
        <v>114</v>
      </c>
      <c r="I47" s="120" t="s">
        <v>396</v>
      </c>
      <c r="J47" s="129" t="s">
        <v>208</v>
      </c>
      <c r="K47" s="129" t="s">
        <v>397</v>
      </c>
      <c r="L47" s="119" t="s">
        <v>107</v>
      </c>
      <c r="M47" s="135" t="s">
        <v>184</v>
      </c>
      <c r="N47" s="119" t="s">
        <v>85</v>
      </c>
      <c r="O47" s="136">
        <v>500</v>
      </c>
      <c r="P47" s="137"/>
      <c r="Q47" s="126" t="s">
        <v>118</v>
      </c>
      <c r="R47" s="119" t="s">
        <v>209</v>
      </c>
      <c r="S47" s="119">
        <f ca="1">IFERROR(__xludf.DUMMYFUNCTION("ARRAYFORMULA(VALUE(QUERY((importrange(""1QqO90t5YaypRBmLyuAF3V4pupHFwwwLeoeQ3Rj52OIE"",""TOTALES!E2:P3"")),""Select*"",1)))"),510)</f>
        <v>510</v>
      </c>
      <c r="T47" s="119">
        <f ca="1">IFERROR(__xludf.DUMMYFUNCTION("""COMPUTED_VALUE"""),510)</f>
        <v>510</v>
      </c>
      <c r="U47" s="119">
        <f ca="1">IFERROR(__xludf.DUMMYFUNCTION("""COMPUTED_VALUE"""),510)</f>
        <v>510</v>
      </c>
      <c r="V47" s="119">
        <f ca="1">IFERROR(__xludf.DUMMYFUNCTION("""COMPUTED_VALUE"""),510)</f>
        <v>510</v>
      </c>
      <c r="W47" s="119">
        <f ca="1">IFERROR(__xludf.DUMMYFUNCTION("""COMPUTED_VALUE"""),510)</f>
        <v>510</v>
      </c>
      <c r="X47" s="119">
        <f ca="1">IFERROR(__xludf.DUMMYFUNCTION("""COMPUTED_VALUE"""),510)</f>
        <v>510</v>
      </c>
      <c r="Y47" s="119">
        <f ca="1">IFERROR(__xludf.DUMMYFUNCTION("""COMPUTED_VALUE"""),495)</f>
        <v>495</v>
      </c>
      <c r="Z47" s="119">
        <f ca="1">IFERROR(__xludf.DUMMYFUNCTION("""COMPUTED_VALUE"""),613)</f>
        <v>613</v>
      </c>
      <c r="AA47" s="119">
        <f ca="1">IFERROR(__xludf.DUMMYFUNCTION("""COMPUTED_VALUE"""),611)</f>
        <v>611</v>
      </c>
      <c r="AB47" s="119">
        <f ca="1">IFERROR(__xludf.DUMMYFUNCTION("""COMPUTED_VALUE"""),0)</f>
        <v>0</v>
      </c>
      <c r="AC47" s="119">
        <f ca="1">IFERROR(__xludf.DUMMYFUNCTION("""COMPUTED_VALUE"""),0)</f>
        <v>0</v>
      </c>
      <c r="AD47" s="119">
        <f ca="1">IFERROR(__xludf.DUMMYFUNCTION("""COMPUTED_VALUE"""),0)</f>
        <v>0</v>
      </c>
      <c r="AE47" s="127">
        <f t="shared" ca="1" si="0"/>
        <v>1530</v>
      </c>
      <c r="AF47" s="115">
        <f t="shared" ca="1" si="3"/>
        <v>3.06</v>
      </c>
    </row>
    <row r="48" spans="1:32" ht="171">
      <c r="A48" s="55" t="s">
        <v>88</v>
      </c>
      <c r="B48" s="48"/>
      <c r="C48" s="49" t="s">
        <v>210</v>
      </c>
      <c r="D48" s="31" t="s">
        <v>211</v>
      </c>
      <c r="E48" s="31" t="s">
        <v>212</v>
      </c>
      <c r="F48" s="31" t="s">
        <v>213</v>
      </c>
      <c r="G48" s="51" t="s">
        <v>103</v>
      </c>
      <c r="H48" s="31" t="s">
        <v>114</v>
      </c>
      <c r="I48" s="50" t="s">
        <v>214</v>
      </c>
      <c r="J48" s="58" t="s">
        <v>215</v>
      </c>
      <c r="K48" s="58" t="s">
        <v>216</v>
      </c>
      <c r="L48" s="31" t="s">
        <v>107</v>
      </c>
      <c r="M48" s="62" t="s">
        <v>108</v>
      </c>
      <c r="N48" s="63">
        <v>203457</v>
      </c>
      <c r="O48" s="63">
        <v>224400</v>
      </c>
      <c r="P48" s="36"/>
      <c r="Q48" s="32" t="s">
        <v>118</v>
      </c>
      <c r="R48" s="31" t="s">
        <v>209</v>
      </c>
      <c r="S48" s="31">
        <f ca="1">IFERROR(__xludf.DUMMYFUNCTION("""COMPUTED_VALUE"""),22440)</f>
        <v>22440</v>
      </c>
      <c r="T48" s="31">
        <f ca="1">IFERROR(__xludf.DUMMYFUNCTION("""COMPUTED_VALUE"""),19380)</f>
        <v>19380</v>
      </c>
      <c r="U48" s="31">
        <f ca="1">IFERROR(__xludf.DUMMYFUNCTION("""COMPUTED_VALUE"""),23460)</f>
        <v>23460</v>
      </c>
      <c r="V48" s="31">
        <f ca="1">IFERROR(__xludf.DUMMYFUNCTION("""COMPUTED_VALUE"""),10200)</f>
        <v>10200</v>
      </c>
      <c r="W48" s="31">
        <f ca="1">IFERROR(__xludf.DUMMYFUNCTION("""COMPUTED_VALUE"""),22440)</f>
        <v>22440</v>
      </c>
      <c r="X48" s="31">
        <f ca="1">IFERROR(__xludf.DUMMYFUNCTION("""COMPUTED_VALUE"""),22440)</f>
        <v>22440</v>
      </c>
      <c r="Y48" s="31">
        <f ca="1">IFERROR(__xludf.DUMMYFUNCTION("""COMPUTED_VALUE"""),20790)</f>
        <v>20790</v>
      </c>
      <c r="Z48" s="31">
        <f ca="1">IFERROR(__xludf.DUMMYFUNCTION("""COMPUTED_VALUE"""),23230)</f>
        <v>23230</v>
      </c>
      <c r="AA48" s="31">
        <f ca="1">IFERROR(__xludf.DUMMYFUNCTION("""COMPUTED_VALUE"""),24400)</f>
        <v>24400</v>
      </c>
      <c r="AB48" s="31">
        <f ca="1">IFERROR(__xludf.DUMMYFUNCTION("""COMPUTED_VALUE"""),0)</f>
        <v>0</v>
      </c>
      <c r="AC48" s="31">
        <f ca="1">IFERROR(__xludf.DUMMYFUNCTION("""COMPUTED_VALUE"""),0)</f>
        <v>0</v>
      </c>
      <c r="AD48" s="31">
        <f ca="1">IFERROR(__xludf.DUMMYFUNCTION("""COMPUTED_VALUE"""),0)</f>
        <v>0</v>
      </c>
      <c r="AE48" s="46">
        <f t="shared" ca="1" si="0"/>
        <v>65280</v>
      </c>
      <c r="AF48" s="115"/>
    </row>
    <row r="49" spans="1:32" ht="114">
      <c r="A49" s="55" t="s">
        <v>74</v>
      </c>
      <c r="B49" s="48"/>
      <c r="C49" s="49" t="s">
        <v>217</v>
      </c>
      <c r="D49" s="64" t="s">
        <v>218</v>
      </c>
      <c r="E49" s="64" t="s">
        <v>219</v>
      </c>
      <c r="F49" s="64" t="s">
        <v>220</v>
      </c>
      <c r="G49" s="65" t="s">
        <v>103</v>
      </c>
      <c r="H49" s="64" t="s">
        <v>114</v>
      </c>
      <c r="I49" s="64" t="s">
        <v>398</v>
      </c>
      <c r="J49" s="66" t="s">
        <v>222</v>
      </c>
      <c r="K49" s="66" t="s">
        <v>399</v>
      </c>
      <c r="L49" s="31" t="s">
        <v>107</v>
      </c>
      <c r="M49" s="67" t="s">
        <v>184</v>
      </c>
      <c r="N49" s="68" t="s">
        <v>85</v>
      </c>
      <c r="O49" s="68">
        <v>1300</v>
      </c>
      <c r="P49" s="70"/>
      <c r="Q49" s="31" t="s">
        <v>223</v>
      </c>
      <c r="R49" s="31" t="s">
        <v>224</v>
      </c>
      <c r="S49" s="31">
        <f ca="1">IFERROR(__xludf.DUMMYFUNCTION("ARRAYFORMULA(VALUE(QUERY((importrange(""1gzh_IplvT8FVpSpLrnqCIOVsZa98RVoxxYmSvikPos0"",""TOTALES!E2:P3"")),""Select*"",1)))"),1558)</f>
        <v>1558</v>
      </c>
      <c r="T49" s="31">
        <f ca="1">IFERROR(__xludf.DUMMYFUNCTION("""COMPUTED_VALUE"""),1711)</f>
        <v>1711</v>
      </c>
      <c r="U49" s="31">
        <f ca="1">IFERROR(__xludf.DUMMYFUNCTION("""COMPUTED_VALUE"""),1813)</f>
        <v>1813</v>
      </c>
      <c r="V49" s="31">
        <f ca="1">IFERROR(__xludf.DUMMYFUNCTION("""COMPUTED_VALUE"""),1440)</f>
        <v>1440</v>
      </c>
      <c r="W49" s="31">
        <f ca="1">IFERROR(__xludf.DUMMYFUNCTION("""COMPUTED_VALUE"""),1549)</f>
        <v>1549</v>
      </c>
      <c r="X49" s="31">
        <f ca="1">IFERROR(__xludf.DUMMYFUNCTION("""COMPUTED_VALUE"""),1492)</f>
        <v>1492</v>
      </c>
      <c r="Y49" s="31">
        <f ca="1">IFERROR(__xludf.DUMMYFUNCTION("""COMPUTED_VALUE"""),2318)</f>
        <v>2318</v>
      </c>
      <c r="Z49" s="31">
        <f ca="1">IFERROR(__xludf.DUMMYFUNCTION("""COMPUTED_VALUE"""),657)</f>
        <v>657</v>
      </c>
      <c r="AA49" s="31">
        <f ca="1">IFERROR(__xludf.DUMMYFUNCTION("""COMPUTED_VALUE"""),1780)</f>
        <v>1780</v>
      </c>
      <c r="AB49" s="31">
        <f ca="1">IFERROR(__xludf.DUMMYFUNCTION("""COMPUTED_VALUE"""),0)</f>
        <v>0</v>
      </c>
      <c r="AC49" s="31">
        <f ca="1">IFERROR(__xludf.DUMMYFUNCTION("""COMPUTED_VALUE"""),0)</f>
        <v>0</v>
      </c>
      <c r="AD49" s="31">
        <f ca="1">IFERROR(__xludf.DUMMYFUNCTION("""COMPUTED_VALUE"""),0)</f>
        <v>0</v>
      </c>
      <c r="AE49" s="46">
        <f t="shared" ca="1" si="0"/>
        <v>5082</v>
      </c>
      <c r="AF49" s="115"/>
    </row>
    <row r="50" spans="1:32" ht="99.75">
      <c r="A50" s="128" t="s">
        <v>88</v>
      </c>
      <c r="B50" s="117"/>
      <c r="C50" s="118" t="s">
        <v>225</v>
      </c>
      <c r="D50" s="119" t="s">
        <v>226</v>
      </c>
      <c r="E50" s="119" t="s">
        <v>227</v>
      </c>
      <c r="F50" s="119" t="s">
        <v>228</v>
      </c>
      <c r="G50" s="121" t="s">
        <v>103</v>
      </c>
      <c r="H50" s="119" t="s">
        <v>114</v>
      </c>
      <c r="I50" s="120" t="s">
        <v>400</v>
      </c>
      <c r="J50" s="129" t="s">
        <v>230</v>
      </c>
      <c r="K50" s="129" t="s">
        <v>399</v>
      </c>
      <c r="L50" s="119" t="s">
        <v>107</v>
      </c>
      <c r="M50" s="135" t="s">
        <v>184</v>
      </c>
      <c r="N50" s="137"/>
      <c r="O50" s="136">
        <v>260</v>
      </c>
      <c r="P50" s="137"/>
      <c r="Q50" s="119" t="s">
        <v>231</v>
      </c>
      <c r="R50" s="119" t="s">
        <v>232</v>
      </c>
      <c r="S50" s="119">
        <f ca="1">IFERROR(__xludf.DUMMYFUNCTION("""COMPUTED_VALUE"""),276)</f>
        <v>276</v>
      </c>
      <c r="T50" s="119">
        <f ca="1">IFERROR(__xludf.DUMMYFUNCTION("""COMPUTED_VALUE"""),307)</f>
        <v>307</v>
      </c>
      <c r="U50" s="119">
        <f ca="1">IFERROR(__xludf.DUMMYFUNCTION("""COMPUTED_VALUE"""),293)</f>
        <v>293</v>
      </c>
      <c r="V50" s="119">
        <f ca="1">IFERROR(__xludf.DUMMYFUNCTION("""COMPUTED_VALUE"""),261)</f>
        <v>261</v>
      </c>
      <c r="W50" s="119">
        <f ca="1">IFERROR(__xludf.DUMMYFUNCTION("""COMPUTED_VALUE"""),294)</f>
        <v>294</v>
      </c>
      <c r="X50" s="119">
        <f ca="1">IFERROR(__xludf.DUMMYFUNCTION("""COMPUTED_VALUE"""),268)</f>
        <v>268</v>
      </c>
      <c r="Y50" s="119">
        <f ca="1">IFERROR(__xludf.DUMMYFUNCTION("""COMPUTED_VALUE"""),269)</f>
        <v>269</v>
      </c>
      <c r="Z50" s="119">
        <f ca="1">IFERROR(__xludf.DUMMYFUNCTION("""COMPUTED_VALUE"""),91)</f>
        <v>91</v>
      </c>
      <c r="AA50" s="119">
        <f ca="1">IFERROR(__xludf.DUMMYFUNCTION("""COMPUTED_VALUE"""),238)</f>
        <v>238</v>
      </c>
      <c r="AB50" s="119">
        <f ca="1">IFERROR(__xludf.DUMMYFUNCTION("""COMPUTED_VALUE"""),0)</f>
        <v>0</v>
      </c>
      <c r="AC50" s="119">
        <f ca="1">IFERROR(__xludf.DUMMYFUNCTION("""COMPUTED_VALUE"""),0)</f>
        <v>0</v>
      </c>
      <c r="AD50" s="119">
        <f ca="1">IFERROR(__xludf.DUMMYFUNCTION("""COMPUTED_VALUE"""),0)</f>
        <v>0</v>
      </c>
      <c r="AE50" s="127">
        <f t="shared" ca="1" si="0"/>
        <v>876</v>
      </c>
      <c r="AF50" s="115">
        <f t="shared" ref="AF50:AF51" ca="1" si="4">AE50/O50</f>
        <v>3.3692307692307693</v>
      </c>
    </row>
    <row r="51" spans="1:32" ht="99.75">
      <c r="A51" s="128" t="s">
        <v>74</v>
      </c>
      <c r="B51" s="117"/>
      <c r="C51" s="118" t="s">
        <v>233</v>
      </c>
      <c r="D51" s="119" t="s">
        <v>234</v>
      </c>
      <c r="E51" s="119" t="s">
        <v>235</v>
      </c>
      <c r="F51" s="119" t="s">
        <v>236</v>
      </c>
      <c r="G51" s="121" t="s">
        <v>103</v>
      </c>
      <c r="H51" s="119" t="s">
        <v>114</v>
      </c>
      <c r="I51" s="120" t="s">
        <v>237</v>
      </c>
      <c r="J51" s="129" t="s">
        <v>238</v>
      </c>
      <c r="K51" s="129" t="s">
        <v>239</v>
      </c>
      <c r="L51" s="119" t="s">
        <v>107</v>
      </c>
      <c r="M51" s="135" t="s">
        <v>108</v>
      </c>
      <c r="N51" s="136">
        <v>2037</v>
      </c>
      <c r="O51" s="136">
        <v>2030</v>
      </c>
      <c r="P51" s="137"/>
      <c r="Q51" s="126" t="s">
        <v>240</v>
      </c>
      <c r="R51" s="119" t="s">
        <v>241</v>
      </c>
      <c r="S51" s="119">
        <f ca="1">IFERROR(__xludf.DUMMYFUNCTION("ARRAYFORMULA(VALUE(QUERY((importrange(""1uq0-tclcwlKN4n207WGe9aYxfqRISdzRNcLeNfdql2A"",""TOTALES!E2:P3"")),""Select*"",1)))"),0)</f>
        <v>0</v>
      </c>
      <c r="T51" s="119">
        <f ca="1">IFERROR(__xludf.DUMMYFUNCTION("""COMPUTED_VALUE"""),0)</f>
        <v>0</v>
      </c>
      <c r="U51" s="119">
        <f ca="1">IFERROR(__xludf.DUMMYFUNCTION("""COMPUTED_VALUE"""),0)</f>
        <v>0</v>
      </c>
      <c r="V51" s="119">
        <f ca="1">IFERROR(__xludf.DUMMYFUNCTION("""COMPUTED_VALUE"""),0)</f>
        <v>0</v>
      </c>
      <c r="W51" s="119">
        <f ca="1">IFERROR(__xludf.DUMMYFUNCTION("""COMPUTED_VALUE"""),0)</f>
        <v>0</v>
      </c>
      <c r="X51" s="119">
        <f ca="1">IFERROR(__xludf.DUMMYFUNCTION("""COMPUTED_VALUE"""),0)</f>
        <v>0</v>
      </c>
      <c r="Y51" s="119">
        <f ca="1">IFERROR(__xludf.DUMMYFUNCTION("""COMPUTED_VALUE"""),2092)</f>
        <v>2092</v>
      </c>
      <c r="Z51" s="119">
        <f ca="1">IFERROR(__xludf.DUMMYFUNCTION("""COMPUTED_VALUE"""),0)</f>
        <v>0</v>
      </c>
      <c r="AA51" s="119">
        <f ca="1">IFERROR(__xludf.DUMMYFUNCTION("""COMPUTED_VALUE"""),0)</f>
        <v>0</v>
      </c>
      <c r="AB51" s="119">
        <f ca="1">IFERROR(__xludf.DUMMYFUNCTION("""COMPUTED_VALUE"""),0)</f>
        <v>0</v>
      </c>
      <c r="AC51" s="119">
        <f ca="1">IFERROR(__xludf.DUMMYFUNCTION("""COMPUTED_VALUE"""),0)</f>
        <v>0</v>
      </c>
      <c r="AD51" s="119">
        <f ca="1">IFERROR(__xludf.DUMMYFUNCTION("""COMPUTED_VALUE"""),0)</f>
        <v>0</v>
      </c>
      <c r="AE51" s="127">
        <f t="shared" ca="1" si="0"/>
        <v>0</v>
      </c>
      <c r="AF51" s="115">
        <f t="shared" ca="1" si="4"/>
        <v>0</v>
      </c>
    </row>
    <row r="52" spans="1:32" ht="99.75">
      <c r="A52" s="71" t="s">
        <v>88</v>
      </c>
      <c r="B52" s="48"/>
      <c r="C52" s="49" t="s">
        <v>242</v>
      </c>
      <c r="D52" s="31" t="s">
        <v>243</v>
      </c>
      <c r="E52" s="31" t="s">
        <v>244</v>
      </c>
      <c r="F52" s="31" t="s">
        <v>245</v>
      </c>
      <c r="G52" s="51" t="s">
        <v>103</v>
      </c>
      <c r="H52" s="31" t="s">
        <v>114</v>
      </c>
      <c r="I52" s="50" t="s">
        <v>246</v>
      </c>
      <c r="J52" s="58" t="s">
        <v>247</v>
      </c>
      <c r="K52" s="58" t="s">
        <v>248</v>
      </c>
      <c r="L52" s="31" t="s">
        <v>107</v>
      </c>
      <c r="M52" s="62" t="s">
        <v>108</v>
      </c>
      <c r="N52" s="31" t="s">
        <v>85</v>
      </c>
      <c r="O52" s="63">
        <v>1188</v>
      </c>
      <c r="P52" s="36"/>
      <c r="Q52" s="32" t="s">
        <v>249</v>
      </c>
      <c r="R52" s="31" t="s">
        <v>241</v>
      </c>
      <c r="S52" s="31">
        <f ca="1">IFERROR(__xludf.DUMMYFUNCTION("""COMPUTED_VALUE"""),99)</f>
        <v>99</v>
      </c>
      <c r="T52" s="31">
        <f ca="1">IFERROR(__xludf.DUMMYFUNCTION("""COMPUTED_VALUE"""),99)</f>
        <v>99</v>
      </c>
      <c r="U52" s="31">
        <f ca="1">IFERROR(__xludf.DUMMYFUNCTION("""COMPUTED_VALUE"""),99)</f>
        <v>99</v>
      </c>
      <c r="V52" s="31">
        <f ca="1">IFERROR(__xludf.DUMMYFUNCTION("""COMPUTED_VALUE"""),99)</f>
        <v>99</v>
      </c>
      <c r="W52" s="31">
        <f ca="1">IFERROR(__xludf.DUMMYFUNCTION("""COMPUTED_VALUE"""),99)</f>
        <v>99</v>
      </c>
      <c r="X52" s="31">
        <f ca="1">IFERROR(__xludf.DUMMYFUNCTION("""COMPUTED_VALUE"""),99)</f>
        <v>99</v>
      </c>
      <c r="Y52" s="31">
        <f ca="1">IFERROR(__xludf.DUMMYFUNCTION("""COMPUTED_VALUE"""),99)</f>
        <v>99</v>
      </c>
      <c r="Z52" s="31">
        <f ca="1">IFERROR(__xludf.DUMMYFUNCTION("""COMPUTED_VALUE"""),99)</f>
        <v>99</v>
      </c>
      <c r="AA52" s="31">
        <f ca="1">IFERROR(__xludf.DUMMYFUNCTION("""COMPUTED_VALUE"""),99)</f>
        <v>99</v>
      </c>
      <c r="AB52" s="31">
        <f ca="1">IFERROR(__xludf.DUMMYFUNCTION("""COMPUTED_VALUE"""),0)</f>
        <v>0</v>
      </c>
      <c r="AC52" s="31">
        <f ca="1">IFERROR(__xludf.DUMMYFUNCTION("""COMPUTED_VALUE"""),0)</f>
        <v>0</v>
      </c>
      <c r="AD52" s="31">
        <f ca="1">IFERROR(__xludf.DUMMYFUNCTION("""COMPUTED_VALUE"""),0)</f>
        <v>0</v>
      </c>
      <c r="AE52" s="46">
        <f t="shared" ca="1" si="0"/>
        <v>297</v>
      </c>
      <c r="AF52" s="115"/>
    </row>
    <row r="53" spans="1:32" ht="99.75">
      <c r="A53" s="23" t="s">
        <v>74</v>
      </c>
      <c r="B53" s="72" t="s">
        <v>98</v>
      </c>
      <c r="C53" s="73" t="s">
        <v>250</v>
      </c>
      <c r="D53" s="31" t="s">
        <v>251</v>
      </c>
      <c r="E53" s="31" t="s">
        <v>352</v>
      </c>
      <c r="F53" s="31" t="s">
        <v>113</v>
      </c>
      <c r="G53" s="31" t="s">
        <v>103</v>
      </c>
      <c r="H53" s="31" t="s">
        <v>79</v>
      </c>
      <c r="I53" s="31" t="s">
        <v>252</v>
      </c>
      <c r="J53" s="58" t="s">
        <v>253</v>
      </c>
      <c r="K53" s="58" t="s">
        <v>254</v>
      </c>
      <c r="L53" s="31" t="s">
        <v>107</v>
      </c>
      <c r="M53" s="31" t="s">
        <v>108</v>
      </c>
      <c r="N53" s="31">
        <v>4431</v>
      </c>
      <c r="O53" s="31">
        <v>5000</v>
      </c>
      <c r="P53" s="36"/>
      <c r="Q53" s="31" t="s">
        <v>255</v>
      </c>
      <c r="R53" s="31" t="s">
        <v>256</v>
      </c>
      <c r="S53" s="31">
        <f ca="1">IFERROR(__xludf.DUMMYFUNCTION("ARRAYFORMULA(VALUE(QUERY((importrange(""129OBcxqSDyZj96BM0JshWrjZR5LrrReqJk2O0W0jThk"",""TOTALES!E2:P3"")),""Select*"",1)))"),1984)</f>
        <v>1984</v>
      </c>
      <c r="T53" s="31">
        <f ca="1">IFERROR(__xludf.DUMMYFUNCTION("""COMPUTED_VALUE"""),1681)</f>
        <v>1681</v>
      </c>
      <c r="U53" s="31">
        <f ca="1">IFERROR(__xludf.DUMMYFUNCTION("""COMPUTED_VALUE"""),0)</f>
        <v>0</v>
      </c>
      <c r="V53" s="31">
        <f ca="1">IFERROR(__xludf.DUMMYFUNCTION("""COMPUTED_VALUE"""),0)</f>
        <v>0</v>
      </c>
      <c r="W53" s="31">
        <f ca="1">IFERROR(__xludf.DUMMYFUNCTION("""COMPUTED_VALUE"""),0)</f>
        <v>0</v>
      </c>
      <c r="X53" s="31">
        <f ca="1">IFERROR(__xludf.DUMMYFUNCTION("""COMPUTED_VALUE"""),0)</f>
        <v>0</v>
      </c>
      <c r="Y53" s="31">
        <f ca="1">IFERROR(__xludf.DUMMYFUNCTION("""COMPUTED_VALUE"""),145)</f>
        <v>145</v>
      </c>
      <c r="Z53" s="31">
        <f ca="1">IFERROR(__xludf.DUMMYFUNCTION("""COMPUTED_VALUE"""),41)</f>
        <v>41</v>
      </c>
      <c r="AA53" s="31">
        <f ca="1">IFERROR(__xludf.DUMMYFUNCTION("""COMPUTED_VALUE"""),33)</f>
        <v>33</v>
      </c>
      <c r="AB53" s="31">
        <f ca="1">IFERROR(__xludf.DUMMYFUNCTION("""COMPUTED_VALUE"""),0)</f>
        <v>0</v>
      </c>
      <c r="AC53" s="31">
        <f ca="1">IFERROR(__xludf.DUMMYFUNCTION("""COMPUTED_VALUE"""),0)</f>
        <v>0</v>
      </c>
      <c r="AD53" s="31">
        <f ca="1">IFERROR(__xludf.DUMMYFUNCTION("""COMPUTED_VALUE"""),0)</f>
        <v>0</v>
      </c>
      <c r="AE53" s="46">
        <f t="shared" ca="1" si="0"/>
        <v>3665</v>
      </c>
      <c r="AF53" s="115"/>
    </row>
    <row r="54" spans="1:32" ht="199.5">
      <c r="A54" s="48" t="s">
        <v>88</v>
      </c>
      <c r="B54" s="48"/>
      <c r="C54" s="74" t="s">
        <v>257</v>
      </c>
      <c r="D54" s="31" t="s">
        <v>258</v>
      </c>
      <c r="E54" s="31" t="s">
        <v>259</v>
      </c>
      <c r="F54" s="31" t="s">
        <v>260</v>
      </c>
      <c r="G54" s="31" t="s">
        <v>103</v>
      </c>
      <c r="H54" s="31" t="s">
        <v>114</v>
      </c>
      <c r="I54" s="31" t="s">
        <v>261</v>
      </c>
      <c r="J54" s="58" t="s">
        <v>262</v>
      </c>
      <c r="K54" s="58" t="s">
        <v>263</v>
      </c>
      <c r="L54" s="31" t="s">
        <v>107</v>
      </c>
      <c r="M54" s="31" t="s">
        <v>108</v>
      </c>
      <c r="N54" s="31">
        <v>17</v>
      </c>
      <c r="O54" s="31">
        <v>7</v>
      </c>
      <c r="P54" s="54"/>
      <c r="Q54" s="31" t="s">
        <v>264</v>
      </c>
      <c r="R54" s="31" t="s">
        <v>265</v>
      </c>
      <c r="S54" s="31">
        <f ca="1">IFERROR(__xludf.DUMMYFUNCTION("""COMPUTED_VALUE"""),1)</f>
        <v>1</v>
      </c>
      <c r="T54" s="31">
        <f ca="1">IFERROR(__xludf.DUMMYFUNCTION("""COMPUTED_VALUE"""),1)</f>
        <v>1</v>
      </c>
      <c r="U54" s="31">
        <f ca="1">IFERROR(__xludf.DUMMYFUNCTION("""COMPUTED_VALUE"""),2)</f>
        <v>2</v>
      </c>
      <c r="V54" s="31">
        <f ca="1">IFERROR(__xludf.DUMMYFUNCTION("""COMPUTED_VALUE"""),7)</f>
        <v>7</v>
      </c>
      <c r="W54" s="31">
        <f ca="1">IFERROR(__xludf.DUMMYFUNCTION("""COMPUTED_VALUE"""),0)</f>
        <v>0</v>
      </c>
      <c r="X54" s="31">
        <f ca="1">IFERROR(__xludf.DUMMYFUNCTION("""COMPUTED_VALUE"""),1)</f>
        <v>1</v>
      </c>
      <c r="Y54" s="31">
        <f ca="1">IFERROR(__xludf.DUMMYFUNCTION("""COMPUTED_VALUE"""),1)</f>
        <v>1</v>
      </c>
      <c r="Z54" s="31">
        <f ca="1">IFERROR(__xludf.DUMMYFUNCTION("""COMPUTED_VALUE"""),2)</f>
        <v>2</v>
      </c>
      <c r="AA54" s="31">
        <f ca="1">IFERROR(__xludf.DUMMYFUNCTION("""COMPUTED_VALUE"""),2)</f>
        <v>2</v>
      </c>
      <c r="AB54" s="31">
        <f ca="1">IFERROR(__xludf.DUMMYFUNCTION("""COMPUTED_VALUE"""),0)</f>
        <v>0</v>
      </c>
      <c r="AC54" s="31">
        <f ca="1">IFERROR(__xludf.DUMMYFUNCTION("""COMPUTED_VALUE"""),0)</f>
        <v>0</v>
      </c>
      <c r="AD54" s="31">
        <f ca="1">IFERROR(__xludf.DUMMYFUNCTION("""COMPUTED_VALUE"""),0)</f>
        <v>0</v>
      </c>
      <c r="AE54" s="46">
        <f t="shared" ca="1" si="0"/>
        <v>4</v>
      </c>
      <c r="AF54" s="115"/>
    </row>
    <row r="55" spans="1:32" ht="128.25">
      <c r="A55" s="23" t="s">
        <v>88</v>
      </c>
      <c r="B55" s="75" t="s">
        <v>98</v>
      </c>
      <c r="C55" s="44" t="s">
        <v>266</v>
      </c>
      <c r="D55" s="31" t="s">
        <v>267</v>
      </c>
      <c r="E55" s="31" t="s">
        <v>268</v>
      </c>
      <c r="F55" s="31" t="s">
        <v>269</v>
      </c>
      <c r="G55" s="31" t="s">
        <v>103</v>
      </c>
      <c r="H55" s="31" t="s">
        <v>79</v>
      </c>
      <c r="I55" s="31" t="s">
        <v>270</v>
      </c>
      <c r="J55" s="76" t="s">
        <v>271</v>
      </c>
      <c r="K55" s="77" t="s">
        <v>272</v>
      </c>
      <c r="L55" s="31" t="s">
        <v>107</v>
      </c>
      <c r="M55" s="31" t="s">
        <v>108</v>
      </c>
      <c r="N55" s="78" t="s">
        <v>85</v>
      </c>
      <c r="O55" s="31">
        <v>1100</v>
      </c>
      <c r="P55" s="36"/>
      <c r="Q55" s="31" t="s">
        <v>273</v>
      </c>
      <c r="R55" s="31" t="s">
        <v>274</v>
      </c>
      <c r="S55" s="31">
        <f ca="1">IFERROR(__xludf.DUMMYFUNCTION("ARRAYFORMULA(VALUE(QUERY((importrange(""1VEztdOMa-Y0eWUiFHDIS4eRbaAmfDSqM1-Yeu47QVEY"",""TOTALES!E2:P4"")),""Select*"",1)))"),89)</f>
        <v>89</v>
      </c>
      <c r="T55" s="31">
        <f ca="1">IFERROR(__xludf.DUMMYFUNCTION("""COMPUTED_VALUE"""),101)</f>
        <v>101</v>
      </c>
      <c r="U55" s="31">
        <f ca="1">IFERROR(__xludf.DUMMYFUNCTION("""COMPUTED_VALUE"""),90)</f>
        <v>90</v>
      </c>
      <c r="V55" s="31">
        <f ca="1">IFERROR(__xludf.DUMMYFUNCTION("""COMPUTED_VALUE"""),49)</f>
        <v>49</v>
      </c>
      <c r="W55" s="31">
        <f ca="1">IFERROR(__xludf.DUMMYFUNCTION("""COMPUTED_VALUE"""),113)</f>
        <v>113</v>
      </c>
      <c r="X55" s="31">
        <f ca="1">IFERROR(__xludf.DUMMYFUNCTION("""COMPUTED_VALUE"""),107)</f>
        <v>107</v>
      </c>
      <c r="Y55" s="31">
        <f ca="1">IFERROR(__xludf.DUMMYFUNCTION("""COMPUTED_VALUE"""),107)</f>
        <v>107</v>
      </c>
      <c r="Z55" s="31">
        <f ca="1">IFERROR(__xludf.DUMMYFUNCTION("""COMPUTED_VALUE"""),99)</f>
        <v>99</v>
      </c>
      <c r="AA55" s="31">
        <f ca="1">IFERROR(__xludf.DUMMYFUNCTION("""COMPUTED_VALUE"""),66)</f>
        <v>66</v>
      </c>
      <c r="AB55" s="31">
        <f ca="1">IFERROR(__xludf.DUMMYFUNCTION("""COMPUTED_VALUE"""),0)</f>
        <v>0</v>
      </c>
      <c r="AC55" s="31">
        <f ca="1">IFERROR(__xludf.DUMMYFUNCTION("""COMPUTED_VALUE"""),0)</f>
        <v>0</v>
      </c>
      <c r="AD55" s="31">
        <f ca="1">IFERROR(__xludf.DUMMYFUNCTION("""COMPUTED_VALUE"""),0)</f>
        <v>0</v>
      </c>
      <c r="AE55" s="46">
        <f t="shared" ca="1" si="0"/>
        <v>280</v>
      </c>
      <c r="AF55" s="115"/>
    </row>
    <row r="56" spans="1:32" ht="156.75">
      <c r="A56" s="47" t="s">
        <v>74</v>
      </c>
      <c r="B56" s="79"/>
      <c r="C56" s="49" t="s">
        <v>275</v>
      </c>
      <c r="D56" s="31" t="s">
        <v>276</v>
      </c>
      <c r="E56" s="31" t="s">
        <v>277</v>
      </c>
      <c r="F56" s="31" t="s">
        <v>278</v>
      </c>
      <c r="G56" s="31" t="s">
        <v>103</v>
      </c>
      <c r="H56" s="31" t="s">
        <v>114</v>
      </c>
      <c r="I56" s="31" t="s">
        <v>279</v>
      </c>
      <c r="J56" s="58" t="s">
        <v>280</v>
      </c>
      <c r="K56" s="58" t="s">
        <v>281</v>
      </c>
      <c r="L56" s="31" t="s">
        <v>107</v>
      </c>
      <c r="M56" s="31" t="s">
        <v>108</v>
      </c>
      <c r="N56" s="78" t="s">
        <v>85</v>
      </c>
      <c r="O56" s="31">
        <v>700</v>
      </c>
      <c r="P56" s="36"/>
      <c r="Q56" s="31" t="s">
        <v>282</v>
      </c>
      <c r="R56" s="31" t="s">
        <v>283</v>
      </c>
      <c r="S56" s="31">
        <f ca="1">IFERROR(__xludf.DUMMYFUNCTION("""COMPUTED_VALUE"""),46)</f>
        <v>46</v>
      </c>
      <c r="T56" s="31">
        <f ca="1">IFERROR(__xludf.DUMMYFUNCTION("""COMPUTED_VALUE"""),61)</f>
        <v>61</v>
      </c>
      <c r="U56" s="31">
        <f ca="1">IFERROR(__xludf.DUMMYFUNCTION("""COMPUTED_VALUE"""),71)</f>
        <v>71</v>
      </c>
      <c r="V56" s="31">
        <f ca="1">IFERROR(__xludf.DUMMYFUNCTION("""COMPUTED_VALUE"""),30)</f>
        <v>30</v>
      </c>
      <c r="W56" s="31">
        <f ca="1">IFERROR(__xludf.DUMMYFUNCTION("""COMPUTED_VALUE"""),85)</f>
        <v>85</v>
      </c>
      <c r="X56" s="31">
        <f ca="1">IFERROR(__xludf.DUMMYFUNCTION("""COMPUTED_VALUE"""),68)</f>
        <v>68</v>
      </c>
      <c r="Y56" s="31">
        <f ca="1">IFERROR(__xludf.DUMMYFUNCTION("""COMPUTED_VALUE"""),62)</f>
        <v>62</v>
      </c>
      <c r="Z56" s="31">
        <f ca="1">IFERROR(__xludf.DUMMYFUNCTION("""COMPUTED_VALUE"""),63)</f>
        <v>63</v>
      </c>
      <c r="AA56" s="31">
        <f ca="1">IFERROR(__xludf.DUMMYFUNCTION("""COMPUTED_VALUE"""),54)</f>
        <v>54</v>
      </c>
      <c r="AB56" s="31">
        <f ca="1">IFERROR(__xludf.DUMMYFUNCTION("""COMPUTED_VALUE"""),0)</f>
        <v>0</v>
      </c>
      <c r="AC56" s="31">
        <f ca="1">IFERROR(__xludf.DUMMYFUNCTION("""COMPUTED_VALUE"""),0)</f>
        <v>0</v>
      </c>
      <c r="AD56" s="31">
        <f ca="1">IFERROR(__xludf.DUMMYFUNCTION("""COMPUTED_VALUE"""),0)</f>
        <v>0</v>
      </c>
      <c r="AE56" s="46">
        <f t="shared" ca="1" si="0"/>
        <v>178</v>
      </c>
      <c r="AF56" s="115">
        <f t="shared" ref="AF56:AF60" ca="1" si="5">AE56/O56</f>
        <v>0.25428571428571428</v>
      </c>
    </row>
    <row r="57" spans="1:32" ht="114">
      <c r="A57" s="71" t="s">
        <v>88</v>
      </c>
      <c r="B57" s="79"/>
      <c r="C57" s="49" t="s">
        <v>284</v>
      </c>
      <c r="D57" s="31" t="s">
        <v>285</v>
      </c>
      <c r="E57" s="31" t="s">
        <v>286</v>
      </c>
      <c r="F57" s="31" t="s">
        <v>287</v>
      </c>
      <c r="G57" s="31" t="s">
        <v>103</v>
      </c>
      <c r="H57" s="31" t="s">
        <v>114</v>
      </c>
      <c r="I57" s="31" t="s">
        <v>288</v>
      </c>
      <c r="J57" s="58" t="s">
        <v>289</v>
      </c>
      <c r="K57" s="58" t="s">
        <v>290</v>
      </c>
      <c r="L57" s="31" t="s">
        <v>107</v>
      </c>
      <c r="M57" s="31" t="s">
        <v>108</v>
      </c>
      <c r="N57" s="78" t="s">
        <v>85</v>
      </c>
      <c r="O57" s="31">
        <v>400</v>
      </c>
      <c r="P57" s="80"/>
      <c r="Q57" s="31" t="s">
        <v>291</v>
      </c>
      <c r="R57" s="31" t="s">
        <v>292</v>
      </c>
      <c r="S57" s="31">
        <f ca="1">IFERROR(__xludf.DUMMYFUNCTION("""COMPUTED_VALUE"""),36)</f>
        <v>36</v>
      </c>
      <c r="T57" s="31">
        <f ca="1">IFERROR(__xludf.DUMMYFUNCTION("""COMPUTED_VALUE"""),29)</f>
        <v>29</v>
      </c>
      <c r="U57" s="31">
        <f ca="1">IFERROR(__xludf.DUMMYFUNCTION("""COMPUTED_VALUE"""),31)</f>
        <v>31</v>
      </c>
      <c r="V57" s="31">
        <f ca="1">IFERROR(__xludf.DUMMYFUNCTION("""COMPUTED_VALUE"""),19)</f>
        <v>19</v>
      </c>
      <c r="W57" s="31">
        <f ca="1">IFERROR(__xludf.DUMMYFUNCTION("""COMPUTED_VALUE"""),28)</f>
        <v>28</v>
      </c>
      <c r="X57" s="31">
        <f ca="1">IFERROR(__xludf.DUMMYFUNCTION("""COMPUTED_VALUE"""),39)</f>
        <v>39</v>
      </c>
      <c r="Y57" s="31">
        <f ca="1">IFERROR(__xludf.DUMMYFUNCTION("""COMPUTED_VALUE"""),45)</f>
        <v>45</v>
      </c>
      <c r="Z57" s="31">
        <f ca="1">IFERROR(__xludf.DUMMYFUNCTION("""COMPUTED_VALUE"""),36)</f>
        <v>36</v>
      </c>
      <c r="AA57" s="31">
        <f ca="1">IFERROR(__xludf.DUMMYFUNCTION("""COMPUTED_VALUE"""),12)</f>
        <v>12</v>
      </c>
      <c r="AB57" s="31">
        <f ca="1">IFERROR(__xludf.DUMMYFUNCTION("""COMPUTED_VALUE"""),0)</f>
        <v>0</v>
      </c>
      <c r="AC57" s="31">
        <f ca="1">IFERROR(__xludf.DUMMYFUNCTION("""COMPUTED_VALUE"""),0)</f>
        <v>0</v>
      </c>
      <c r="AD57" s="31">
        <f ca="1">IFERROR(__xludf.DUMMYFUNCTION("""COMPUTED_VALUE"""),0)</f>
        <v>0</v>
      </c>
      <c r="AE57" s="46">
        <f t="shared" ca="1" si="0"/>
        <v>96</v>
      </c>
      <c r="AF57" s="115">
        <f t="shared" ca="1" si="5"/>
        <v>0.24</v>
      </c>
    </row>
    <row r="58" spans="1:32" ht="128.25">
      <c r="B58" s="72" t="s">
        <v>293</v>
      </c>
      <c r="C58" s="44" t="s">
        <v>294</v>
      </c>
      <c r="D58" s="31" t="s">
        <v>295</v>
      </c>
      <c r="E58" s="31" t="s">
        <v>296</v>
      </c>
      <c r="F58" s="31" t="s">
        <v>297</v>
      </c>
      <c r="G58" s="31" t="s">
        <v>103</v>
      </c>
      <c r="H58" s="31" t="s">
        <v>79</v>
      </c>
      <c r="I58" s="31" t="s">
        <v>298</v>
      </c>
      <c r="J58" s="58" t="s">
        <v>299</v>
      </c>
      <c r="K58" s="58" t="s">
        <v>300</v>
      </c>
      <c r="L58" s="31" t="s">
        <v>107</v>
      </c>
      <c r="M58" s="31" t="s">
        <v>108</v>
      </c>
      <c r="N58" s="81">
        <v>12</v>
      </c>
      <c r="O58" s="31">
        <v>12</v>
      </c>
      <c r="P58" s="80"/>
      <c r="Q58" s="31" t="s">
        <v>301</v>
      </c>
      <c r="R58" s="31" t="s">
        <v>302</v>
      </c>
      <c r="S58" s="31">
        <f ca="1">IFERROR(__xludf.DUMMYFUNCTION("ARRAYFORMULA(VALUE(QUERY((importrange(""1KdaFVqJFJ9ZqFh7rOAds5taz4NRv7kh6I4IScrpooUQ"",""TOTALES!E2:P4"")),""Select*"",1)))"),1)</f>
        <v>1</v>
      </c>
      <c r="T58" s="31">
        <f ca="1">IFERROR(__xludf.DUMMYFUNCTION("""COMPUTED_VALUE"""),1)</f>
        <v>1</v>
      </c>
      <c r="U58" s="31">
        <f ca="1">IFERROR(__xludf.DUMMYFUNCTION("""COMPUTED_VALUE"""),1)</f>
        <v>1</v>
      </c>
      <c r="V58" s="31">
        <f ca="1">IFERROR(__xludf.DUMMYFUNCTION("""COMPUTED_VALUE"""),0)</f>
        <v>0</v>
      </c>
      <c r="W58" s="31">
        <f ca="1">IFERROR(__xludf.DUMMYFUNCTION("""COMPUTED_VALUE"""),1)</f>
        <v>1</v>
      </c>
      <c r="X58" s="31">
        <f ca="1">IFERROR(__xludf.DUMMYFUNCTION("""COMPUTED_VALUE"""),1)</f>
        <v>1</v>
      </c>
      <c r="Y58" s="31">
        <f ca="1">IFERROR(__xludf.DUMMYFUNCTION("""COMPUTED_VALUE"""),1)</f>
        <v>1</v>
      </c>
      <c r="Z58" s="31">
        <f ca="1">IFERROR(__xludf.DUMMYFUNCTION("""COMPUTED_VALUE"""),1)</f>
        <v>1</v>
      </c>
      <c r="AA58" s="31">
        <f ca="1">IFERROR(__xludf.DUMMYFUNCTION("""COMPUTED_VALUE"""),1)</f>
        <v>1</v>
      </c>
      <c r="AB58" s="31">
        <f ca="1">IFERROR(__xludf.DUMMYFUNCTION("""COMPUTED_VALUE"""),0)</f>
        <v>0</v>
      </c>
      <c r="AC58" s="31">
        <f ca="1">IFERROR(__xludf.DUMMYFUNCTION("""COMPUTED_VALUE"""),0)</f>
        <v>0</v>
      </c>
      <c r="AD58" s="31">
        <f ca="1">IFERROR(__xludf.DUMMYFUNCTION("""COMPUTED_VALUE"""),0)</f>
        <v>0</v>
      </c>
      <c r="AE58" s="46">
        <f t="shared" ca="1" si="0"/>
        <v>3</v>
      </c>
      <c r="AF58" s="115">
        <f t="shared" ca="1" si="5"/>
        <v>0.25</v>
      </c>
    </row>
    <row r="59" spans="1:32" ht="128.25">
      <c r="A59" s="48" t="s">
        <v>74</v>
      </c>
      <c r="B59" s="48"/>
      <c r="C59" s="49" t="s">
        <v>303</v>
      </c>
      <c r="D59" s="31" t="s">
        <v>304</v>
      </c>
      <c r="E59" s="31" t="s">
        <v>305</v>
      </c>
      <c r="F59" s="32" t="s">
        <v>306</v>
      </c>
      <c r="G59" s="31" t="s">
        <v>103</v>
      </c>
      <c r="H59" s="31" t="s">
        <v>114</v>
      </c>
      <c r="I59" s="31" t="s">
        <v>381</v>
      </c>
      <c r="J59" s="58" t="s">
        <v>308</v>
      </c>
      <c r="K59" s="58" t="s">
        <v>401</v>
      </c>
      <c r="L59" s="31" t="s">
        <v>107</v>
      </c>
      <c r="M59" s="31" t="s">
        <v>184</v>
      </c>
      <c r="N59" s="78" t="s">
        <v>85</v>
      </c>
      <c r="O59" s="31">
        <v>110</v>
      </c>
      <c r="P59" s="36"/>
      <c r="Q59" s="31" t="s">
        <v>309</v>
      </c>
      <c r="R59" s="31" t="s">
        <v>310</v>
      </c>
      <c r="S59" s="31">
        <f ca="1">IFERROR(__xludf.DUMMYFUNCTION("""COMPUTED_VALUE"""),82)</f>
        <v>82</v>
      </c>
      <c r="T59" s="31">
        <f ca="1">IFERROR(__xludf.DUMMYFUNCTION("""COMPUTED_VALUE"""),84)</f>
        <v>84</v>
      </c>
      <c r="U59" s="31">
        <f ca="1">IFERROR(__xludf.DUMMYFUNCTION("""COMPUTED_VALUE"""),77)</f>
        <v>77</v>
      </c>
      <c r="V59" s="31">
        <f ca="1">IFERROR(__xludf.DUMMYFUNCTION("""COMPUTED_VALUE"""),109)</f>
        <v>109</v>
      </c>
      <c r="W59" s="31">
        <f ca="1">IFERROR(__xludf.DUMMYFUNCTION("""COMPUTED_VALUE"""),112)</f>
        <v>112</v>
      </c>
      <c r="X59" s="31">
        <f ca="1">IFERROR(__xludf.DUMMYFUNCTION("""COMPUTED_VALUE"""),114)</f>
        <v>114</v>
      </c>
      <c r="Y59" s="31">
        <f ca="1">IFERROR(__xludf.DUMMYFUNCTION("""COMPUTED_VALUE"""),108)</f>
        <v>108</v>
      </c>
      <c r="Z59" s="31">
        <f ca="1">IFERROR(__xludf.DUMMYFUNCTION("""COMPUTED_VALUE"""),106)</f>
        <v>106</v>
      </c>
      <c r="AA59" s="31">
        <f ca="1">IFERROR(__xludf.DUMMYFUNCTION("""COMPUTED_VALUE"""),206)</f>
        <v>206</v>
      </c>
      <c r="AB59" s="31">
        <f ca="1">IFERROR(__xludf.DUMMYFUNCTION("""COMPUTED_VALUE"""),0)</f>
        <v>0</v>
      </c>
      <c r="AC59" s="31">
        <f ca="1">IFERROR(__xludf.DUMMYFUNCTION("""COMPUTED_VALUE"""),0)</f>
        <v>0</v>
      </c>
      <c r="AD59" s="31">
        <f ca="1">IFERROR(__xludf.DUMMYFUNCTION("""COMPUTED_VALUE"""),0)</f>
        <v>0</v>
      </c>
      <c r="AE59" s="46">
        <f t="shared" ca="1" si="0"/>
        <v>243</v>
      </c>
      <c r="AF59" s="115">
        <f t="shared" ca="1" si="5"/>
        <v>2.209090909090909</v>
      </c>
    </row>
    <row r="60" spans="1:32" ht="157.5">
      <c r="A60" s="48" t="s">
        <v>88</v>
      </c>
      <c r="B60" s="48"/>
      <c r="C60" s="49" t="s">
        <v>311</v>
      </c>
      <c r="D60" s="82" t="s">
        <v>312</v>
      </c>
      <c r="E60" s="83" t="s">
        <v>313</v>
      </c>
      <c r="F60" s="139" t="s">
        <v>402</v>
      </c>
      <c r="G60" s="83" t="s">
        <v>103</v>
      </c>
      <c r="H60" s="83" t="s">
        <v>114</v>
      </c>
      <c r="I60" s="83" t="s">
        <v>403</v>
      </c>
      <c r="J60" s="85" t="s">
        <v>316</v>
      </c>
      <c r="K60" s="85" t="s">
        <v>404</v>
      </c>
      <c r="L60" s="83" t="s">
        <v>107</v>
      </c>
      <c r="M60" s="83" t="s">
        <v>184</v>
      </c>
      <c r="N60" s="87" t="s">
        <v>85</v>
      </c>
      <c r="O60" s="83">
        <v>150</v>
      </c>
      <c r="P60" s="89"/>
      <c r="Q60" s="83" t="s">
        <v>318</v>
      </c>
      <c r="R60" s="83" t="s">
        <v>310</v>
      </c>
      <c r="S60" s="31">
        <f ca="1">IFERROR(__xludf.DUMMYFUNCTION("""COMPUTED_VALUE"""),155)</f>
        <v>155</v>
      </c>
      <c r="T60" s="31">
        <f ca="1">IFERROR(__xludf.DUMMYFUNCTION("""COMPUTED_VALUE"""),164)</f>
        <v>164</v>
      </c>
      <c r="U60" s="31">
        <f ca="1">IFERROR(__xludf.DUMMYFUNCTION("""COMPUTED_VALUE"""),207)</f>
        <v>207</v>
      </c>
      <c r="V60" s="31">
        <f ca="1">IFERROR(__xludf.DUMMYFUNCTION("""COMPUTED_VALUE"""),0)</f>
        <v>0</v>
      </c>
      <c r="W60" s="31">
        <f ca="1">IFERROR(__xludf.DUMMYFUNCTION("""COMPUTED_VALUE"""),191)</f>
        <v>191</v>
      </c>
      <c r="X60" s="31">
        <f ca="1">IFERROR(__xludf.DUMMYFUNCTION("""COMPUTED_VALUE"""),118)</f>
        <v>118</v>
      </c>
      <c r="Y60" s="31">
        <f ca="1">IFERROR(__xludf.DUMMYFUNCTION("""COMPUTED_VALUE"""),140)</f>
        <v>140</v>
      </c>
      <c r="Z60" s="31">
        <f ca="1">IFERROR(__xludf.DUMMYFUNCTION("""COMPUTED_VALUE"""),83)</f>
        <v>83</v>
      </c>
      <c r="AA60" s="31">
        <f ca="1">IFERROR(__xludf.DUMMYFUNCTION("""COMPUTED_VALUE"""),198)</f>
        <v>198</v>
      </c>
      <c r="AB60" s="31">
        <f ca="1">IFERROR(__xludf.DUMMYFUNCTION("""COMPUTED_VALUE"""),0)</f>
        <v>0</v>
      </c>
      <c r="AC60" s="31">
        <f ca="1">IFERROR(__xludf.DUMMYFUNCTION("""COMPUTED_VALUE"""),0)</f>
        <v>0</v>
      </c>
      <c r="AD60" s="31">
        <f ca="1">IFERROR(__xludf.DUMMYFUNCTION("""COMPUTED_VALUE"""),0)</f>
        <v>0</v>
      </c>
      <c r="AE60" s="46">
        <f t="shared" ca="1" si="0"/>
        <v>526</v>
      </c>
      <c r="AF60" s="115">
        <f t="shared" ca="1" si="5"/>
        <v>3.5066666666666668</v>
      </c>
    </row>
    <row r="61" spans="1:32" ht="15.75">
      <c r="A61" s="90"/>
      <c r="B61" s="91"/>
      <c r="S61" s="9"/>
      <c r="AF61" s="105"/>
    </row>
    <row r="62" spans="1:32" ht="15.75">
      <c r="D62" s="92"/>
      <c r="E62" s="92"/>
      <c r="F62" s="92"/>
      <c r="G62" s="92"/>
      <c r="H62" s="92"/>
      <c r="AF62" s="105"/>
    </row>
    <row r="63" spans="1:32" ht="15.75">
      <c r="D63" s="92"/>
      <c r="E63" s="92"/>
      <c r="F63" s="92"/>
      <c r="G63" s="92"/>
      <c r="H63" s="92"/>
      <c r="AF63" s="105"/>
    </row>
    <row r="64" spans="1:32" ht="15.75">
      <c r="D64" s="92"/>
      <c r="E64" s="92"/>
      <c r="F64" s="92"/>
      <c r="G64" s="92"/>
      <c r="H64" s="92"/>
      <c r="AF64" s="105"/>
    </row>
    <row r="65" spans="4:32" ht="15.75">
      <c r="D65" s="92"/>
      <c r="E65" s="92"/>
      <c r="F65" s="92"/>
      <c r="G65" s="92"/>
      <c r="H65" s="92"/>
      <c r="AF65" s="105"/>
    </row>
    <row r="66" spans="4:32" ht="15.75">
      <c r="D66" s="92"/>
      <c r="E66" s="92"/>
      <c r="F66" s="92"/>
      <c r="G66" s="92"/>
      <c r="H66" s="92"/>
      <c r="AF66" s="105"/>
    </row>
    <row r="67" spans="4:32" ht="15.75">
      <c r="D67" s="92"/>
      <c r="E67" s="92"/>
      <c r="F67" s="92"/>
      <c r="G67" s="92"/>
      <c r="H67" s="92"/>
      <c r="AF67" s="105"/>
    </row>
    <row r="68" spans="4:32" ht="15.75">
      <c r="D68" s="92"/>
      <c r="E68" s="92"/>
      <c r="F68" s="92"/>
      <c r="G68" s="92"/>
      <c r="H68" s="92"/>
      <c r="AF68" s="105"/>
    </row>
    <row r="69" spans="4:32" ht="15.75">
      <c r="D69" s="92"/>
      <c r="E69" s="92"/>
      <c r="F69" s="92"/>
      <c r="G69" s="92"/>
      <c r="H69" s="92"/>
      <c r="AF69" s="105"/>
    </row>
    <row r="70" spans="4:32" ht="15.75">
      <c r="D70" s="92"/>
      <c r="E70" s="92"/>
      <c r="F70" s="92"/>
      <c r="G70" s="92"/>
      <c r="H70" s="92"/>
      <c r="AF70" s="105"/>
    </row>
    <row r="71" spans="4:32" ht="15.75">
      <c r="D71" s="92"/>
      <c r="E71" s="92"/>
      <c r="F71" s="92"/>
      <c r="G71" s="92"/>
      <c r="H71" s="92"/>
      <c r="AF71" s="105"/>
    </row>
    <row r="72" spans="4:32" ht="15.75">
      <c r="D72" s="92"/>
      <c r="E72" s="92"/>
      <c r="F72" s="92"/>
      <c r="G72" s="92"/>
      <c r="H72" s="92"/>
      <c r="AF72" s="105"/>
    </row>
    <row r="73" spans="4:32" ht="15.75">
      <c r="D73" s="92"/>
      <c r="E73" s="92"/>
      <c r="F73" s="92"/>
      <c r="G73" s="92"/>
      <c r="H73" s="92"/>
      <c r="AF73" s="105"/>
    </row>
    <row r="74" spans="4:32" ht="15.75">
      <c r="D74" s="92"/>
      <c r="E74" s="92"/>
      <c r="F74" s="92"/>
      <c r="G74" s="92"/>
      <c r="H74" s="92"/>
      <c r="AF74" s="105"/>
    </row>
    <row r="75" spans="4:32" ht="15.75">
      <c r="D75" s="92"/>
      <c r="E75" s="92"/>
      <c r="F75" s="92"/>
      <c r="G75" s="92"/>
      <c r="H75" s="92"/>
      <c r="AF75" s="105"/>
    </row>
    <row r="76" spans="4:32" ht="15.75">
      <c r="D76" s="92"/>
      <c r="E76" s="92"/>
      <c r="F76" s="92"/>
      <c r="G76" s="92"/>
      <c r="H76" s="92"/>
      <c r="AF76" s="105"/>
    </row>
    <row r="77" spans="4:32" ht="15.75">
      <c r="D77" s="92"/>
      <c r="E77" s="92"/>
      <c r="F77" s="92"/>
      <c r="G77" s="92"/>
      <c r="H77" s="92"/>
      <c r="AF77" s="105"/>
    </row>
    <row r="78" spans="4:32" ht="15.75">
      <c r="D78" s="92"/>
      <c r="E78" s="92"/>
      <c r="F78" s="92"/>
      <c r="G78" s="92"/>
      <c r="H78" s="92"/>
      <c r="AF78" s="105"/>
    </row>
    <row r="79" spans="4:32" ht="15.75">
      <c r="D79" s="92"/>
      <c r="E79" s="92"/>
      <c r="F79" s="92"/>
      <c r="G79" s="92"/>
      <c r="H79" s="92"/>
      <c r="AF79" s="105"/>
    </row>
    <row r="80" spans="4:32" ht="15.75">
      <c r="D80" s="92"/>
      <c r="E80" s="92"/>
      <c r="F80" s="92"/>
      <c r="G80" s="92"/>
      <c r="H80" s="92"/>
      <c r="AF80" s="105"/>
    </row>
    <row r="81" spans="4:32" ht="15.75">
      <c r="D81" s="92"/>
      <c r="E81" s="92"/>
      <c r="F81" s="92"/>
      <c r="G81" s="92"/>
      <c r="H81" s="92"/>
      <c r="AF81" s="105"/>
    </row>
    <row r="82" spans="4:32" ht="15.75">
      <c r="D82" s="92"/>
      <c r="E82" s="92"/>
      <c r="F82" s="92"/>
      <c r="G82" s="92"/>
      <c r="H82" s="92"/>
      <c r="AF82" s="105"/>
    </row>
    <row r="83" spans="4:32" ht="15.75">
      <c r="D83" s="92"/>
      <c r="E83" s="92"/>
      <c r="F83" s="92"/>
      <c r="G83" s="92"/>
      <c r="H83" s="92"/>
      <c r="AF83" s="105"/>
    </row>
    <row r="84" spans="4:32" ht="15.75">
      <c r="D84" s="92"/>
      <c r="E84" s="92"/>
      <c r="F84" s="92"/>
      <c r="G84" s="92"/>
      <c r="H84" s="92"/>
      <c r="AF84" s="105"/>
    </row>
    <row r="85" spans="4:32" ht="15.75">
      <c r="D85" s="92"/>
      <c r="E85" s="92"/>
      <c r="F85" s="92"/>
      <c r="G85" s="92"/>
      <c r="H85" s="92"/>
      <c r="AF85" s="105"/>
    </row>
    <row r="86" spans="4:32" ht="15.75">
      <c r="D86" s="92"/>
      <c r="E86" s="92"/>
      <c r="F86" s="92"/>
      <c r="G86" s="92"/>
      <c r="H86" s="92"/>
      <c r="AF86" s="105"/>
    </row>
    <row r="87" spans="4:32" ht="15.75">
      <c r="D87" s="92"/>
      <c r="E87" s="92"/>
      <c r="F87" s="92"/>
      <c r="G87" s="92"/>
      <c r="H87" s="92"/>
      <c r="AF87" s="105"/>
    </row>
    <row r="88" spans="4:32" ht="15.75">
      <c r="D88" s="92"/>
      <c r="E88" s="92"/>
      <c r="F88" s="92"/>
      <c r="G88" s="92"/>
      <c r="H88" s="92"/>
      <c r="AF88" s="105"/>
    </row>
    <row r="89" spans="4:32" ht="15.75">
      <c r="D89" s="92"/>
      <c r="E89" s="92"/>
      <c r="F89" s="92"/>
      <c r="G89" s="92"/>
      <c r="H89" s="92"/>
      <c r="AF89" s="105"/>
    </row>
    <row r="90" spans="4:32" ht="15.75">
      <c r="D90" s="92"/>
      <c r="E90" s="92"/>
      <c r="F90" s="92"/>
      <c r="G90" s="92"/>
      <c r="H90" s="92"/>
      <c r="AF90" s="105"/>
    </row>
    <row r="91" spans="4:32" ht="15.75">
      <c r="D91" s="92"/>
      <c r="E91" s="92"/>
      <c r="F91" s="92"/>
      <c r="G91" s="92"/>
      <c r="H91" s="92"/>
      <c r="AF91" s="105"/>
    </row>
    <row r="92" spans="4:32" ht="15.75">
      <c r="D92" s="92"/>
      <c r="E92" s="92"/>
      <c r="F92" s="92"/>
      <c r="G92" s="92"/>
      <c r="H92" s="92"/>
      <c r="AF92" s="105"/>
    </row>
    <row r="93" spans="4:32" ht="15.75">
      <c r="D93" s="92"/>
      <c r="E93" s="92"/>
      <c r="F93" s="92"/>
      <c r="G93" s="92"/>
      <c r="H93" s="92"/>
      <c r="AF93" s="105"/>
    </row>
    <row r="94" spans="4:32" ht="15.75">
      <c r="D94" s="92"/>
      <c r="E94" s="92"/>
      <c r="F94" s="92"/>
      <c r="G94" s="92"/>
      <c r="H94" s="92"/>
      <c r="AF94" s="105"/>
    </row>
    <row r="95" spans="4:32" ht="15.75">
      <c r="D95" s="92"/>
      <c r="E95" s="92"/>
      <c r="F95" s="92"/>
      <c r="G95" s="92"/>
      <c r="H95" s="92"/>
      <c r="AF95" s="105"/>
    </row>
    <row r="96" spans="4:32" ht="15.75">
      <c r="D96" s="92"/>
      <c r="E96" s="92"/>
      <c r="F96" s="92"/>
      <c r="G96" s="92"/>
      <c r="H96" s="92"/>
      <c r="AF96" s="105"/>
    </row>
    <row r="97" spans="4:32" ht="15.75">
      <c r="D97" s="92"/>
      <c r="E97" s="92"/>
      <c r="F97" s="92"/>
      <c r="G97" s="92"/>
      <c r="H97" s="92"/>
      <c r="AF97" s="105"/>
    </row>
    <row r="98" spans="4:32" ht="15.75">
      <c r="D98" s="92"/>
      <c r="E98" s="92"/>
      <c r="F98" s="92"/>
      <c r="G98" s="92"/>
      <c r="H98" s="92"/>
      <c r="AF98" s="105"/>
    </row>
    <row r="99" spans="4:32" ht="15.75">
      <c r="D99" s="92"/>
      <c r="E99" s="92"/>
      <c r="F99" s="92"/>
      <c r="G99" s="92"/>
      <c r="H99" s="92"/>
      <c r="AF99" s="105"/>
    </row>
    <row r="100" spans="4:32" ht="15.75">
      <c r="D100" s="92"/>
      <c r="E100" s="92"/>
      <c r="F100" s="92"/>
      <c r="G100" s="92"/>
      <c r="H100" s="92"/>
      <c r="AF100" s="105"/>
    </row>
    <row r="101" spans="4:32" ht="15.75">
      <c r="D101" s="92"/>
      <c r="E101" s="92"/>
      <c r="F101" s="92"/>
      <c r="G101" s="92"/>
      <c r="H101" s="92"/>
      <c r="AF101" s="105"/>
    </row>
    <row r="102" spans="4:32" ht="15.75">
      <c r="D102" s="92"/>
      <c r="E102" s="92"/>
      <c r="F102" s="92"/>
      <c r="G102" s="92"/>
      <c r="H102" s="92"/>
      <c r="AF102" s="105"/>
    </row>
    <row r="103" spans="4:32" ht="15.75">
      <c r="D103" s="92"/>
      <c r="E103" s="92"/>
      <c r="F103" s="92"/>
      <c r="G103" s="92"/>
      <c r="H103" s="92"/>
      <c r="AF103" s="105"/>
    </row>
    <row r="104" spans="4:32" ht="15.75">
      <c r="D104" s="92"/>
      <c r="E104" s="92"/>
      <c r="F104" s="92"/>
      <c r="G104" s="92"/>
      <c r="H104" s="92"/>
      <c r="AF104" s="105"/>
    </row>
    <row r="105" spans="4:32" ht="15.75">
      <c r="D105" s="92"/>
      <c r="E105" s="92"/>
      <c r="F105" s="92"/>
      <c r="G105" s="92"/>
      <c r="H105" s="92"/>
      <c r="AF105" s="105"/>
    </row>
    <row r="106" spans="4:32" ht="15.75">
      <c r="D106" s="92"/>
      <c r="E106" s="92"/>
      <c r="F106" s="92"/>
      <c r="G106" s="92"/>
      <c r="H106" s="92"/>
      <c r="AF106" s="105"/>
    </row>
    <row r="107" spans="4:32" ht="15.75">
      <c r="D107" s="92"/>
      <c r="E107" s="92"/>
      <c r="F107" s="92"/>
      <c r="G107" s="92"/>
      <c r="H107" s="92"/>
      <c r="AF107" s="105"/>
    </row>
    <row r="108" spans="4:32" ht="15.75">
      <c r="D108" s="92"/>
      <c r="E108" s="92"/>
      <c r="F108" s="92"/>
      <c r="G108" s="92"/>
      <c r="H108" s="92"/>
      <c r="AF108" s="105"/>
    </row>
    <row r="109" spans="4:32" ht="15.75">
      <c r="D109" s="92"/>
      <c r="E109" s="92"/>
      <c r="F109" s="92"/>
      <c r="G109" s="92"/>
      <c r="H109" s="92"/>
      <c r="AF109" s="105"/>
    </row>
    <row r="110" spans="4:32" ht="15.75">
      <c r="D110" s="92"/>
      <c r="E110" s="92"/>
      <c r="F110" s="92"/>
      <c r="G110" s="92"/>
      <c r="H110" s="92"/>
      <c r="AF110" s="105"/>
    </row>
    <row r="111" spans="4:32" ht="15.75">
      <c r="D111" s="92"/>
      <c r="E111" s="92"/>
      <c r="F111" s="92"/>
      <c r="G111" s="92"/>
      <c r="H111" s="92"/>
      <c r="AF111" s="105"/>
    </row>
    <row r="112" spans="4:32" ht="15.75">
      <c r="D112" s="92"/>
      <c r="E112" s="92"/>
      <c r="F112" s="92"/>
      <c r="G112" s="92"/>
      <c r="H112" s="92"/>
      <c r="AF112" s="105"/>
    </row>
    <row r="113" spans="3:32" ht="15.75">
      <c r="D113" s="92"/>
      <c r="E113" s="92"/>
      <c r="F113" s="92"/>
      <c r="G113" s="92"/>
      <c r="H113" s="92"/>
      <c r="AF113" s="105"/>
    </row>
    <row r="114" spans="3:32" ht="15.75">
      <c r="D114" s="92"/>
      <c r="E114" s="92"/>
      <c r="F114" s="92"/>
      <c r="G114" s="92"/>
      <c r="H114" s="92"/>
      <c r="AF114" s="105"/>
    </row>
    <row r="115" spans="3:32" ht="15.75">
      <c r="D115" s="92"/>
      <c r="E115" s="92"/>
      <c r="F115" s="92"/>
      <c r="G115" s="92"/>
      <c r="H115" s="92"/>
      <c r="AF115" s="105"/>
    </row>
    <row r="116" spans="3:32" ht="15.75">
      <c r="D116" s="92"/>
      <c r="E116" s="92"/>
      <c r="F116" s="92"/>
      <c r="G116" s="92"/>
      <c r="H116" s="92"/>
      <c r="AF116" s="105"/>
    </row>
    <row r="117" spans="3:32" ht="15.75">
      <c r="D117" s="92"/>
      <c r="E117" s="92"/>
      <c r="F117" s="92"/>
      <c r="G117" s="92"/>
      <c r="H117" s="92"/>
      <c r="AF117" s="105"/>
    </row>
    <row r="118" spans="3:32" ht="15.75">
      <c r="D118" s="92"/>
      <c r="E118" s="92"/>
      <c r="F118" s="92"/>
      <c r="G118" s="92"/>
      <c r="H118" s="92"/>
      <c r="AF118" s="105"/>
    </row>
    <row r="119" spans="3:32" ht="15.75">
      <c r="D119" s="92"/>
      <c r="E119" s="92"/>
      <c r="F119" s="92"/>
      <c r="G119" s="92"/>
      <c r="H119" s="92"/>
      <c r="AF119" s="105"/>
    </row>
    <row r="120" spans="3:32" ht="15.75">
      <c r="D120" s="92"/>
      <c r="E120" s="92"/>
      <c r="F120" s="92"/>
      <c r="G120" s="92"/>
      <c r="H120" s="92"/>
      <c r="AF120" s="105"/>
    </row>
    <row r="121" spans="3:32" ht="15.75">
      <c r="D121" s="92"/>
      <c r="E121" s="92"/>
      <c r="F121" s="92"/>
      <c r="G121" s="92"/>
      <c r="H121" s="92"/>
      <c r="AF121" s="105"/>
    </row>
    <row r="122" spans="3:32" ht="15.75">
      <c r="D122" s="92"/>
      <c r="E122" s="92"/>
      <c r="F122" s="92"/>
      <c r="G122" s="92"/>
      <c r="H122" s="92"/>
      <c r="AF122" s="105"/>
    </row>
    <row r="123" spans="3:32" ht="15.75">
      <c r="D123" s="92"/>
      <c r="E123" s="92"/>
      <c r="F123" s="92"/>
      <c r="G123" s="92"/>
      <c r="H123" s="92"/>
      <c r="AF123" s="105"/>
    </row>
    <row r="124" spans="3:32" ht="15.75">
      <c r="D124" s="92"/>
      <c r="E124" s="92"/>
      <c r="F124" s="92"/>
      <c r="G124" s="92"/>
      <c r="H124" s="92"/>
      <c r="AF124" s="105"/>
    </row>
    <row r="125" spans="3:32" ht="15.75">
      <c r="D125" s="92"/>
      <c r="E125" s="92"/>
      <c r="F125" s="92"/>
      <c r="G125" s="92"/>
      <c r="H125" s="92"/>
      <c r="AF125" s="105"/>
    </row>
    <row r="126" spans="3:32" ht="15.75">
      <c r="D126" s="92"/>
      <c r="E126" s="92"/>
      <c r="F126" s="92"/>
      <c r="G126" s="92"/>
      <c r="H126" s="92"/>
      <c r="AF126" s="105"/>
    </row>
    <row r="127" spans="3:32" ht="15.75">
      <c r="C127" s="93" t="s">
        <v>319</v>
      </c>
      <c r="D127" s="166"/>
      <c r="E127" s="167"/>
      <c r="F127" s="167"/>
      <c r="G127" s="168"/>
      <c r="H127" s="12" t="s">
        <v>7</v>
      </c>
      <c r="I127" s="156" t="s">
        <v>320</v>
      </c>
      <c r="J127" s="157"/>
      <c r="K127" s="157"/>
      <c r="L127" s="157"/>
      <c r="M127" s="157"/>
      <c r="N127" s="157"/>
      <c r="O127" s="157"/>
      <c r="P127" s="157"/>
      <c r="Q127" s="157"/>
      <c r="R127" s="157"/>
      <c r="S127" s="157"/>
      <c r="T127" s="158"/>
      <c r="AF127" s="105"/>
    </row>
    <row r="128" spans="3:32" ht="15.75">
      <c r="C128" s="10" t="s">
        <v>321</v>
      </c>
      <c r="D128" s="159"/>
      <c r="E128" s="157"/>
      <c r="F128" s="157"/>
      <c r="G128" s="158"/>
      <c r="H128" s="12" t="s">
        <v>7</v>
      </c>
      <c r="I128" s="94" t="s">
        <v>322</v>
      </c>
      <c r="J128" s="95" t="s">
        <v>323</v>
      </c>
      <c r="K128" s="95" t="s">
        <v>324</v>
      </c>
      <c r="L128" s="95" t="s">
        <v>325</v>
      </c>
      <c r="M128" s="95" t="s">
        <v>326</v>
      </c>
      <c r="N128" s="95" t="s">
        <v>327</v>
      </c>
      <c r="O128" s="95" t="s">
        <v>328</v>
      </c>
      <c r="P128" s="95" t="s">
        <v>329</v>
      </c>
      <c r="Q128" s="95" t="s">
        <v>330</v>
      </c>
      <c r="R128" s="95" t="s">
        <v>331</v>
      </c>
      <c r="S128" s="95" t="s">
        <v>332</v>
      </c>
      <c r="T128" s="95" t="s">
        <v>333</v>
      </c>
      <c r="AF128" s="105"/>
    </row>
    <row r="129" spans="3:32" ht="15.75">
      <c r="C129" s="10" t="s">
        <v>334</v>
      </c>
      <c r="D129" s="159"/>
      <c r="E129" s="157"/>
      <c r="F129" s="157"/>
      <c r="G129" s="158"/>
      <c r="H129" s="12" t="s">
        <v>7</v>
      </c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AF129" s="105"/>
    </row>
    <row r="130" spans="3:32" ht="15.75">
      <c r="C130" s="49" t="s">
        <v>335</v>
      </c>
      <c r="D130" s="160"/>
      <c r="E130" s="157"/>
      <c r="F130" s="157"/>
      <c r="G130" s="158"/>
      <c r="H130" s="92"/>
      <c r="I130" s="9"/>
      <c r="J130" s="9"/>
      <c r="K130" s="9"/>
      <c r="L130" s="9"/>
      <c r="M130" s="9"/>
      <c r="N130" s="9"/>
      <c r="O130" s="9"/>
      <c r="P130" s="9"/>
      <c r="Q130" s="9"/>
      <c r="R130" s="9"/>
      <c r="AF130" s="105"/>
    </row>
    <row r="131" spans="3:32" ht="15.75">
      <c r="C131" s="10" t="s">
        <v>336</v>
      </c>
      <c r="D131" s="161"/>
      <c r="E131" s="157"/>
      <c r="F131" s="157"/>
      <c r="G131" s="158"/>
      <c r="H131" s="12" t="s">
        <v>7</v>
      </c>
      <c r="I131" s="9"/>
      <c r="J131" s="9"/>
      <c r="K131" s="9"/>
      <c r="L131" s="9"/>
      <c r="M131" s="9"/>
      <c r="N131" s="9"/>
      <c r="O131" s="9"/>
      <c r="P131" s="9"/>
      <c r="Q131" s="9"/>
      <c r="R131" s="9"/>
      <c r="AF131" s="105"/>
    </row>
    <row r="132" spans="3:32" ht="31.5">
      <c r="C132" s="10" t="s">
        <v>337</v>
      </c>
      <c r="D132" s="159"/>
      <c r="E132" s="157"/>
      <c r="F132" s="157"/>
      <c r="G132" s="158"/>
      <c r="H132" s="92"/>
      <c r="I132" s="9"/>
      <c r="J132" s="9"/>
      <c r="K132" s="9"/>
      <c r="L132" s="9"/>
      <c r="M132" s="9"/>
      <c r="N132" s="9"/>
      <c r="O132" s="9"/>
      <c r="P132" s="9"/>
      <c r="Q132" s="9"/>
      <c r="R132" s="9"/>
      <c r="AF132" s="105"/>
    </row>
    <row r="133" spans="3:32" ht="31.5">
      <c r="C133" s="10" t="s">
        <v>338</v>
      </c>
      <c r="D133" s="164"/>
      <c r="E133" s="157"/>
      <c r="F133" s="157"/>
      <c r="G133" s="158"/>
      <c r="H133" s="92"/>
      <c r="I133" s="9"/>
      <c r="J133" s="9"/>
      <c r="K133" s="9"/>
      <c r="L133" s="9"/>
      <c r="M133" s="9"/>
      <c r="N133" s="9"/>
      <c r="O133" s="9"/>
      <c r="P133" s="9"/>
      <c r="Q133" s="9"/>
      <c r="R133" s="9"/>
      <c r="AF133" s="105"/>
    </row>
    <row r="134" spans="3:32" ht="15.75">
      <c r="D134" s="92"/>
      <c r="E134" s="92"/>
      <c r="F134" s="92"/>
      <c r="G134" s="92"/>
      <c r="H134" s="92"/>
      <c r="AF134" s="105"/>
    </row>
    <row r="135" spans="3:32" ht="15.75">
      <c r="D135" s="92"/>
      <c r="E135" s="92"/>
      <c r="F135" s="92"/>
      <c r="G135" s="92"/>
      <c r="H135" s="92"/>
      <c r="AF135" s="105"/>
    </row>
    <row r="136" spans="3:32" ht="15.75">
      <c r="D136" s="92"/>
      <c r="E136" s="92"/>
      <c r="F136" s="92"/>
      <c r="G136" s="92"/>
      <c r="H136" s="92"/>
      <c r="AF136" s="105"/>
    </row>
    <row r="137" spans="3:32" ht="15.75">
      <c r="D137" s="92"/>
      <c r="E137" s="92"/>
      <c r="F137" s="92"/>
      <c r="G137" s="92"/>
      <c r="H137" s="92"/>
      <c r="AF137" s="105"/>
    </row>
    <row r="138" spans="3:32" ht="15.75">
      <c r="D138" s="92"/>
      <c r="E138" s="92"/>
      <c r="F138" s="92"/>
      <c r="G138" s="92"/>
      <c r="H138" s="92"/>
      <c r="AF138" s="105"/>
    </row>
    <row r="139" spans="3:32" ht="15.75">
      <c r="D139" s="92"/>
      <c r="E139" s="92"/>
      <c r="F139" s="92"/>
      <c r="G139" s="92"/>
      <c r="H139" s="92"/>
      <c r="AF139" s="105"/>
    </row>
    <row r="140" spans="3:32" ht="15.75">
      <c r="D140" s="92"/>
      <c r="E140" s="92"/>
      <c r="F140" s="92"/>
      <c r="G140" s="92"/>
      <c r="H140" s="92"/>
      <c r="AF140" s="105"/>
    </row>
    <row r="141" spans="3:32" ht="15.75">
      <c r="D141" s="92"/>
      <c r="E141" s="92"/>
      <c r="F141" s="92"/>
      <c r="G141" s="92"/>
      <c r="H141" s="92"/>
      <c r="AF141" s="105"/>
    </row>
    <row r="142" spans="3:32" ht="15.75">
      <c r="D142" s="92"/>
      <c r="E142" s="92"/>
      <c r="F142" s="92"/>
      <c r="G142" s="92"/>
      <c r="H142" s="92"/>
      <c r="AF142" s="105"/>
    </row>
    <row r="143" spans="3:32" ht="15.75">
      <c r="D143" s="92"/>
      <c r="E143" s="92"/>
      <c r="F143" s="92"/>
      <c r="G143" s="92"/>
      <c r="H143" s="92"/>
      <c r="AF143" s="105"/>
    </row>
    <row r="144" spans="3:32" ht="15.75">
      <c r="D144" s="92"/>
      <c r="E144" s="92"/>
      <c r="F144" s="92"/>
      <c r="G144" s="92"/>
      <c r="H144" s="92"/>
      <c r="AF144" s="105"/>
    </row>
    <row r="145" spans="4:32" ht="15.75">
      <c r="D145" s="92"/>
      <c r="E145" s="92"/>
      <c r="F145" s="92"/>
      <c r="G145" s="92"/>
      <c r="H145" s="92"/>
      <c r="AF145" s="105"/>
    </row>
    <row r="146" spans="4:32" ht="15.75">
      <c r="D146" s="92"/>
      <c r="E146" s="92"/>
      <c r="F146" s="92"/>
      <c r="G146" s="92"/>
      <c r="H146" s="92"/>
      <c r="AF146" s="105"/>
    </row>
    <row r="147" spans="4:32" ht="15.75">
      <c r="D147" s="92"/>
      <c r="E147" s="92"/>
      <c r="F147" s="92"/>
      <c r="G147" s="92"/>
      <c r="H147" s="92"/>
      <c r="AF147" s="105"/>
    </row>
    <row r="148" spans="4:32" ht="15.75">
      <c r="D148" s="92"/>
      <c r="E148" s="92"/>
      <c r="F148" s="92"/>
      <c r="G148" s="92"/>
      <c r="H148" s="92"/>
      <c r="AF148" s="105"/>
    </row>
    <row r="149" spans="4:32" ht="15.75">
      <c r="D149" s="92"/>
      <c r="E149" s="92"/>
      <c r="F149" s="92"/>
      <c r="G149" s="92"/>
      <c r="H149" s="92"/>
      <c r="AF149" s="105"/>
    </row>
    <row r="150" spans="4:32" ht="15.75">
      <c r="D150" s="92"/>
      <c r="E150" s="92"/>
      <c r="F150" s="92"/>
      <c r="G150" s="92"/>
      <c r="H150" s="92"/>
      <c r="AF150" s="105"/>
    </row>
    <row r="151" spans="4:32" ht="15.75">
      <c r="D151" s="92"/>
      <c r="E151" s="92"/>
      <c r="F151" s="92"/>
      <c r="G151" s="92"/>
      <c r="H151" s="92"/>
      <c r="AF151" s="105"/>
    </row>
    <row r="152" spans="4:32" ht="15.75">
      <c r="D152" s="92"/>
      <c r="E152" s="92"/>
      <c r="F152" s="92"/>
      <c r="G152" s="92"/>
      <c r="H152" s="92"/>
      <c r="AF152" s="105"/>
    </row>
    <row r="153" spans="4:32" ht="15.75">
      <c r="D153" s="92"/>
      <c r="E153" s="92"/>
      <c r="F153" s="92"/>
      <c r="G153" s="92"/>
      <c r="H153" s="92"/>
      <c r="AF153" s="105"/>
    </row>
    <row r="154" spans="4:32" ht="15.75">
      <c r="D154" s="92"/>
      <c r="E154" s="92"/>
      <c r="F154" s="92"/>
      <c r="G154" s="92"/>
      <c r="H154" s="92"/>
      <c r="AF154" s="105"/>
    </row>
    <row r="155" spans="4:32" ht="15.75">
      <c r="D155" s="92"/>
      <c r="E155" s="92"/>
      <c r="F155" s="92"/>
      <c r="G155" s="92"/>
      <c r="H155" s="92"/>
      <c r="AF155" s="105"/>
    </row>
    <row r="156" spans="4:32" ht="15.75">
      <c r="D156" s="92"/>
      <c r="E156" s="92"/>
      <c r="F156" s="92"/>
      <c r="G156" s="92"/>
      <c r="H156" s="92"/>
      <c r="AF156" s="105"/>
    </row>
    <row r="157" spans="4:32" ht="15.75">
      <c r="D157" s="92"/>
      <c r="E157" s="92"/>
      <c r="F157" s="92"/>
      <c r="G157" s="92"/>
      <c r="H157" s="92"/>
      <c r="AF157" s="105"/>
    </row>
    <row r="158" spans="4:32" ht="15.75">
      <c r="D158" s="92"/>
      <c r="E158" s="92"/>
      <c r="F158" s="92"/>
      <c r="G158" s="92"/>
      <c r="H158" s="92"/>
      <c r="AF158" s="105"/>
    </row>
    <row r="159" spans="4:32" ht="15.75">
      <c r="D159" s="92"/>
      <c r="E159" s="92"/>
      <c r="F159" s="92"/>
      <c r="G159" s="92"/>
      <c r="H159" s="92"/>
      <c r="AF159" s="105"/>
    </row>
    <row r="160" spans="4:32" ht="15.75">
      <c r="D160" s="92"/>
      <c r="E160" s="92"/>
      <c r="F160" s="92"/>
      <c r="G160" s="92"/>
      <c r="H160" s="92"/>
      <c r="AF160" s="105"/>
    </row>
    <row r="161" spans="4:32" ht="15.75">
      <c r="D161" s="92"/>
      <c r="E161" s="92"/>
      <c r="F161" s="92"/>
      <c r="G161" s="92"/>
      <c r="H161" s="92"/>
      <c r="AF161" s="105"/>
    </row>
    <row r="162" spans="4:32" ht="15.75">
      <c r="D162" s="92"/>
      <c r="E162" s="92"/>
      <c r="F162" s="92"/>
      <c r="G162" s="92"/>
      <c r="H162" s="92"/>
      <c r="AF162" s="105"/>
    </row>
    <row r="163" spans="4:32" ht="15.75">
      <c r="D163" s="92"/>
      <c r="E163" s="92"/>
      <c r="F163" s="92"/>
      <c r="G163" s="92"/>
      <c r="H163" s="92"/>
      <c r="AF163" s="105"/>
    </row>
    <row r="164" spans="4:32" ht="15.75">
      <c r="D164" s="92"/>
      <c r="E164" s="92"/>
      <c r="F164" s="92"/>
      <c r="G164" s="92"/>
      <c r="H164" s="92"/>
      <c r="AF164" s="105"/>
    </row>
    <row r="165" spans="4:32" ht="15.75">
      <c r="D165" s="92"/>
      <c r="E165" s="92"/>
      <c r="F165" s="92"/>
      <c r="G165" s="92"/>
      <c r="H165" s="92"/>
      <c r="AF165" s="105"/>
    </row>
    <row r="166" spans="4:32" ht="15.75">
      <c r="D166" s="92"/>
      <c r="E166" s="92"/>
      <c r="F166" s="92"/>
      <c r="G166" s="92"/>
      <c r="H166" s="92"/>
      <c r="AF166" s="105"/>
    </row>
    <row r="167" spans="4:32" ht="15.75">
      <c r="D167" s="92"/>
      <c r="E167" s="92"/>
      <c r="F167" s="92"/>
      <c r="G167" s="92"/>
      <c r="H167" s="92"/>
      <c r="AF167" s="105"/>
    </row>
    <row r="168" spans="4:32" ht="15.75">
      <c r="D168" s="92"/>
      <c r="E168" s="92"/>
      <c r="F168" s="92"/>
      <c r="G168" s="92"/>
      <c r="H168" s="92"/>
      <c r="AF168" s="105"/>
    </row>
    <row r="169" spans="4:32" ht="15.75">
      <c r="D169" s="92"/>
      <c r="E169" s="92"/>
      <c r="F169" s="92"/>
      <c r="G169" s="92"/>
      <c r="H169" s="92"/>
      <c r="AF169" s="105"/>
    </row>
    <row r="170" spans="4:32" ht="15.75">
      <c r="D170" s="92"/>
      <c r="E170" s="92"/>
      <c r="F170" s="92"/>
      <c r="G170" s="92"/>
      <c r="H170" s="92"/>
      <c r="AF170" s="105"/>
    </row>
    <row r="171" spans="4:32" ht="15.75">
      <c r="D171" s="92"/>
      <c r="E171" s="92"/>
      <c r="F171" s="92"/>
      <c r="G171" s="92"/>
      <c r="H171" s="92"/>
      <c r="AF171" s="105"/>
    </row>
    <row r="172" spans="4:32" ht="15.75">
      <c r="D172" s="92"/>
      <c r="E172" s="92"/>
      <c r="F172" s="92"/>
      <c r="G172" s="92"/>
      <c r="H172" s="92"/>
      <c r="AF172" s="105"/>
    </row>
    <row r="173" spans="4:32" ht="15.75">
      <c r="D173" s="92"/>
      <c r="E173" s="92"/>
      <c r="F173" s="92"/>
      <c r="G173" s="92"/>
      <c r="H173" s="92"/>
      <c r="AF173" s="105"/>
    </row>
    <row r="174" spans="4:32" ht="15.75">
      <c r="D174" s="92"/>
      <c r="E174" s="92"/>
      <c r="F174" s="92"/>
      <c r="G174" s="92"/>
      <c r="H174" s="92"/>
      <c r="AF174" s="105"/>
    </row>
    <row r="175" spans="4:32" ht="15.75">
      <c r="D175" s="92"/>
      <c r="E175" s="92"/>
      <c r="F175" s="92"/>
      <c r="G175" s="92"/>
      <c r="H175" s="92"/>
      <c r="AF175" s="105"/>
    </row>
    <row r="176" spans="4:32" ht="15.75">
      <c r="D176" s="92"/>
      <c r="E176" s="92"/>
      <c r="F176" s="92"/>
      <c r="G176" s="92"/>
      <c r="H176" s="92"/>
      <c r="AF176" s="105"/>
    </row>
    <row r="177" spans="4:32" ht="15.75">
      <c r="D177" s="92"/>
      <c r="E177" s="92"/>
      <c r="F177" s="92"/>
      <c r="G177" s="92"/>
      <c r="H177" s="92"/>
      <c r="AF177" s="105"/>
    </row>
    <row r="178" spans="4:32" ht="15.75">
      <c r="D178" s="92"/>
      <c r="E178" s="92"/>
      <c r="F178" s="92"/>
      <c r="G178" s="92"/>
      <c r="H178" s="92"/>
      <c r="AF178" s="105"/>
    </row>
    <row r="179" spans="4:32" ht="15.75">
      <c r="D179" s="92"/>
      <c r="E179" s="92"/>
      <c r="F179" s="92"/>
      <c r="G179" s="92"/>
      <c r="H179" s="92"/>
      <c r="AF179" s="105"/>
    </row>
    <row r="180" spans="4:32" ht="15.75">
      <c r="D180" s="92"/>
      <c r="E180" s="92"/>
      <c r="F180" s="92"/>
      <c r="G180" s="92"/>
      <c r="H180" s="92"/>
      <c r="AF180" s="105"/>
    </row>
    <row r="181" spans="4:32" ht="15.75">
      <c r="D181" s="92"/>
      <c r="E181" s="92"/>
      <c r="F181" s="92"/>
      <c r="G181" s="92"/>
      <c r="H181" s="92"/>
      <c r="AF181" s="105"/>
    </row>
    <row r="182" spans="4:32" ht="15.75">
      <c r="D182" s="92"/>
      <c r="E182" s="92"/>
      <c r="F182" s="92"/>
      <c r="G182" s="92"/>
      <c r="H182" s="92"/>
      <c r="AF182" s="105"/>
    </row>
    <row r="183" spans="4:32" ht="15.75">
      <c r="D183" s="92"/>
      <c r="E183" s="92"/>
      <c r="F183" s="92"/>
      <c r="G183" s="92"/>
      <c r="H183" s="92"/>
      <c r="AF183" s="105"/>
    </row>
    <row r="184" spans="4:32" ht="15.75">
      <c r="D184" s="92"/>
      <c r="E184" s="92"/>
      <c r="F184" s="92"/>
      <c r="G184" s="92"/>
      <c r="H184" s="92"/>
      <c r="AF184" s="105"/>
    </row>
    <row r="185" spans="4:32" ht="15.75">
      <c r="D185" s="92"/>
      <c r="E185" s="92"/>
      <c r="F185" s="92"/>
      <c r="G185" s="92"/>
      <c r="H185" s="92"/>
      <c r="AF185" s="105"/>
    </row>
    <row r="186" spans="4:32" ht="15.75">
      <c r="D186" s="92"/>
      <c r="E186" s="92"/>
      <c r="F186" s="92"/>
      <c r="G186" s="92"/>
      <c r="H186" s="92"/>
      <c r="AF186" s="105"/>
    </row>
    <row r="187" spans="4:32" ht="15.75">
      <c r="D187" s="92"/>
      <c r="E187" s="92"/>
      <c r="F187" s="92"/>
      <c r="G187" s="92"/>
      <c r="H187" s="92"/>
      <c r="AF187" s="105"/>
    </row>
    <row r="188" spans="4:32" ht="15.75">
      <c r="D188" s="92"/>
      <c r="E188" s="92"/>
      <c r="F188" s="92"/>
      <c r="G188" s="92"/>
      <c r="H188" s="92"/>
      <c r="AF188" s="105"/>
    </row>
    <row r="189" spans="4:32" ht="15.75">
      <c r="D189" s="92"/>
      <c r="E189" s="92"/>
      <c r="F189" s="92"/>
      <c r="G189" s="92"/>
      <c r="H189" s="92"/>
      <c r="AF189" s="105"/>
    </row>
    <row r="190" spans="4:32" ht="15.75">
      <c r="D190" s="92"/>
      <c r="E190" s="92"/>
      <c r="F190" s="92"/>
      <c r="G190" s="92"/>
      <c r="H190" s="92"/>
      <c r="AF190" s="105"/>
    </row>
    <row r="191" spans="4:32" ht="15.75">
      <c r="D191" s="92"/>
      <c r="E191" s="92"/>
      <c r="F191" s="92"/>
      <c r="G191" s="92"/>
      <c r="H191" s="92"/>
      <c r="AF191" s="105"/>
    </row>
    <row r="192" spans="4:32" ht="15.75">
      <c r="D192" s="92"/>
      <c r="E192" s="92"/>
      <c r="F192" s="92"/>
      <c r="G192" s="92"/>
      <c r="H192" s="92"/>
      <c r="AF192" s="105"/>
    </row>
    <row r="193" spans="4:32" ht="15.75">
      <c r="D193" s="92"/>
      <c r="E193" s="92"/>
      <c r="F193" s="92"/>
      <c r="G193" s="92"/>
      <c r="H193" s="92"/>
      <c r="AF193" s="105"/>
    </row>
    <row r="194" spans="4:32" ht="15.75">
      <c r="D194" s="92"/>
      <c r="E194" s="92"/>
      <c r="F194" s="92"/>
      <c r="G194" s="92"/>
      <c r="H194" s="92"/>
      <c r="AF194" s="105"/>
    </row>
    <row r="195" spans="4:32" ht="15.75">
      <c r="D195" s="92"/>
      <c r="E195" s="92"/>
      <c r="F195" s="92"/>
      <c r="G195" s="92"/>
      <c r="H195" s="92"/>
      <c r="AF195" s="105"/>
    </row>
    <row r="196" spans="4:32" ht="15.75">
      <c r="D196" s="92"/>
      <c r="E196" s="92"/>
      <c r="F196" s="92"/>
      <c r="G196" s="92"/>
      <c r="H196" s="92"/>
      <c r="AF196" s="105"/>
    </row>
    <row r="197" spans="4:32" ht="15.75">
      <c r="D197" s="92"/>
      <c r="E197" s="92"/>
      <c r="F197" s="92"/>
      <c r="G197" s="92"/>
      <c r="H197" s="92"/>
      <c r="AF197" s="105"/>
    </row>
    <row r="198" spans="4:32" ht="15.75">
      <c r="D198" s="92"/>
      <c r="E198" s="92"/>
      <c r="F198" s="92"/>
      <c r="G198" s="92"/>
      <c r="H198" s="92"/>
      <c r="AF198" s="105"/>
    </row>
    <row r="199" spans="4:32" ht="15.75">
      <c r="D199" s="92"/>
      <c r="E199" s="92"/>
      <c r="F199" s="92"/>
      <c r="G199" s="92"/>
      <c r="H199" s="92"/>
      <c r="AF199" s="105"/>
    </row>
    <row r="200" spans="4:32" ht="15.75">
      <c r="D200" s="92"/>
      <c r="E200" s="92"/>
      <c r="F200" s="92"/>
      <c r="G200" s="92"/>
      <c r="H200" s="92"/>
      <c r="AF200" s="105"/>
    </row>
    <row r="201" spans="4:32" ht="15.75">
      <c r="D201" s="92"/>
      <c r="E201" s="92"/>
      <c r="F201" s="92"/>
      <c r="G201" s="92"/>
      <c r="H201" s="92"/>
      <c r="AF201" s="105"/>
    </row>
    <row r="202" spans="4:32" ht="15.75">
      <c r="D202" s="92"/>
      <c r="E202" s="92"/>
      <c r="F202" s="92"/>
      <c r="G202" s="92"/>
      <c r="H202" s="92"/>
      <c r="AF202" s="105"/>
    </row>
    <row r="203" spans="4:32" ht="15.75">
      <c r="D203" s="92"/>
      <c r="E203" s="92"/>
      <c r="F203" s="92"/>
      <c r="G203" s="92"/>
      <c r="H203" s="92"/>
      <c r="AF203" s="105"/>
    </row>
    <row r="204" spans="4:32" ht="15.75">
      <c r="D204" s="92"/>
      <c r="E204" s="92"/>
      <c r="F204" s="92"/>
      <c r="G204" s="92"/>
      <c r="H204" s="92"/>
      <c r="AF204" s="105"/>
    </row>
    <row r="205" spans="4:32" ht="15.75">
      <c r="D205" s="92"/>
      <c r="E205" s="92"/>
      <c r="F205" s="92"/>
      <c r="G205" s="92"/>
      <c r="H205" s="92"/>
      <c r="AF205" s="105"/>
    </row>
    <row r="206" spans="4:32" ht="15.75">
      <c r="D206" s="92"/>
      <c r="E206" s="92"/>
      <c r="F206" s="92"/>
      <c r="G206" s="92"/>
      <c r="H206" s="92"/>
      <c r="AF206" s="105"/>
    </row>
    <row r="207" spans="4:32" ht="15.75">
      <c r="D207" s="92"/>
      <c r="E207" s="92"/>
      <c r="F207" s="92"/>
      <c r="G207" s="92"/>
      <c r="H207" s="92"/>
      <c r="AF207" s="105"/>
    </row>
    <row r="208" spans="4:32" ht="15.75">
      <c r="D208" s="92"/>
      <c r="E208" s="92"/>
      <c r="F208" s="92"/>
      <c r="G208" s="92"/>
      <c r="H208" s="92"/>
      <c r="AF208" s="105"/>
    </row>
    <row r="209" spans="4:32" ht="15.75">
      <c r="D209" s="92"/>
      <c r="E209" s="92"/>
      <c r="F209" s="92"/>
      <c r="G209" s="92"/>
      <c r="H209" s="92"/>
      <c r="AF209" s="105"/>
    </row>
    <row r="210" spans="4:32" ht="15.75">
      <c r="D210" s="92"/>
      <c r="E210" s="92"/>
      <c r="F210" s="92"/>
      <c r="G210" s="92"/>
      <c r="H210" s="92"/>
      <c r="AF210" s="105"/>
    </row>
    <row r="211" spans="4:32" ht="15.75">
      <c r="D211" s="92"/>
      <c r="E211" s="92"/>
      <c r="F211" s="92"/>
      <c r="G211" s="92"/>
      <c r="H211" s="92"/>
      <c r="AF211" s="105"/>
    </row>
    <row r="212" spans="4:32" ht="15.75">
      <c r="D212" s="92"/>
      <c r="E212" s="92"/>
      <c r="F212" s="92"/>
      <c r="G212" s="92"/>
      <c r="H212" s="92"/>
      <c r="AF212" s="105"/>
    </row>
    <row r="213" spans="4:32" ht="15.75">
      <c r="D213" s="92"/>
      <c r="E213" s="92"/>
      <c r="F213" s="92"/>
      <c r="G213" s="92"/>
      <c r="H213" s="92"/>
      <c r="AF213" s="105"/>
    </row>
    <row r="214" spans="4:32" ht="15.75">
      <c r="D214" s="92"/>
      <c r="E214" s="92"/>
      <c r="F214" s="92"/>
      <c r="G214" s="92"/>
      <c r="H214" s="92"/>
      <c r="AF214" s="105"/>
    </row>
    <row r="215" spans="4:32" ht="15.75">
      <c r="D215" s="92"/>
      <c r="E215" s="92"/>
      <c r="F215" s="92"/>
      <c r="G215" s="92"/>
      <c r="H215" s="92"/>
      <c r="AF215" s="105"/>
    </row>
    <row r="216" spans="4:32" ht="15.75">
      <c r="D216" s="92"/>
      <c r="E216" s="92"/>
      <c r="F216" s="92"/>
      <c r="G216" s="92"/>
      <c r="H216" s="92"/>
      <c r="AF216" s="105"/>
    </row>
    <row r="217" spans="4:32" ht="15.75">
      <c r="D217" s="92"/>
      <c r="E217" s="92"/>
      <c r="F217" s="92"/>
      <c r="G217" s="92"/>
      <c r="H217" s="92"/>
      <c r="AF217" s="105"/>
    </row>
    <row r="218" spans="4:32" ht="15.75">
      <c r="D218" s="92"/>
      <c r="E218" s="92"/>
      <c r="F218" s="92"/>
      <c r="G218" s="92"/>
      <c r="H218" s="92"/>
      <c r="AF218" s="105"/>
    </row>
    <row r="219" spans="4:32" ht="15.75">
      <c r="D219" s="92"/>
      <c r="E219" s="92"/>
      <c r="F219" s="92"/>
      <c r="G219" s="92"/>
      <c r="H219" s="92"/>
      <c r="AF219" s="105"/>
    </row>
    <row r="220" spans="4:32" ht="15.75">
      <c r="D220" s="92"/>
      <c r="E220" s="92"/>
      <c r="F220" s="92"/>
      <c r="G220" s="92"/>
      <c r="H220" s="92"/>
      <c r="AF220" s="105"/>
    </row>
    <row r="221" spans="4:32" ht="15.75">
      <c r="D221" s="92"/>
      <c r="E221" s="92"/>
      <c r="F221" s="92"/>
      <c r="G221" s="92"/>
      <c r="H221" s="92"/>
      <c r="AF221" s="105"/>
    </row>
    <row r="222" spans="4:32" ht="15.75">
      <c r="D222" s="92"/>
      <c r="E222" s="92"/>
      <c r="F222" s="92"/>
      <c r="G222" s="92"/>
      <c r="H222" s="92"/>
      <c r="AF222" s="105"/>
    </row>
    <row r="223" spans="4:32" ht="15.75">
      <c r="D223" s="92"/>
      <c r="E223" s="92"/>
      <c r="F223" s="92"/>
      <c r="G223" s="92"/>
      <c r="H223" s="92"/>
      <c r="AF223" s="105"/>
    </row>
    <row r="224" spans="4:32" ht="15.75">
      <c r="D224" s="92"/>
      <c r="E224" s="92"/>
      <c r="F224" s="92"/>
      <c r="G224" s="92"/>
      <c r="H224" s="92"/>
      <c r="AF224" s="105"/>
    </row>
    <row r="225" spans="4:32" ht="15.75">
      <c r="D225" s="92"/>
      <c r="E225" s="92"/>
      <c r="F225" s="92"/>
      <c r="G225" s="92"/>
      <c r="H225" s="92"/>
      <c r="AF225" s="105"/>
    </row>
    <row r="226" spans="4:32" ht="15.75">
      <c r="D226" s="92"/>
      <c r="E226" s="92"/>
      <c r="F226" s="92"/>
      <c r="G226" s="92"/>
      <c r="H226" s="92"/>
      <c r="AF226" s="105"/>
    </row>
    <row r="227" spans="4:32" ht="15.75">
      <c r="D227" s="92"/>
      <c r="E227" s="92"/>
      <c r="F227" s="92"/>
      <c r="G227" s="92"/>
      <c r="H227" s="92"/>
      <c r="AF227" s="105"/>
    </row>
    <row r="228" spans="4:32" ht="15.75">
      <c r="D228" s="92"/>
      <c r="E228" s="92"/>
      <c r="F228" s="92"/>
      <c r="G228" s="92"/>
      <c r="H228" s="92"/>
      <c r="AF228" s="105"/>
    </row>
    <row r="229" spans="4:32" ht="15.75">
      <c r="D229" s="92"/>
      <c r="E229" s="92"/>
      <c r="F229" s="92"/>
      <c r="G229" s="92"/>
      <c r="H229" s="92"/>
      <c r="AF229" s="105"/>
    </row>
    <row r="230" spans="4:32" ht="15.75">
      <c r="D230" s="92"/>
      <c r="E230" s="92"/>
      <c r="F230" s="92"/>
      <c r="G230" s="92"/>
      <c r="H230" s="92"/>
      <c r="AF230" s="105"/>
    </row>
    <row r="231" spans="4:32" ht="15.75">
      <c r="D231" s="92"/>
      <c r="E231" s="92"/>
      <c r="F231" s="92"/>
      <c r="G231" s="92"/>
      <c r="H231" s="92"/>
      <c r="AF231" s="105"/>
    </row>
    <row r="232" spans="4:32" ht="15.75">
      <c r="D232" s="92"/>
      <c r="E232" s="92"/>
      <c r="F232" s="92"/>
      <c r="G232" s="92"/>
      <c r="H232" s="92"/>
      <c r="AF232" s="105"/>
    </row>
    <row r="233" spans="4:32" ht="15.75">
      <c r="D233" s="92"/>
      <c r="E233" s="92"/>
      <c r="F233" s="92"/>
      <c r="G233" s="92"/>
      <c r="H233" s="92"/>
      <c r="AF233" s="105"/>
    </row>
    <row r="234" spans="4:32" ht="15.75">
      <c r="D234" s="92"/>
      <c r="E234" s="92"/>
      <c r="F234" s="92"/>
      <c r="G234" s="92"/>
      <c r="H234" s="92"/>
      <c r="AF234" s="105"/>
    </row>
    <row r="235" spans="4:32" ht="15.75">
      <c r="D235" s="92"/>
      <c r="E235" s="92"/>
      <c r="F235" s="92"/>
      <c r="G235" s="92"/>
      <c r="H235" s="92"/>
      <c r="AF235" s="105"/>
    </row>
    <row r="236" spans="4:32" ht="15.75">
      <c r="D236" s="92"/>
      <c r="E236" s="92"/>
      <c r="F236" s="92"/>
      <c r="G236" s="92"/>
      <c r="H236" s="92"/>
      <c r="AF236" s="105"/>
    </row>
    <row r="237" spans="4:32" ht="15.75">
      <c r="D237" s="92"/>
      <c r="E237" s="92"/>
      <c r="F237" s="92"/>
      <c r="G237" s="92"/>
      <c r="H237" s="92"/>
      <c r="AF237" s="105"/>
    </row>
    <row r="238" spans="4:32" ht="15.75">
      <c r="D238" s="92"/>
      <c r="E238" s="92"/>
      <c r="F238" s="92"/>
      <c r="G238" s="92"/>
      <c r="H238" s="92"/>
      <c r="AF238" s="105"/>
    </row>
    <row r="239" spans="4:32" ht="15.75">
      <c r="D239" s="92"/>
      <c r="E239" s="92"/>
      <c r="F239" s="92"/>
      <c r="G239" s="92"/>
      <c r="H239" s="92"/>
      <c r="AF239" s="105"/>
    </row>
    <row r="240" spans="4:32" ht="15.75">
      <c r="D240" s="92"/>
      <c r="E240" s="92"/>
      <c r="F240" s="92"/>
      <c r="G240" s="92"/>
      <c r="H240" s="92"/>
      <c r="AF240" s="105"/>
    </row>
    <row r="241" spans="4:32" ht="15.75">
      <c r="D241" s="92"/>
      <c r="E241" s="92"/>
      <c r="F241" s="92"/>
      <c r="G241" s="92"/>
      <c r="H241" s="92"/>
      <c r="AF241" s="105"/>
    </row>
    <row r="242" spans="4:32" ht="15.75">
      <c r="D242" s="92"/>
      <c r="E242" s="92"/>
      <c r="F242" s="92"/>
      <c r="G242" s="92"/>
      <c r="H242" s="92"/>
      <c r="AF242" s="105"/>
    </row>
    <row r="243" spans="4:32" ht="15.75">
      <c r="D243" s="92"/>
      <c r="E243" s="92"/>
      <c r="F243" s="92"/>
      <c r="G243" s="92"/>
      <c r="H243" s="92"/>
      <c r="AF243" s="105"/>
    </row>
    <row r="244" spans="4:32" ht="15.75">
      <c r="D244" s="92"/>
      <c r="E244" s="92"/>
      <c r="F244" s="92"/>
      <c r="G244" s="92"/>
      <c r="H244" s="92"/>
      <c r="AF244" s="105"/>
    </row>
    <row r="245" spans="4:32" ht="15.75">
      <c r="D245" s="92"/>
      <c r="E245" s="92"/>
      <c r="F245" s="92"/>
      <c r="G245" s="92"/>
      <c r="H245" s="92"/>
      <c r="AF245" s="105"/>
    </row>
    <row r="246" spans="4:32" ht="15.75">
      <c r="D246" s="92"/>
      <c r="E246" s="92"/>
      <c r="F246" s="92"/>
      <c r="G246" s="92"/>
      <c r="H246" s="92"/>
      <c r="AF246" s="105"/>
    </row>
    <row r="247" spans="4:32" ht="15.75">
      <c r="D247" s="92"/>
      <c r="E247" s="92"/>
      <c r="F247" s="92"/>
      <c r="G247" s="92"/>
      <c r="H247" s="92"/>
      <c r="AF247" s="105"/>
    </row>
    <row r="248" spans="4:32" ht="15.75">
      <c r="D248" s="92"/>
      <c r="E248" s="92"/>
      <c r="F248" s="92"/>
      <c r="G248" s="92"/>
      <c r="H248" s="92"/>
      <c r="AF248" s="105"/>
    </row>
    <row r="249" spans="4:32" ht="15.75">
      <c r="D249" s="92"/>
      <c r="E249" s="92"/>
      <c r="F249" s="92"/>
      <c r="G249" s="92"/>
      <c r="H249" s="92"/>
      <c r="AF249" s="105"/>
    </row>
    <row r="250" spans="4:32" ht="15.75">
      <c r="D250" s="92"/>
      <c r="E250" s="92"/>
      <c r="F250" s="92"/>
      <c r="G250" s="92"/>
      <c r="H250" s="92"/>
      <c r="AF250" s="105"/>
    </row>
    <row r="251" spans="4:32" ht="15.75">
      <c r="D251" s="92"/>
      <c r="E251" s="92"/>
      <c r="F251" s="92"/>
      <c r="G251" s="92"/>
      <c r="H251" s="92"/>
      <c r="AF251" s="105"/>
    </row>
    <row r="252" spans="4:32" ht="15.75">
      <c r="D252" s="92"/>
      <c r="E252" s="92"/>
      <c r="F252" s="92"/>
      <c r="G252" s="92"/>
      <c r="H252" s="92"/>
      <c r="AF252" s="105"/>
    </row>
    <row r="253" spans="4:32" ht="15.75">
      <c r="D253" s="92"/>
      <c r="E253" s="92"/>
      <c r="F253" s="92"/>
      <c r="G253" s="92"/>
      <c r="H253" s="92"/>
      <c r="AF253" s="105"/>
    </row>
    <row r="254" spans="4:32" ht="15.75">
      <c r="D254" s="92"/>
      <c r="E254" s="92"/>
      <c r="F254" s="92"/>
      <c r="G254" s="92"/>
      <c r="H254" s="92"/>
      <c r="AF254" s="105"/>
    </row>
    <row r="255" spans="4:32" ht="15.75">
      <c r="D255" s="92"/>
      <c r="E255" s="92"/>
      <c r="F255" s="92"/>
      <c r="G255" s="92"/>
      <c r="H255" s="92"/>
      <c r="AF255" s="105"/>
    </row>
    <row r="256" spans="4:32" ht="15.75">
      <c r="D256" s="92"/>
      <c r="E256" s="92"/>
      <c r="F256" s="92"/>
      <c r="G256" s="92"/>
      <c r="H256" s="92"/>
      <c r="AF256" s="105"/>
    </row>
    <row r="257" spans="4:32" ht="15.75">
      <c r="D257" s="92"/>
      <c r="E257" s="92"/>
      <c r="F257" s="92"/>
      <c r="G257" s="92"/>
      <c r="H257" s="92"/>
      <c r="AF257" s="105"/>
    </row>
    <row r="258" spans="4:32" ht="15.75">
      <c r="D258" s="92"/>
      <c r="E258" s="92"/>
      <c r="F258" s="92"/>
      <c r="G258" s="92"/>
      <c r="H258" s="92"/>
      <c r="AF258" s="105"/>
    </row>
    <row r="259" spans="4:32" ht="15.75">
      <c r="D259" s="92"/>
      <c r="E259" s="92"/>
      <c r="F259" s="92"/>
      <c r="G259" s="92"/>
      <c r="H259" s="92"/>
      <c r="AF259" s="105"/>
    </row>
    <row r="260" spans="4:32" ht="15.75">
      <c r="D260" s="92"/>
      <c r="E260" s="92"/>
      <c r="F260" s="92"/>
      <c r="G260" s="92"/>
      <c r="H260" s="92"/>
      <c r="AF260" s="105"/>
    </row>
    <row r="261" spans="4:32" ht="15.75">
      <c r="D261" s="92"/>
      <c r="E261" s="92"/>
      <c r="F261" s="92"/>
      <c r="G261" s="92"/>
      <c r="H261" s="92"/>
      <c r="AF261" s="105"/>
    </row>
    <row r="262" spans="4:32" ht="15.75">
      <c r="D262" s="92"/>
      <c r="E262" s="92"/>
      <c r="F262" s="92"/>
      <c r="G262" s="92"/>
      <c r="H262" s="92"/>
      <c r="AF262" s="105"/>
    </row>
    <row r="263" spans="4:32" ht="15.75">
      <c r="D263" s="92"/>
      <c r="E263" s="92"/>
      <c r="F263" s="92"/>
      <c r="G263" s="92"/>
      <c r="H263" s="92"/>
      <c r="AF263" s="105"/>
    </row>
    <row r="264" spans="4:32" ht="15.75">
      <c r="D264" s="92"/>
      <c r="E264" s="92"/>
      <c r="F264" s="92"/>
      <c r="G264" s="92"/>
      <c r="H264" s="92"/>
      <c r="AF264" s="105"/>
    </row>
    <row r="265" spans="4:32" ht="15.75">
      <c r="D265" s="92"/>
      <c r="E265" s="92"/>
      <c r="F265" s="92"/>
      <c r="G265" s="92"/>
      <c r="H265" s="92"/>
      <c r="AF265" s="105"/>
    </row>
    <row r="266" spans="4:32" ht="15.75">
      <c r="D266" s="92"/>
      <c r="E266" s="92"/>
      <c r="F266" s="92"/>
      <c r="G266" s="92"/>
      <c r="H266" s="92"/>
      <c r="AF266" s="105"/>
    </row>
    <row r="267" spans="4:32" ht="15.75">
      <c r="D267" s="92"/>
      <c r="E267" s="92"/>
      <c r="F267" s="92"/>
      <c r="G267" s="92"/>
      <c r="H267" s="92"/>
      <c r="AF267" s="105"/>
    </row>
    <row r="268" spans="4:32" ht="15.75">
      <c r="D268" s="92"/>
      <c r="E268" s="92"/>
      <c r="F268" s="92"/>
      <c r="G268" s="92"/>
      <c r="H268" s="92"/>
      <c r="AF268" s="105"/>
    </row>
    <row r="269" spans="4:32" ht="15.75">
      <c r="D269" s="92"/>
      <c r="E269" s="92"/>
      <c r="F269" s="92"/>
      <c r="G269" s="92"/>
      <c r="H269" s="92"/>
      <c r="AF269" s="105"/>
    </row>
    <row r="270" spans="4:32" ht="15.75">
      <c r="D270" s="92"/>
      <c r="E270" s="92"/>
      <c r="F270" s="92"/>
      <c r="G270" s="92"/>
      <c r="H270" s="92"/>
      <c r="AF270" s="105"/>
    </row>
    <row r="271" spans="4:32" ht="15.75">
      <c r="D271" s="92"/>
      <c r="E271" s="92"/>
      <c r="F271" s="92"/>
      <c r="G271" s="92"/>
      <c r="H271" s="92"/>
      <c r="AF271" s="105"/>
    </row>
    <row r="272" spans="4:32" ht="15.75">
      <c r="D272" s="92"/>
      <c r="E272" s="92"/>
      <c r="F272" s="92"/>
      <c r="G272" s="92"/>
      <c r="H272" s="92"/>
      <c r="AF272" s="105"/>
    </row>
    <row r="273" spans="4:32" ht="15.75">
      <c r="D273" s="92"/>
      <c r="E273" s="92"/>
      <c r="F273" s="92"/>
      <c r="G273" s="92"/>
      <c r="H273" s="92"/>
      <c r="AF273" s="105"/>
    </row>
    <row r="274" spans="4:32" ht="15.75">
      <c r="D274" s="92"/>
      <c r="E274" s="92"/>
      <c r="F274" s="92"/>
      <c r="G274" s="92"/>
      <c r="H274" s="92"/>
      <c r="AF274" s="105"/>
    </row>
    <row r="275" spans="4:32" ht="15.75">
      <c r="D275" s="92"/>
      <c r="E275" s="92"/>
      <c r="F275" s="92"/>
      <c r="G275" s="92"/>
      <c r="H275" s="92"/>
      <c r="AF275" s="105"/>
    </row>
    <row r="276" spans="4:32" ht="15.75">
      <c r="D276" s="92"/>
      <c r="E276" s="92"/>
      <c r="F276" s="92"/>
      <c r="G276" s="92"/>
      <c r="H276" s="92"/>
      <c r="AF276" s="105"/>
    </row>
    <row r="277" spans="4:32" ht="15.75">
      <c r="D277" s="92"/>
      <c r="E277" s="92"/>
      <c r="F277" s="92"/>
      <c r="G277" s="92"/>
      <c r="H277" s="92"/>
      <c r="AF277" s="105"/>
    </row>
    <row r="278" spans="4:32" ht="15.75">
      <c r="D278" s="92"/>
      <c r="E278" s="92"/>
      <c r="F278" s="92"/>
      <c r="G278" s="92"/>
      <c r="H278" s="92"/>
      <c r="AF278" s="105"/>
    </row>
    <row r="279" spans="4:32" ht="15.75">
      <c r="D279" s="92"/>
      <c r="E279" s="92"/>
      <c r="F279" s="92"/>
      <c r="G279" s="92"/>
      <c r="H279" s="92"/>
      <c r="AF279" s="105"/>
    </row>
    <row r="280" spans="4:32" ht="15.75">
      <c r="D280" s="92"/>
      <c r="E280" s="92"/>
      <c r="F280" s="92"/>
      <c r="G280" s="92"/>
      <c r="H280" s="92"/>
      <c r="AF280" s="105"/>
    </row>
    <row r="281" spans="4:32" ht="15.75">
      <c r="D281" s="92"/>
      <c r="E281" s="92"/>
      <c r="F281" s="92"/>
      <c r="G281" s="92"/>
      <c r="H281" s="92"/>
      <c r="AF281" s="105"/>
    </row>
    <row r="282" spans="4:32" ht="15.75">
      <c r="D282" s="92"/>
      <c r="E282" s="92"/>
      <c r="F282" s="92"/>
      <c r="G282" s="92"/>
      <c r="H282" s="92"/>
      <c r="AF282" s="105"/>
    </row>
    <row r="283" spans="4:32" ht="15.75">
      <c r="D283" s="92"/>
      <c r="E283" s="92"/>
      <c r="F283" s="92"/>
      <c r="G283" s="92"/>
      <c r="H283" s="92"/>
      <c r="AF283" s="105"/>
    </row>
    <row r="284" spans="4:32" ht="15.75">
      <c r="D284" s="92"/>
      <c r="E284" s="92"/>
      <c r="F284" s="92"/>
      <c r="G284" s="92"/>
      <c r="H284" s="92"/>
      <c r="AF284" s="105"/>
    </row>
    <row r="285" spans="4:32" ht="15.75">
      <c r="D285" s="92"/>
      <c r="E285" s="92"/>
      <c r="F285" s="92"/>
      <c r="G285" s="92"/>
      <c r="H285" s="92"/>
      <c r="AF285" s="105"/>
    </row>
    <row r="286" spans="4:32" ht="15.75">
      <c r="D286" s="92"/>
      <c r="E286" s="92"/>
      <c r="F286" s="92"/>
      <c r="G286" s="92"/>
      <c r="H286" s="92"/>
      <c r="AF286" s="105"/>
    </row>
    <row r="287" spans="4:32" ht="15.75">
      <c r="D287" s="92"/>
      <c r="E287" s="92"/>
      <c r="F287" s="92"/>
      <c r="G287" s="92"/>
      <c r="H287" s="92"/>
      <c r="AF287" s="105"/>
    </row>
    <row r="288" spans="4:32" ht="15.75">
      <c r="D288" s="92"/>
      <c r="E288" s="92"/>
      <c r="F288" s="92"/>
      <c r="G288" s="92"/>
      <c r="H288" s="92"/>
      <c r="AF288" s="105"/>
    </row>
    <row r="289" spans="4:32" ht="15.75">
      <c r="D289" s="92"/>
      <c r="E289" s="92"/>
      <c r="F289" s="92"/>
      <c r="G289" s="92"/>
      <c r="H289" s="92"/>
      <c r="AF289" s="105"/>
    </row>
    <row r="290" spans="4:32" ht="15.75">
      <c r="D290" s="92"/>
      <c r="E290" s="92"/>
      <c r="F290" s="92"/>
      <c r="G290" s="92"/>
      <c r="H290" s="92"/>
      <c r="AF290" s="105"/>
    </row>
    <row r="291" spans="4:32" ht="15.75">
      <c r="D291" s="92"/>
      <c r="E291" s="92"/>
      <c r="F291" s="92"/>
      <c r="G291" s="92"/>
      <c r="H291" s="92"/>
      <c r="AF291" s="105"/>
    </row>
    <row r="292" spans="4:32" ht="15.75">
      <c r="D292" s="92"/>
      <c r="E292" s="92"/>
      <c r="F292" s="92"/>
      <c r="G292" s="92"/>
      <c r="H292" s="92"/>
      <c r="AF292" s="105"/>
    </row>
    <row r="293" spans="4:32" ht="15.75">
      <c r="D293" s="92"/>
      <c r="E293" s="92"/>
      <c r="F293" s="92"/>
      <c r="G293" s="92"/>
      <c r="H293" s="92"/>
      <c r="AF293" s="105"/>
    </row>
    <row r="294" spans="4:32" ht="15.75">
      <c r="D294" s="92"/>
      <c r="E294" s="92"/>
      <c r="F294" s="92"/>
      <c r="G294" s="92"/>
      <c r="H294" s="92"/>
      <c r="AF294" s="105"/>
    </row>
    <row r="295" spans="4:32" ht="15.75">
      <c r="D295" s="92"/>
      <c r="E295" s="92"/>
      <c r="F295" s="92"/>
      <c r="G295" s="92"/>
      <c r="H295" s="92"/>
      <c r="AF295" s="105"/>
    </row>
    <row r="296" spans="4:32" ht="15.75">
      <c r="D296" s="92"/>
      <c r="E296" s="92"/>
      <c r="F296" s="92"/>
      <c r="G296" s="92"/>
      <c r="H296" s="92"/>
      <c r="AF296" s="105"/>
    </row>
    <row r="297" spans="4:32" ht="15.75">
      <c r="D297" s="92"/>
      <c r="E297" s="92"/>
      <c r="F297" s="92"/>
      <c r="G297" s="92"/>
      <c r="H297" s="92"/>
      <c r="AF297" s="105"/>
    </row>
    <row r="298" spans="4:32" ht="15.75">
      <c r="D298" s="92"/>
      <c r="E298" s="92"/>
      <c r="F298" s="92"/>
      <c r="G298" s="92"/>
      <c r="H298" s="92"/>
      <c r="AF298" s="105"/>
    </row>
    <row r="299" spans="4:32" ht="15.75">
      <c r="D299" s="92"/>
      <c r="E299" s="92"/>
      <c r="F299" s="92"/>
      <c r="G299" s="92"/>
      <c r="H299" s="92"/>
      <c r="AF299" s="105"/>
    </row>
    <row r="300" spans="4:32" ht="15.75">
      <c r="D300" s="92"/>
      <c r="E300" s="92"/>
      <c r="F300" s="92"/>
      <c r="G300" s="92"/>
      <c r="H300" s="92"/>
      <c r="AF300" s="105"/>
    </row>
    <row r="301" spans="4:32" ht="15.75">
      <c r="D301" s="92"/>
      <c r="E301" s="92"/>
      <c r="F301" s="92"/>
      <c r="G301" s="92"/>
      <c r="H301" s="92"/>
      <c r="AF301" s="105"/>
    </row>
    <row r="302" spans="4:32" ht="15.75">
      <c r="D302" s="92"/>
      <c r="E302" s="92"/>
      <c r="F302" s="92"/>
      <c r="G302" s="92"/>
      <c r="H302" s="92"/>
      <c r="AF302" s="105"/>
    </row>
    <row r="303" spans="4:32" ht="15.75">
      <c r="D303" s="92"/>
      <c r="E303" s="92"/>
      <c r="F303" s="92"/>
      <c r="G303" s="92"/>
      <c r="H303" s="92"/>
      <c r="AF303" s="105"/>
    </row>
    <row r="304" spans="4:32" ht="15.75">
      <c r="D304" s="92"/>
      <c r="E304" s="92"/>
      <c r="F304" s="92"/>
      <c r="G304" s="92"/>
      <c r="H304" s="92"/>
      <c r="AF304" s="105"/>
    </row>
    <row r="305" spans="4:32" ht="15.75">
      <c r="D305" s="92"/>
      <c r="E305" s="92"/>
      <c r="F305" s="92"/>
      <c r="G305" s="92"/>
      <c r="H305" s="92"/>
      <c r="AF305" s="105"/>
    </row>
    <row r="306" spans="4:32" ht="15.75">
      <c r="D306" s="92"/>
      <c r="E306" s="92"/>
      <c r="F306" s="92"/>
      <c r="G306" s="92"/>
      <c r="H306" s="92"/>
      <c r="AF306" s="105"/>
    </row>
    <row r="307" spans="4:32" ht="15.75">
      <c r="D307" s="92"/>
      <c r="E307" s="92"/>
      <c r="F307" s="92"/>
      <c r="G307" s="92"/>
      <c r="H307" s="92"/>
      <c r="AF307" s="105"/>
    </row>
    <row r="308" spans="4:32" ht="15.75">
      <c r="D308" s="92"/>
      <c r="E308" s="92"/>
      <c r="F308" s="92"/>
      <c r="G308" s="92"/>
      <c r="H308" s="92"/>
      <c r="AF308" s="105"/>
    </row>
    <row r="309" spans="4:32" ht="15.75">
      <c r="D309" s="92"/>
      <c r="E309" s="92"/>
      <c r="F309" s="92"/>
      <c r="G309" s="92"/>
      <c r="H309" s="92"/>
      <c r="AF309" s="105"/>
    </row>
    <row r="310" spans="4:32" ht="15.75">
      <c r="D310" s="92"/>
      <c r="E310" s="92"/>
      <c r="F310" s="92"/>
      <c r="G310" s="92"/>
      <c r="H310" s="92"/>
      <c r="AF310" s="105"/>
    </row>
    <row r="311" spans="4:32" ht="15.75">
      <c r="D311" s="92"/>
      <c r="E311" s="92"/>
      <c r="F311" s="92"/>
      <c r="G311" s="92"/>
      <c r="H311" s="92"/>
      <c r="AF311" s="105"/>
    </row>
    <row r="312" spans="4:32" ht="15.75">
      <c r="D312" s="92"/>
      <c r="E312" s="92"/>
      <c r="F312" s="92"/>
      <c r="G312" s="92"/>
      <c r="H312" s="92"/>
      <c r="AF312" s="105"/>
    </row>
    <row r="313" spans="4:32" ht="15.75">
      <c r="D313" s="92"/>
      <c r="E313" s="92"/>
      <c r="F313" s="92"/>
      <c r="G313" s="92"/>
      <c r="H313" s="92"/>
      <c r="AF313" s="105"/>
    </row>
    <row r="314" spans="4:32" ht="15.75">
      <c r="D314" s="92"/>
      <c r="E314" s="92"/>
      <c r="F314" s="92"/>
      <c r="G314" s="92"/>
      <c r="H314" s="92"/>
      <c r="AF314" s="105"/>
    </row>
    <row r="315" spans="4:32" ht="15.75">
      <c r="D315" s="92"/>
      <c r="E315" s="92"/>
      <c r="F315" s="92"/>
      <c r="G315" s="92"/>
      <c r="H315" s="92"/>
      <c r="AF315" s="105"/>
    </row>
    <row r="316" spans="4:32" ht="15.75">
      <c r="D316" s="92"/>
      <c r="E316" s="92"/>
      <c r="F316" s="92"/>
      <c r="G316" s="92"/>
      <c r="H316" s="92"/>
      <c r="AF316" s="105"/>
    </row>
    <row r="317" spans="4:32" ht="15.75">
      <c r="D317" s="92"/>
      <c r="E317" s="92"/>
      <c r="F317" s="92"/>
      <c r="G317" s="92"/>
      <c r="H317" s="92"/>
      <c r="AF317" s="105"/>
    </row>
    <row r="318" spans="4:32" ht="15.75">
      <c r="D318" s="92"/>
      <c r="E318" s="92"/>
      <c r="F318" s="92"/>
      <c r="G318" s="92"/>
      <c r="H318" s="92"/>
      <c r="AF318" s="105"/>
    </row>
    <row r="319" spans="4:32" ht="15.75">
      <c r="D319" s="92"/>
      <c r="E319" s="92"/>
      <c r="F319" s="92"/>
      <c r="G319" s="92"/>
      <c r="H319" s="92"/>
      <c r="AF319" s="105"/>
    </row>
    <row r="320" spans="4:32" ht="15.75">
      <c r="D320" s="92"/>
      <c r="E320" s="92"/>
      <c r="F320" s="92"/>
      <c r="G320" s="92"/>
      <c r="H320" s="92"/>
      <c r="AF320" s="105"/>
    </row>
    <row r="321" spans="4:32" ht="15.75">
      <c r="D321" s="92"/>
      <c r="E321" s="92"/>
      <c r="F321" s="92"/>
      <c r="G321" s="92"/>
      <c r="H321" s="92"/>
      <c r="AF321" s="105"/>
    </row>
    <row r="322" spans="4:32" ht="15.75">
      <c r="D322" s="92"/>
      <c r="E322" s="92"/>
      <c r="F322" s="92"/>
      <c r="G322" s="92"/>
      <c r="H322" s="92"/>
      <c r="AF322" s="105"/>
    </row>
    <row r="323" spans="4:32" ht="15.75">
      <c r="D323" s="92"/>
      <c r="E323" s="92"/>
      <c r="F323" s="92"/>
      <c r="G323" s="92"/>
      <c r="H323" s="92"/>
      <c r="AF323" s="105"/>
    </row>
    <row r="324" spans="4:32" ht="15.75">
      <c r="D324" s="92"/>
      <c r="E324" s="92"/>
      <c r="F324" s="92"/>
      <c r="G324" s="92"/>
      <c r="H324" s="92"/>
      <c r="AF324" s="105"/>
    </row>
    <row r="325" spans="4:32" ht="15.75">
      <c r="D325" s="92"/>
      <c r="E325" s="92"/>
      <c r="F325" s="92"/>
      <c r="G325" s="92"/>
      <c r="H325" s="92"/>
      <c r="AF325" s="105"/>
    </row>
    <row r="326" spans="4:32" ht="15.75">
      <c r="D326" s="92"/>
      <c r="E326" s="92"/>
      <c r="F326" s="92"/>
      <c r="G326" s="92"/>
      <c r="H326" s="92"/>
      <c r="AF326" s="105"/>
    </row>
    <row r="327" spans="4:32" ht="15.75">
      <c r="D327" s="92"/>
      <c r="E327" s="92"/>
      <c r="F327" s="92"/>
      <c r="G327" s="92"/>
      <c r="H327" s="92"/>
      <c r="AF327" s="105"/>
    </row>
    <row r="328" spans="4:32" ht="15.75">
      <c r="D328" s="92"/>
      <c r="E328" s="92"/>
      <c r="F328" s="92"/>
      <c r="G328" s="92"/>
      <c r="H328" s="92"/>
      <c r="AF328" s="105"/>
    </row>
    <row r="329" spans="4:32" ht="15.75">
      <c r="D329" s="92"/>
      <c r="E329" s="92"/>
      <c r="F329" s="92"/>
      <c r="G329" s="92"/>
      <c r="H329" s="92"/>
      <c r="AF329" s="105"/>
    </row>
    <row r="330" spans="4:32" ht="15.75">
      <c r="D330" s="92"/>
      <c r="E330" s="92"/>
      <c r="F330" s="92"/>
      <c r="G330" s="92"/>
      <c r="H330" s="92"/>
      <c r="AF330" s="105"/>
    </row>
    <row r="331" spans="4:32" ht="15.75">
      <c r="D331" s="92"/>
      <c r="E331" s="92"/>
      <c r="F331" s="92"/>
      <c r="G331" s="92"/>
      <c r="H331" s="92"/>
      <c r="AF331" s="105"/>
    </row>
    <row r="332" spans="4:32" ht="15.75">
      <c r="D332" s="92"/>
      <c r="E332" s="92"/>
      <c r="F332" s="92"/>
      <c r="G332" s="92"/>
      <c r="H332" s="92"/>
      <c r="AF332" s="105"/>
    </row>
    <row r="333" spans="4:32" ht="15.75">
      <c r="D333" s="92"/>
      <c r="E333" s="92"/>
      <c r="F333" s="92"/>
      <c r="G333" s="92"/>
      <c r="H333" s="92"/>
      <c r="AF333" s="105"/>
    </row>
    <row r="334" spans="4:32" ht="15.75">
      <c r="D334" s="92"/>
      <c r="E334" s="92"/>
      <c r="F334" s="92"/>
      <c r="G334" s="92"/>
      <c r="H334" s="92"/>
      <c r="AF334" s="105"/>
    </row>
    <row r="335" spans="4:32" ht="15.75">
      <c r="D335" s="92"/>
      <c r="E335" s="92"/>
      <c r="F335" s="92"/>
      <c r="G335" s="92"/>
      <c r="H335" s="92"/>
      <c r="AF335" s="105"/>
    </row>
    <row r="336" spans="4:32" ht="15.75">
      <c r="D336" s="92"/>
      <c r="E336" s="92"/>
      <c r="F336" s="92"/>
      <c r="G336" s="92"/>
      <c r="H336" s="92"/>
      <c r="AF336" s="105"/>
    </row>
    <row r="337" spans="4:32" ht="15.75">
      <c r="D337" s="92"/>
      <c r="E337" s="92"/>
      <c r="F337" s="92"/>
      <c r="G337" s="92"/>
      <c r="H337" s="92"/>
      <c r="AF337" s="105"/>
    </row>
    <row r="338" spans="4:32" ht="15.75">
      <c r="D338" s="92"/>
      <c r="E338" s="92"/>
      <c r="F338" s="92"/>
      <c r="G338" s="92"/>
      <c r="H338" s="92"/>
      <c r="AF338" s="105"/>
    </row>
    <row r="339" spans="4:32" ht="15.75">
      <c r="D339" s="92"/>
      <c r="E339" s="92"/>
      <c r="F339" s="92"/>
      <c r="G339" s="92"/>
      <c r="H339" s="92"/>
      <c r="AF339" s="105"/>
    </row>
    <row r="340" spans="4:32" ht="15.75">
      <c r="D340" s="92"/>
      <c r="E340" s="92"/>
      <c r="F340" s="92"/>
      <c r="G340" s="92"/>
      <c r="H340" s="92"/>
      <c r="AF340" s="105"/>
    </row>
    <row r="341" spans="4:32" ht="15.75">
      <c r="D341" s="92"/>
      <c r="E341" s="92"/>
      <c r="F341" s="92"/>
      <c r="G341" s="92"/>
      <c r="H341" s="92"/>
      <c r="AF341" s="105"/>
    </row>
    <row r="342" spans="4:32" ht="15.75">
      <c r="D342" s="92"/>
      <c r="E342" s="92"/>
      <c r="F342" s="92"/>
      <c r="G342" s="92"/>
      <c r="H342" s="92"/>
      <c r="AF342" s="105"/>
    </row>
    <row r="343" spans="4:32" ht="15.75">
      <c r="D343" s="92"/>
      <c r="E343" s="92"/>
      <c r="F343" s="92"/>
      <c r="G343" s="92"/>
      <c r="H343" s="92"/>
      <c r="AF343" s="105"/>
    </row>
    <row r="344" spans="4:32" ht="15.75">
      <c r="D344" s="92"/>
      <c r="E344" s="92"/>
      <c r="F344" s="92"/>
      <c r="G344" s="92"/>
      <c r="H344" s="92"/>
      <c r="AF344" s="105"/>
    </row>
    <row r="345" spans="4:32" ht="15.75">
      <c r="D345" s="92"/>
      <c r="E345" s="92"/>
      <c r="F345" s="92"/>
      <c r="G345" s="92"/>
      <c r="H345" s="92"/>
      <c r="AF345" s="105"/>
    </row>
    <row r="346" spans="4:32" ht="15.75">
      <c r="D346" s="92"/>
      <c r="E346" s="92"/>
      <c r="F346" s="92"/>
      <c r="G346" s="92"/>
      <c r="H346" s="92"/>
      <c r="AF346" s="105"/>
    </row>
    <row r="347" spans="4:32" ht="15.75">
      <c r="D347" s="92"/>
      <c r="E347" s="92"/>
      <c r="F347" s="92"/>
      <c r="G347" s="92"/>
      <c r="H347" s="92"/>
      <c r="AF347" s="105"/>
    </row>
    <row r="348" spans="4:32" ht="15.75">
      <c r="D348" s="92"/>
      <c r="E348" s="92"/>
      <c r="F348" s="92"/>
      <c r="G348" s="92"/>
      <c r="H348" s="92"/>
      <c r="AF348" s="105"/>
    </row>
    <row r="349" spans="4:32" ht="15.75">
      <c r="D349" s="92"/>
      <c r="E349" s="92"/>
      <c r="F349" s="92"/>
      <c r="G349" s="92"/>
      <c r="H349" s="92"/>
      <c r="AF349" s="105"/>
    </row>
    <row r="350" spans="4:32" ht="15.75">
      <c r="D350" s="92"/>
      <c r="E350" s="92"/>
      <c r="F350" s="92"/>
      <c r="G350" s="92"/>
      <c r="H350" s="92"/>
      <c r="AF350" s="105"/>
    </row>
    <row r="351" spans="4:32" ht="15.75">
      <c r="D351" s="92"/>
      <c r="E351" s="92"/>
      <c r="F351" s="92"/>
      <c r="G351" s="92"/>
      <c r="H351" s="92"/>
      <c r="AF351" s="105"/>
    </row>
    <row r="352" spans="4:32" ht="15.75">
      <c r="D352" s="92"/>
      <c r="E352" s="92"/>
      <c r="F352" s="92"/>
      <c r="G352" s="92"/>
      <c r="H352" s="92"/>
      <c r="AF352" s="105"/>
    </row>
    <row r="353" spans="4:32" ht="15.75">
      <c r="D353" s="92"/>
      <c r="E353" s="92"/>
      <c r="F353" s="92"/>
      <c r="G353" s="92"/>
      <c r="H353" s="92"/>
      <c r="AF353" s="105"/>
    </row>
    <row r="354" spans="4:32" ht="15.75">
      <c r="D354" s="92"/>
      <c r="E354" s="92"/>
      <c r="F354" s="92"/>
      <c r="G354" s="92"/>
      <c r="H354" s="92"/>
      <c r="AF354" s="105"/>
    </row>
    <row r="355" spans="4:32" ht="15.75">
      <c r="D355" s="92"/>
      <c r="E355" s="92"/>
      <c r="F355" s="92"/>
      <c r="G355" s="92"/>
      <c r="H355" s="92"/>
      <c r="AF355" s="105"/>
    </row>
    <row r="356" spans="4:32" ht="15.75">
      <c r="D356" s="92"/>
      <c r="E356" s="92"/>
      <c r="F356" s="92"/>
      <c r="G356" s="92"/>
      <c r="H356" s="92"/>
      <c r="AF356" s="105"/>
    </row>
    <row r="357" spans="4:32" ht="15.75">
      <c r="D357" s="92"/>
      <c r="E357" s="92"/>
      <c r="F357" s="92"/>
      <c r="G357" s="92"/>
      <c r="H357" s="92"/>
      <c r="AF357" s="105"/>
    </row>
    <row r="358" spans="4:32" ht="15.75">
      <c r="D358" s="92"/>
      <c r="E358" s="92"/>
      <c r="F358" s="92"/>
      <c r="G358" s="92"/>
      <c r="H358" s="92"/>
      <c r="AF358" s="105"/>
    </row>
    <row r="359" spans="4:32" ht="15.75">
      <c r="D359" s="92"/>
      <c r="E359" s="92"/>
      <c r="F359" s="92"/>
      <c r="G359" s="92"/>
      <c r="H359" s="92"/>
      <c r="AF359" s="105"/>
    </row>
    <row r="360" spans="4:32" ht="15.75">
      <c r="D360" s="92"/>
      <c r="E360" s="92"/>
      <c r="F360" s="92"/>
      <c r="G360" s="92"/>
      <c r="H360" s="92"/>
      <c r="AF360" s="105"/>
    </row>
    <row r="361" spans="4:32" ht="15.75">
      <c r="D361" s="92"/>
      <c r="E361" s="92"/>
      <c r="F361" s="92"/>
      <c r="G361" s="92"/>
      <c r="H361" s="92"/>
      <c r="AF361" s="105"/>
    </row>
    <row r="362" spans="4:32" ht="15.75">
      <c r="D362" s="92"/>
      <c r="E362" s="92"/>
      <c r="F362" s="92"/>
      <c r="G362" s="92"/>
      <c r="H362" s="92"/>
      <c r="AF362" s="105"/>
    </row>
    <row r="363" spans="4:32" ht="15.75">
      <c r="D363" s="92"/>
      <c r="E363" s="92"/>
      <c r="F363" s="92"/>
      <c r="G363" s="92"/>
      <c r="H363" s="92"/>
      <c r="AF363" s="105"/>
    </row>
    <row r="364" spans="4:32" ht="15.75">
      <c r="D364" s="92"/>
      <c r="E364" s="92"/>
      <c r="F364" s="92"/>
      <c r="G364" s="92"/>
      <c r="H364" s="92"/>
      <c r="AF364" s="105"/>
    </row>
    <row r="365" spans="4:32" ht="15.75">
      <c r="D365" s="92"/>
      <c r="E365" s="92"/>
      <c r="F365" s="92"/>
      <c r="G365" s="92"/>
      <c r="H365" s="92"/>
      <c r="AF365" s="105"/>
    </row>
    <row r="366" spans="4:32" ht="15.75">
      <c r="D366" s="92"/>
      <c r="E366" s="92"/>
      <c r="F366" s="92"/>
      <c r="G366" s="92"/>
      <c r="H366" s="92"/>
      <c r="AF366" s="105"/>
    </row>
    <row r="367" spans="4:32" ht="15.75">
      <c r="D367" s="92"/>
      <c r="E367" s="92"/>
      <c r="F367" s="92"/>
      <c r="G367" s="92"/>
      <c r="H367" s="92"/>
      <c r="AF367" s="105"/>
    </row>
    <row r="368" spans="4:32" ht="15.75">
      <c r="D368" s="92"/>
      <c r="E368" s="92"/>
      <c r="F368" s="92"/>
      <c r="G368" s="92"/>
      <c r="H368" s="92"/>
      <c r="AF368" s="105"/>
    </row>
    <row r="369" spans="4:32" ht="15.75">
      <c r="D369" s="92"/>
      <c r="E369" s="92"/>
      <c r="F369" s="92"/>
      <c r="G369" s="92"/>
      <c r="H369" s="92"/>
      <c r="AF369" s="105"/>
    </row>
    <row r="370" spans="4:32" ht="15.75">
      <c r="D370" s="92"/>
      <c r="E370" s="92"/>
      <c r="F370" s="92"/>
      <c r="G370" s="92"/>
      <c r="H370" s="92"/>
      <c r="AF370" s="105"/>
    </row>
    <row r="371" spans="4:32" ht="15.75">
      <c r="D371" s="92"/>
      <c r="E371" s="92"/>
      <c r="F371" s="92"/>
      <c r="G371" s="92"/>
      <c r="H371" s="92"/>
      <c r="AF371" s="105"/>
    </row>
    <row r="372" spans="4:32" ht="15.75">
      <c r="D372" s="92"/>
      <c r="E372" s="92"/>
      <c r="F372" s="92"/>
      <c r="G372" s="92"/>
      <c r="H372" s="92"/>
      <c r="AF372" s="105"/>
    </row>
    <row r="373" spans="4:32" ht="15.75">
      <c r="D373" s="92"/>
      <c r="E373" s="92"/>
      <c r="F373" s="92"/>
      <c r="G373" s="92"/>
      <c r="H373" s="92"/>
      <c r="AF373" s="105"/>
    </row>
    <row r="374" spans="4:32" ht="15.75">
      <c r="D374" s="92"/>
      <c r="E374" s="92"/>
      <c r="F374" s="92"/>
      <c r="G374" s="92"/>
      <c r="H374" s="92"/>
      <c r="AF374" s="105"/>
    </row>
    <row r="375" spans="4:32" ht="15.75">
      <c r="D375" s="92"/>
      <c r="E375" s="92"/>
      <c r="F375" s="92"/>
      <c r="G375" s="92"/>
      <c r="H375" s="92"/>
      <c r="AF375" s="105"/>
    </row>
    <row r="376" spans="4:32" ht="15.75">
      <c r="D376" s="92"/>
      <c r="E376" s="92"/>
      <c r="F376" s="92"/>
      <c r="G376" s="92"/>
      <c r="H376" s="92"/>
      <c r="AF376" s="105"/>
    </row>
    <row r="377" spans="4:32" ht="15.75">
      <c r="D377" s="92"/>
      <c r="E377" s="92"/>
      <c r="F377" s="92"/>
      <c r="G377" s="92"/>
      <c r="H377" s="92"/>
      <c r="AF377" s="105"/>
    </row>
    <row r="378" spans="4:32" ht="15.75">
      <c r="D378" s="92"/>
      <c r="E378" s="92"/>
      <c r="F378" s="92"/>
      <c r="G378" s="92"/>
      <c r="H378" s="92"/>
      <c r="AF378" s="105"/>
    </row>
    <row r="379" spans="4:32" ht="15.75">
      <c r="D379" s="92"/>
      <c r="E379" s="92"/>
      <c r="F379" s="92"/>
      <c r="G379" s="92"/>
      <c r="H379" s="92"/>
      <c r="AF379" s="105"/>
    </row>
    <row r="380" spans="4:32" ht="15.75">
      <c r="D380" s="92"/>
      <c r="E380" s="92"/>
      <c r="F380" s="92"/>
      <c r="G380" s="92"/>
      <c r="H380" s="92"/>
      <c r="AF380" s="105"/>
    </row>
    <row r="381" spans="4:32" ht="15.75">
      <c r="D381" s="92"/>
      <c r="E381" s="92"/>
      <c r="F381" s="92"/>
      <c r="G381" s="92"/>
      <c r="H381" s="92"/>
      <c r="AF381" s="105"/>
    </row>
    <row r="382" spans="4:32" ht="15.75">
      <c r="D382" s="92"/>
      <c r="E382" s="92"/>
      <c r="F382" s="92"/>
      <c r="G382" s="92"/>
      <c r="H382" s="92"/>
      <c r="AF382" s="105"/>
    </row>
    <row r="383" spans="4:32" ht="15.75">
      <c r="D383" s="92"/>
      <c r="E383" s="92"/>
      <c r="F383" s="92"/>
      <c r="G383" s="92"/>
      <c r="H383" s="92"/>
      <c r="AF383" s="105"/>
    </row>
    <row r="384" spans="4:32" ht="15.75">
      <c r="D384" s="92"/>
      <c r="E384" s="92"/>
      <c r="F384" s="92"/>
      <c r="G384" s="92"/>
      <c r="H384" s="92"/>
      <c r="AF384" s="105"/>
    </row>
    <row r="385" spans="4:32" ht="15.75">
      <c r="D385" s="92"/>
      <c r="E385" s="92"/>
      <c r="F385" s="92"/>
      <c r="G385" s="92"/>
      <c r="H385" s="92"/>
      <c r="AF385" s="105"/>
    </row>
    <row r="386" spans="4:32" ht="15.75">
      <c r="D386" s="92"/>
      <c r="E386" s="92"/>
      <c r="F386" s="92"/>
      <c r="G386" s="92"/>
      <c r="H386" s="92"/>
      <c r="AF386" s="105"/>
    </row>
    <row r="387" spans="4:32" ht="15.75">
      <c r="D387" s="92"/>
      <c r="E387" s="92"/>
      <c r="F387" s="92"/>
      <c r="G387" s="92"/>
      <c r="H387" s="92"/>
      <c r="AF387" s="105"/>
    </row>
    <row r="388" spans="4:32" ht="15.75">
      <c r="D388" s="92"/>
      <c r="E388" s="92"/>
      <c r="F388" s="92"/>
      <c r="G388" s="92"/>
      <c r="H388" s="92"/>
      <c r="AF388" s="105"/>
    </row>
    <row r="389" spans="4:32" ht="15.75">
      <c r="D389" s="92"/>
      <c r="E389" s="92"/>
      <c r="F389" s="92"/>
      <c r="G389" s="92"/>
      <c r="H389" s="92"/>
      <c r="AF389" s="105"/>
    </row>
    <row r="390" spans="4:32" ht="15.75">
      <c r="D390" s="92"/>
      <c r="E390" s="92"/>
      <c r="F390" s="92"/>
      <c r="G390" s="92"/>
      <c r="H390" s="92"/>
      <c r="AF390" s="105"/>
    </row>
    <row r="391" spans="4:32" ht="15.75">
      <c r="D391" s="92"/>
      <c r="E391" s="92"/>
      <c r="F391" s="92"/>
      <c r="G391" s="92"/>
      <c r="H391" s="92"/>
      <c r="AF391" s="105"/>
    </row>
    <row r="392" spans="4:32" ht="15.75">
      <c r="D392" s="92"/>
      <c r="E392" s="92"/>
      <c r="F392" s="92"/>
      <c r="G392" s="92"/>
      <c r="H392" s="92"/>
      <c r="AF392" s="105"/>
    </row>
    <row r="393" spans="4:32" ht="15.75">
      <c r="D393" s="92"/>
      <c r="E393" s="92"/>
      <c r="F393" s="92"/>
      <c r="G393" s="92"/>
      <c r="H393" s="92"/>
      <c r="AF393" s="105"/>
    </row>
    <row r="394" spans="4:32" ht="15.75">
      <c r="D394" s="92"/>
      <c r="E394" s="92"/>
      <c r="F394" s="92"/>
      <c r="G394" s="92"/>
      <c r="H394" s="92"/>
      <c r="AF394" s="105"/>
    </row>
    <row r="395" spans="4:32" ht="15.75">
      <c r="D395" s="92"/>
      <c r="E395" s="92"/>
      <c r="F395" s="92"/>
      <c r="G395" s="92"/>
      <c r="H395" s="92"/>
      <c r="AF395" s="105"/>
    </row>
    <row r="396" spans="4:32" ht="15.75">
      <c r="D396" s="92"/>
      <c r="E396" s="92"/>
      <c r="F396" s="92"/>
      <c r="G396" s="92"/>
      <c r="H396" s="92"/>
      <c r="AF396" s="105"/>
    </row>
    <row r="397" spans="4:32" ht="15.75">
      <c r="D397" s="92"/>
      <c r="E397" s="92"/>
      <c r="F397" s="92"/>
      <c r="G397" s="92"/>
      <c r="H397" s="92"/>
      <c r="AF397" s="105"/>
    </row>
    <row r="398" spans="4:32" ht="15.75">
      <c r="D398" s="92"/>
      <c r="E398" s="92"/>
      <c r="F398" s="92"/>
      <c r="G398" s="92"/>
      <c r="H398" s="92"/>
      <c r="AF398" s="105"/>
    </row>
    <row r="399" spans="4:32" ht="15.75">
      <c r="D399" s="92"/>
      <c r="E399" s="92"/>
      <c r="F399" s="92"/>
      <c r="G399" s="92"/>
      <c r="H399" s="92"/>
      <c r="AF399" s="105"/>
    </row>
    <row r="400" spans="4:32" ht="15.75">
      <c r="D400" s="92"/>
      <c r="E400" s="92"/>
      <c r="F400" s="92"/>
      <c r="G400" s="92"/>
      <c r="H400" s="92"/>
      <c r="AF400" s="105"/>
    </row>
    <row r="401" spans="4:32" ht="15.75">
      <c r="D401" s="92"/>
      <c r="E401" s="92"/>
      <c r="F401" s="92"/>
      <c r="G401" s="92"/>
      <c r="H401" s="92"/>
      <c r="AF401" s="105"/>
    </row>
    <row r="402" spans="4:32" ht="15.75">
      <c r="D402" s="92"/>
      <c r="E402" s="92"/>
      <c r="F402" s="92"/>
      <c r="G402" s="92"/>
      <c r="H402" s="92"/>
      <c r="AF402" s="105"/>
    </row>
    <row r="403" spans="4:32" ht="15.75">
      <c r="D403" s="92"/>
      <c r="E403" s="92"/>
      <c r="F403" s="92"/>
      <c r="G403" s="92"/>
      <c r="H403" s="92"/>
      <c r="AF403" s="105"/>
    </row>
    <row r="404" spans="4:32" ht="15.75">
      <c r="D404" s="92"/>
      <c r="E404" s="92"/>
      <c r="F404" s="92"/>
      <c r="G404" s="92"/>
      <c r="H404" s="92"/>
      <c r="AF404" s="105"/>
    </row>
    <row r="405" spans="4:32" ht="15.75">
      <c r="D405" s="92"/>
      <c r="E405" s="92"/>
      <c r="F405" s="92"/>
      <c r="G405" s="92"/>
      <c r="H405" s="92"/>
      <c r="AF405" s="105"/>
    </row>
    <row r="406" spans="4:32" ht="15.75">
      <c r="D406" s="92"/>
      <c r="E406" s="92"/>
      <c r="F406" s="92"/>
      <c r="G406" s="92"/>
      <c r="H406" s="92"/>
      <c r="AF406" s="105"/>
    </row>
    <row r="407" spans="4:32" ht="15.75">
      <c r="D407" s="92"/>
      <c r="E407" s="92"/>
      <c r="F407" s="92"/>
      <c r="G407" s="92"/>
      <c r="H407" s="92"/>
      <c r="AF407" s="105"/>
    </row>
    <row r="408" spans="4:32" ht="15.75">
      <c r="D408" s="92"/>
      <c r="E408" s="92"/>
      <c r="F408" s="92"/>
      <c r="G408" s="92"/>
      <c r="H408" s="92"/>
      <c r="AF408" s="105"/>
    </row>
    <row r="409" spans="4:32" ht="15.75">
      <c r="D409" s="92"/>
      <c r="E409" s="92"/>
      <c r="F409" s="92"/>
      <c r="G409" s="92"/>
      <c r="H409" s="92"/>
      <c r="AF409" s="105"/>
    </row>
    <row r="410" spans="4:32" ht="15.75">
      <c r="D410" s="92"/>
      <c r="E410" s="92"/>
      <c r="F410" s="92"/>
      <c r="G410" s="92"/>
      <c r="H410" s="92"/>
      <c r="AF410" s="105"/>
    </row>
    <row r="411" spans="4:32" ht="15.75">
      <c r="D411" s="92"/>
      <c r="E411" s="92"/>
      <c r="F411" s="92"/>
      <c r="G411" s="92"/>
      <c r="H411" s="92"/>
      <c r="AF411" s="105"/>
    </row>
    <row r="412" spans="4:32" ht="15.75">
      <c r="D412" s="92"/>
      <c r="E412" s="92"/>
      <c r="F412" s="92"/>
      <c r="G412" s="92"/>
      <c r="H412" s="92"/>
      <c r="AF412" s="105"/>
    </row>
    <row r="413" spans="4:32" ht="15.75">
      <c r="D413" s="92"/>
      <c r="E413" s="92"/>
      <c r="F413" s="92"/>
      <c r="G413" s="92"/>
      <c r="H413" s="92"/>
      <c r="AF413" s="105"/>
    </row>
    <row r="414" spans="4:32" ht="15.75">
      <c r="D414" s="92"/>
      <c r="E414" s="92"/>
      <c r="F414" s="92"/>
      <c r="G414" s="92"/>
      <c r="H414" s="92"/>
      <c r="AF414" s="105"/>
    </row>
    <row r="415" spans="4:32" ht="15.75">
      <c r="D415" s="92"/>
      <c r="E415" s="92"/>
      <c r="F415" s="92"/>
      <c r="G415" s="92"/>
      <c r="H415" s="92"/>
      <c r="AF415" s="105"/>
    </row>
    <row r="416" spans="4:32" ht="15.75">
      <c r="D416" s="92"/>
      <c r="E416" s="92"/>
      <c r="F416" s="92"/>
      <c r="G416" s="92"/>
      <c r="H416" s="92"/>
      <c r="AF416" s="105"/>
    </row>
    <row r="417" spans="4:32" ht="15.75">
      <c r="D417" s="92"/>
      <c r="E417" s="92"/>
      <c r="F417" s="92"/>
      <c r="G417" s="92"/>
      <c r="H417" s="92"/>
      <c r="AF417" s="105"/>
    </row>
    <row r="418" spans="4:32" ht="15.75">
      <c r="D418" s="92"/>
      <c r="E418" s="92"/>
      <c r="F418" s="92"/>
      <c r="G418" s="92"/>
      <c r="H418" s="92"/>
      <c r="AF418" s="105"/>
    </row>
    <row r="419" spans="4:32" ht="15.75">
      <c r="D419" s="92"/>
      <c r="E419" s="92"/>
      <c r="F419" s="92"/>
      <c r="G419" s="92"/>
      <c r="H419" s="92"/>
      <c r="AF419" s="105"/>
    </row>
    <row r="420" spans="4:32" ht="15.75">
      <c r="D420" s="92"/>
      <c r="E420" s="92"/>
      <c r="F420" s="92"/>
      <c r="G420" s="92"/>
      <c r="H420" s="92"/>
      <c r="AF420" s="105"/>
    </row>
    <row r="421" spans="4:32" ht="15.75">
      <c r="D421" s="92"/>
      <c r="E421" s="92"/>
      <c r="F421" s="92"/>
      <c r="G421" s="92"/>
      <c r="H421" s="92"/>
      <c r="AF421" s="105"/>
    </row>
    <row r="422" spans="4:32" ht="15.75">
      <c r="D422" s="92"/>
      <c r="E422" s="92"/>
      <c r="F422" s="92"/>
      <c r="G422" s="92"/>
      <c r="H422" s="92"/>
      <c r="AF422" s="105"/>
    </row>
    <row r="423" spans="4:32" ht="15.75">
      <c r="D423" s="92"/>
      <c r="E423" s="92"/>
      <c r="F423" s="92"/>
      <c r="G423" s="92"/>
      <c r="H423" s="92"/>
      <c r="AF423" s="105"/>
    </row>
    <row r="424" spans="4:32" ht="15.75">
      <c r="D424" s="92"/>
      <c r="E424" s="92"/>
      <c r="F424" s="92"/>
      <c r="G424" s="92"/>
      <c r="H424" s="92"/>
      <c r="AF424" s="105"/>
    </row>
    <row r="425" spans="4:32" ht="15.75">
      <c r="D425" s="92"/>
      <c r="E425" s="92"/>
      <c r="F425" s="92"/>
      <c r="G425" s="92"/>
      <c r="H425" s="92"/>
      <c r="AF425" s="105"/>
    </row>
    <row r="426" spans="4:32" ht="15.75">
      <c r="D426" s="92"/>
      <c r="E426" s="92"/>
      <c r="F426" s="92"/>
      <c r="G426" s="92"/>
      <c r="H426" s="92"/>
      <c r="AF426" s="105"/>
    </row>
    <row r="427" spans="4:32" ht="15.75">
      <c r="D427" s="92"/>
      <c r="E427" s="92"/>
      <c r="F427" s="92"/>
      <c r="G427" s="92"/>
      <c r="H427" s="92"/>
      <c r="AF427" s="105"/>
    </row>
    <row r="428" spans="4:32" ht="15.75">
      <c r="D428" s="92"/>
      <c r="E428" s="92"/>
      <c r="F428" s="92"/>
      <c r="G428" s="92"/>
      <c r="H428" s="92"/>
      <c r="AF428" s="105"/>
    </row>
    <row r="429" spans="4:32" ht="15.75">
      <c r="D429" s="92"/>
      <c r="E429" s="92"/>
      <c r="F429" s="92"/>
      <c r="G429" s="92"/>
      <c r="H429" s="92"/>
      <c r="AF429" s="105"/>
    </row>
    <row r="430" spans="4:32" ht="15.75">
      <c r="D430" s="92"/>
      <c r="E430" s="92"/>
      <c r="F430" s="92"/>
      <c r="G430" s="92"/>
      <c r="H430" s="92"/>
      <c r="AF430" s="105"/>
    </row>
    <row r="431" spans="4:32" ht="15.75">
      <c r="D431" s="92"/>
      <c r="E431" s="92"/>
      <c r="F431" s="92"/>
      <c r="G431" s="92"/>
      <c r="H431" s="92"/>
      <c r="AF431" s="105"/>
    </row>
    <row r="432" spans="4:32" ht="15.75">
      <c r="D432" s="92"/>
      <c r="E432" s="92"/>
      <c r="F432" s="92"/>
      <c r="G432" s="92"/>
      <c r="H432" s="92"/>
      <c r="AF432" s="105"/>
    </row>
    <row r="433" spans="4:32" ht="15.75">
      <c r="D433" s="92"/>
      <c r="E433" s="92"/>
      <c r="F433" s="92"/>
      <c r="G433" s="92"/>
      <c r="H433" s="92"/>
      <c r="AF433" s="105"/>
    </row>
    <row r="434" spans="4:32" ht="15.75">
      <c r="D434" s="92"/>
      <c r="E434" s="92"/>
      <c r="F434" s="92"/>
      <c r="G434" s="92"/>
      <c r="H434" s="92"/>
      <c r="AF434" s="105"/>
    </row>
    <row r="435" spans="4:32" ht="15.75">
      <c r="D435" s="92"/>
      <c r="E435" s="92"/>
      <c r="F435" s="92"/>
      <c r="G435" s="92"/>
      <c r="H435" s="92"/>
      <c r="AF435" s="105"/>
    </row>
    <row r="436" spans="4:32" ht="15.75">
      <c r="D436" s="92"/>
      <c r="E436" s="92"/>
      <c r="F436" s="92"/>
      <c r="G436" s="92"/>
      <c r="H436" s="92"/>
      <c r="AF436" s="105"/>
    </row>
    <row r="437" spans="4:32" ht="15.75">
      <c r="D437" s="92"/>
      <c r="E437" s="92"/>
      <c r="F437" s="92"/>
      <c r="G437" s="92"/>
      <c r="H437" s="92"/>
      <c r="AF437" s="105"/>
    </row>
    <row r="438" spans="4:32" ht="15.75">
      <c r="D438" s="92"/>
      <c r="E438" s="92"/>
      <c r="F438" s="92"/>
      <c r="G438" s="92"/>
      <c r="H438" s="92"/>
      <c r="AF438" s="105"/>
    </row>
    <row r="439" spans="4:32" ht="15.75">
      <c r="D439" s="92"/>
      <c r="E439" s="92"/>
      <c r="F439" s="92"/>
      <c r="G439" s="92"/>
      <c r="H439" s="92"/>
      <c r="AF439" s="105"/>
    </row>
    <row r="440" spans="4:32" ht="15.75">
      <c r="D440" s="92"/>
      <c r="E440" s="92"/>
      <c r="F440" s="92"/>
      <c r="G440" s="92"/>
      <c r="H440" s="92"/>
      <c r="AF440" s="105"/>
    </row>
    <row r="441" spans="4:32" ht="15.75">
      <c r="D441" s="92"/>
      <c r="E441" s="92"/>
      <c r="F441" s="92"/>
      <c r="G441" s="92"/>
      <c r="H441" s="92"/>
      <c r="AF441" s="105"/>
    </row>
    <row r="442" spans="4:32" ht="15.75">
      <c r="D442" s="92"/>
      <c r="E442" s="92"/>
      <c r="F442" s="92"/>
      <c r="G442" s="92"/>
      <c r="H442" s="92"/>
      <c r="AF442" s="105"/>
    </row>
    <row r="443" spans="4:32" ht="15.75">
      <c r="D443" s="92"/>
      <c r="E443" s="92"/>
      <c r="F443" s="92"/>
      <c r="G443" s="92"/>
      <c r="H443" s="92"/>
      <c r="AF443" s="105"/>
    </row>
    <row r="444" spans="4:32" ht="15.75">
      <c r="D444" s="92"/>
      <c r="E444" s="92"/>
      <c r="F444" s="92"/>
      <c r="G444" s="92"/>
      <c r="H444" s="92"/>
      <c r="AF444" s="105"/>
    </row>
    <row r="445" spans="4:32" ht="15.75">
      <c r="D445" s="92"/>
      <c r="E445" s="92"/>
      <c r="F445" s="92"/>
      <c r="G445" s="92"/>
      <c r="H445" s="92"/>
      <c r="AF445" s="105"/>
    </row>
    <row r="446" spans="4:32" ht="15.75">
      <c r="D446" s="92"/>
      <c r="E446" s="92"/>
      <c r="F446" s="92"/>
      <c r="G446" s="92"/>
      <c r="H446" s="92"/>
      <c r="AF446" s="105"/>
    </row>
    <row r="447" spans="4:32" ht="15.75">
      <c r="D447" s="92"/>
      <c r="E447" s="92"/>
      <c r="F447" s="92"/>
      <c r="G447" s="92"/>
      <c r="H447" s="92"/>
      <c r="AF447" s="105"/>
    </row>
    <row r="448" spans="4:32" ht="15.75">
      <c r="D448" s="92"/>
      <c r="E448" s="92"/>
      <c r="F448" s="92"/>
      <c r="G448" s="92"/>
      <c r="H448" s="92"/>
      <c r="AF448" s="105"/>
    </row>
    <row r="449" spans="4:32" ht="15.75">
      <c r="D449" s="92"/>
      <c r="E449" s="92"/>
      <c r="F449" s="92"/>
      <c r="G449" s="92"/>
      <c r="H449" s="92"/>
      <c r="AF449" s="105"/>
    </row>
    <row r="450" spans="4:32" ht="15.75">
      <c r="D450" s="92"/>
      <c r="E450" s="92"/>
      <c r="F450" s="92"/>
      <c r="G450" s="92"/>
      <c r="H450" s="92"/>
      <c r="AF450" s="105"/>
    </row>
    <row r="451" spans="4:32" ht="15.75">
      <c r="D451" s="92"/>
      <c r="E451" s="92"/>
      <c r="F451" s="92"/>
      <c r="G451" s="92"/>
      <c r="H451" s="92"/>
      <c r="AF451" s="105"/>
    </row>
    <row r="452" spans="4:32" ht="15.75">
      <c r="D452" s="92"/>
      <c r="E452" s="92"/>
      <c r="F452" s="92"/>
      <c r="G452" s="92"/>
      <c r="H452" s="92"/>
      <c r="AF452" s="105"/>
    </row>
    <row r="453" spans="4:32" ht="15.75">
      <c r="D453" s="92"/>
      <c r="E453" s="92"/>
      <c r="F453" s="92"/>
      <c r="G453" s="92"/>
      <c r="H453" s="92"/>
      <c r="AF453" s="105"/>
    </row>
    <row r="454" spans="4:32" ht="15.75">
      <c r="D454" s="92"/>
      <c r="E454" s="92"/>
      <c r="F454" s="92"/>
      <c r="G454" s="92"/>
      <c r="H454" s="92"/>
      <c r="AF454" s="105"/>
    </row>
    <row r="455" spans="4:32" ht="15.75">
      <c r="D455" s="92"/>
      <c r="E455" s="92"/>
      <c r="F455" s="92"/>
      <c r="G455" s="92"/>
      <c r="H455" s="92"/>
      <c r="AF455" s="105"/>
    </row>
    <row r="456" spans="4:32" ht="15.75">
      <c r="D456" s="92"/>
      <c r="E456" s="92"/>
      <c r="F456" s="92"/>
      <c r="G456" s="92"/>
      <c r="H456" s="92"/>
      <c r="AF456" s="105"/>
    </row>
    <row r="457" spans="4:32" ht="15.75">
      <c r="D457" s="92"/>
      <c r="E457" s="92"/>
      <c r="F457" s="92"/>
      <c r="G457" s="92"/>
      <c r="H457" s="92"/>
      <c r="AF457" s="105"/>
    </row>
    <row r="458" spans="4:32" ht="15.75">
      <c r="D458" s="92"/>
      <c r="E458" s="92"/>
      <c r="F458" s="92"/>
      <c r="G458" s="92"/>
      <c r="H458" s="92"/>
      <c r="AF458" s="105"/>
    </row>
    <row r="459" spans="4:32" ht="15.75">
      <c r="D459" s="92"/>
      <c r="E459" s="92"/>
      <c r="F459" s="92"/>
      <c r="G459" s="92"/>
      <c r="H459" s="92"/>
      <c r="AF459" s="105"/>
    </row>
    <row r="460" spans="4:32" ht="15.75">
      <c r="D460" s="92"/>
      <c r="E460" s="92"/>
      <c r="F460" s="92"/>
      <c r="G460" s="92"/>
      <c r="H460" s="92"/>
      <c r="AF460" s="105"/>
    </row>
    <row r="461" spans="4:32" ht="15.75">
      <c r="D461" s="92"/>
      <c r="E461" s="92"/>
      <c r="F461" s="92"/>
      <c r="G461" s="92"/>
      <c r="H461" s="92"/>
      <c r="AF461" s="105"/>
    </row>
    <row r="462" spans="4:32" ht="15.75">
      <c r="D462" s="92"/>
      <c r="E462" s="92"/>
      <c r="F462" s="92"/>
      <c r="G462" s="92"/>
      <c r="H462" s="92"/>
      <c r="AF462" s="105"/>
    </row>
    <row r="463" spans="4:32" ht="15.75">
      <c r="D463" s="92"/>
      <c r="E463" s="92"/>
      <c r="F463" s="92"/>
      <c r="G463" s="92"/>
      <c r="H463" s="92"/>
      <c r="AF463" s="105"/>
    </row>
    <row r="464" spans="4:32" ht="15.75">
      <c r="D464" s="92"/>
      <c r="E464" s="92"/>
      <c r="F464" s="92"/>
      <c r="G464" s="92"/>
      <c r="H464" s="92"/>
      <c r="AF464" s="105"/>
    </row>
    <row r="465" spans="4:32" ht="15.75">
      <c r="D465" s="92"/>
      <c r="E465" s="92"/>
      <c r="F465" s="92"/>
      <c r="G465" s="92"/>
      <c r="H465" s="92"/>
      <c r="AF465" s="105"/>
    </row>
    <row r="466" spans="4:32" ht="15.75">
      <c r="D466" s="92"/>
      <c r="E466" s="92"/>
      <c r="F466" s="92"/>
      <c r="G466" s="92"/>
      <c r="H466" s="92"/>
      <c r="AF466" s="105"/>
    </row>
    <row r="467" spans="4:32" ht="15.75">
      <c r="D467" s="92"/>
      <c r="E467" s="92"/>
      <c r="F467" s="92"/>
      <c r="G467" s="92"/>
      <c r="H467" s="92"/>
      <c r="AF467" s="105"/>
    </row>
    <row r="468" spans="4:32" ht="15.75">
      <c r="D468" s="92"/>
      <c r="E468" s="92"/>
      <c r="F468" s="92"/>
      <c r="G468" s="92"/>
      <c r="H468" s="92"/>
      <c r="AF468" s="105"/>
    </row>
    <row r="469" spans="4:32" ht="15.75">
      <c r="D469" s="92"/>
      <c r="E469" s="92"/>
      <c r="F469" s="92"/>
      <c r="G469" s="92"/>
      <c r="H469" s="92"/>
      <c r="AF469" s="105"/>
    </row>
    <row r="470" spans="4:32" ht="15.75">
      <c r="D470" s="92"/>
      <c r="E470" s="92"/>
      <c r="F470" s="92"/>
      <c r="G470" s="92"/>
      <c r="H470" s="92"/>
      <c r="AF470" s="105"/>
    </row>
    <row r="471" spans="4:32" ht="15.75">
      <c r="D471" s="92"/>
      <c r="E471" s="92"/>
      <c r="F471" s="92"/>
      <c r="G471" s="92"/>
      <c r="H471" s="92"/>
      <c r="AF471" s="105"/>
    </row>
    <row r="472" spans="4:32" ht="15.75">
      <c r="D472" s="92"/>
      <c r="E472" s="92"/>
      <c r="F472" s="92"/>
      <c r="G472" s="92"/>
      <c r="H472" s="92"/>
      <c r="AF472" s="105"/>
    </row>
    <row r="473" spans="4:32" ht="15.75">
      <c r="D473" s="92"/>
      <c r="E473" s="92"/>
      <c r="F473" s="92"/>
      <c r="G473" s="92"/>
      <c r="H473" s="92"/>
      <c r="AF473" s="105"/>
    </row>
    <row r="474" spans="4:32" ht="15.75">
      <c r="D474" s="92"/>
      <c r="E474" s="92"/>
      <c r="F474" s="92"/>
      <c r="G474" s="92"/>
      <c r="H474" s="92"/>
      <c r="AF474" s="105"/>
    </row>
    <row r="475" spans="4:32" ht="15.75">
      <c r="D475" s="92"/>
      <c r="E475" s="92"/>
      <c r="F475" s="92"/>
      <c r="G475" s="92"/>
      <c r="H475" s="92"/>
      <c r="AF475" s="105"/>
    </row>
    <row r="476" spans="4:32" ht="15.75">
      <c r="D476" s="92"/>
      <c r="E476" s="92"/>
      <c r="F476" s="92"/>
      <c r="G476" s="92"/>
      <c r="H476" s="92"/>
      <c r="AF476" s="105"/>
    </row>
    <row r="477" spans="4:32" ht="15.75">
      <c r="D477" s="92"/>
      <c r="E477" s="92"/>
      <c r="F477" s="92"/>
      <c r="G477" s="92"/>
      <c r="H477" s="92"/>
      <c r="AF477" s="105"/>
    </row>
    <row r="478" spans="4:32" ht="15.75">
      <c r="D478" s="92"/>
      <c r="E478" s="92"/>
      <c r="F478" s="92"/>
      <c r="G478" s="92"/>
      <c r="H478" s="92"/>
      <c r="AF478" s="105"/>
    </row>
    <row r="479" spans="4:32" ht="15.75">
      <c r="D479" s="92"/>
      <c r="E479" s="92"/>
      <c r="F479" s="92"/>
      <c r="G479" s="92"/>
      <c r="H479" s="92"/>
      <c r="AF479" s="105"/>
    </row>
    <row r="480" spans="4:32" ht="15.75">
      <c r="D480" s="92"/>
      <c r="E480" s="92"/>
      <c r="F480" s="92"/>
      <c r="G480" s="92"/>
      <c r="H480" s="92"/>
      <c r="AF480" s="105"/>
    </row>
    <row r="481" spans="4:32" ht="15.75">
      <c r="D481" s="92"/>
      <c r="E481" s="92"/>
      <c r="F481" s="92"/>
      <c r="G481" s="92"/>
      <c r="H481" s="92"/>
      <c r="AF481" s="105"/>
    </row>
    <row r="482" spans="4:32" ht="15.75">
      <c r="D482" s="92"/>
      <c r="E482" s="92"/>
      <c r="F482" s="92"/>
      <c r="G482" s="92"/>
      <c r="H482" s="92"/>
      <c r="AF482" s="105"/>
    </row>
    <row r="483" spans="4:32" ht="15.75">
      <c r="D483" s="92"/>
      <c r="E483" s="92"/>
      <c r="F483" s="92"/>
      <c r="G483" s="92"/>
      <c r="H483" s="92"/>
      <c r="AF483" s="105"/>
    </row>
    <row r="484" spans="4:32" ht="15.75">
      <c r="D484" s="92"/>
      <c r="E484" s="92"/>
      <c r="F484" s="92"/>
      <c r="G484" s="92"/>
      <c r="H484" s="92"/>
      <c r="AF484" s="105"/>
    </row>
    <row r="485" spans="4:32" ht="15.75">
      <c r="D485" s="92"/>
      <c r="E485" s="92"/>
      <c r="F485" s="92"/>
      <c r="G485" s="92"/>
      <c r="H485" s="92"/>
      <c r="AF485" s="105"/>
    </row>
    <row r="486" spans="4:32" ht="15.75">
      <c r="D486" s="92"/>
      <c r="E486" s="92"/>
      <c r="F486" s="92"/>
      <c r="G486" s="92"/>
      <c r="H486" s="92"/>
      <c r="AF486" s="105"/>
    </row>
    <row r="487" spans="4:32" ht="15.75">
      <c r="D487" s="92"/>
      <c r="E487" s="92"/>
      <c r="F487" s="92"/>
      <c r="G487" s="92"/>
      <c r="H487" s="92"/>
      <c r="AF487" s="105"/>
    </row>
    <row r="488" spans="4:32" ht="15.75">
      <c r="D488" s="92"/>
      <c r="E488" s="92"/>
      <c r="F488" s="92"/>
      <c r="G488" s="92"/>
      <c r="H488" s="92"/>
      <c r="AF488" s="105"/>
    </row>
    <row r="489" spans="4:32" ht="15.75">
      <c r="D489" s="92"/>
      <c r="E489" s="92"/>
      <c r="F489" s="92"/>
      <c r="G489" s="92"/>
      <c r="H489" s="92"/>
      <c r="AF489" s="105"/>
    </row>
    <row r="490" spans="4:32" ht="15.75">
      <c r="D490" s="92"/>
      <c r="E490" s="92"/>
      <c r="F490" s="92"/>
      <c r="G490" s="92"/>
      <c r="H490" s="92"/>
      <c r="AF490" s="105"/>
    </row>
    <row r="491" spans="4:32" ht="15.75">
      <c r="D491" s="92"/>
      <c r="E491" s="92"/>
      <c r="F491" s="92"/>
      <c r="G491" s="92"/>
      <c r="H491" s="92"/>
      <c r="AF491" s="105"/>
    </row>
    <row r="492" spans="4:32" ht="15.75">
      <c r="D492" s="92"/>
      <c r="E492" s="92"/>
      <c r="F492" s="92"/>
      <c r="G492" s="92"/>
      <c r="H492" s="92"/>
      <c r="AF492" s="105"/>
    </row>
    <row r="493" spans="4:32" ht="15.75">
      <c r="D493" s="92"/>
      <c r="E493" s="92"/>
      <c r="F493" s="92"/>
      <c r="G493" s="92"/>
      <c r="H493" s="92"/>
      <c r="AF493" s="105"/>
    </row>
    <row r="494" spans="4:32" ht="15.75">
      <c r="D494" s="92"/>
      <c r="E494" s="92"/>
      <c r="F494" s="92"/>
      <c r="G494" s="92"/>
      <c r="H494" s="92"/>
      <c r="AF494" s="105"/>
    </row>
    <row r="495" spans="4:32" ht="15.75">
      <c r="D495" s="92"/>
      <c r="E495" s="92"/>
      <c r="F495" s="92"/>
      <c r="G495" s="92"/>
      <c r="H495" s="92"/>
      <c r="AF495" s="105"/>
    </row>
    <row r="496" spans="4:32" ht="15.75">
      <c r="D496" s="92"/>
      <c r="E496" s="92"/>
      <c r="F496" s="92"/>
      <c r="G496" s="92"/>
      <c r="H496" s="92"/>
      <c r="AF496" s="105"/>
    </row>
    <row r="497" spans="4:32" ht="15.75">
      <c r="D497" s="92"/>
      <c r="E497" s="92"/>
      <c r="F497" s="92"/>
      <c r="G497" s="92"/>
      <c r="H497" s="92"/>
      <c r="AF497" s="105"/>
    </row>
    <row r="498" spans="4:32" ht="15.75">
      <c r="D498" s="92"/>
      <c r="E498" s="92"/>
      <c r="F498" s="92"/>
      <c r="G498" s="92"/>
      <c r="H498" s="92"/>
      <c r="AF498" s="105"/>
    </row>
    <row r="499" spans="4:32" ht="15.75">
      <c r="D499" s="92"/>
      <c r="E499" s="92"/>
      <c r="F499" s="92"/>
      <c r="G499" s="92"/>
      <c r="H499" s="92"/>
      <c r="AF499" s="105"/>
    </row>
    <row r="500" spans="4:32" ht="15.75">
      <c r="D500" s="92"/>
      <c r="E500" s="92"/>
      <c r="F500" s="92"/>
      <c r="G500" s="92"/>
      <c r="H500" s="92"/>
      <c r="AF500" s="105"/>
    </row>
    <row r="501" spans="4:32" ht="15.75">
      <c r="D501" s="92"/>
      <c r="E501" s="92"/>
      <c r="F501" s="92"/>
      <c r="G501" s="92"/>
      <c r="H501" s="92"/>
      <c r="AF501" s="105"/>
    </row>
    <row r="502" spans="4:32" ht="15.75">
      <c r="D502" s="92"/>
      <c r="E502" s="92"/>
      <c r="F502" s="92"/>
      <c r="G502" s="92"/>
      <c r="H502" s="92"/>
      <c r="AF502" s="105"/>
    </row>
    <row r="503" spans="4:32" ht="15.75">
      <c r="D503" s="92"/>
      <c r="E503" s="92"/>
      <c r="F503" s="92"/>
      <c r="G503" s="92"/>
      <c r="H503" s="92"/>
      <c r="AF503" s="105"/>
    </row>
    <row r="504" spans="4:32" ht="15.75">
      <c r="D504" s="92"/>
      <c r="E504" s="92"/>
      <c r="F504" s="92"/>
      <c r="G504" s="92"/>
      <c r="H504" s="92"/>
      <c r="AF504" s="105"/>
    </row>
    <row r="505" spans="4:32" ht="15.75">
      <c r="D505" s="92"/>
      <c r="E505" s="92"/>
      <c r="F505" s="92"/>
      <c r="G505" s="92"/>
      <c r="H505" s="92"/>
      <c r="AF505" s="105"/>
    </row>
    <row r="506" spans="4:32" ht="15.75">
      <c r="D506" s="92"/>
      <c r="E506" s="92"/>
      <c r="F506" s="92"/>
      <c r="G506" s="92"/>
      <c r="H506" s="92"/>
      <c r="AF506" s="105"/>
    </row>
    <row r="507" spans="4:32" ht="15.75">
      <c r="D507" s="92"/>
      <c r="E507" s="92"/>
      <c r="F507" s="92"/>
      <c r="G507" s="92"/>
      <c r="H507" s="92"/>
      <c r="AF507" s="105"/>
    </row>
    <row r="508" spans="4:32" ht="15.75">
      <c r="D508" s="92"/>
      <c r="E508" s="92"/>
      <c r="F508" s="92"/>
      <c r="G508" s="92"/>
      <c r="H508" s="92"/>
      <c r="AF508" s="105"/>
    </row>
    <row r="509" spans="4:32" ht="15.75">
      <c r="D509" s="92"/>
      <c r="E509" s="92"/>
      <c r="F509" s="92"/>
      <c r="G509" s="92"/>
      <c r="H509" s="92"/>
      <c r="AF509" s="105"/>
    </row>
    <row r="510" spans="4:32" ht="15.75">
      <c r="D510" s="92"/>
      <c r="E510" s="92"/>
      <c r="F510" s="92"/>
      <c r="G510" s="92"/>
      <c r="H510" s="92"/>
      <c r="AF510" s="105"/>
    </row>
    <row r="511" spans="4:32" ht="15.75">
      <c r="D511" s="92"/>
      <c r="E511" s="92"/>
      <c r="F511" s="92"/>
      <c r="G511" s="92"/>
      <c r="H511" s="92"/>
      <c r="AF511" s="105"/>
    </row>
    <row r="512" spans="4:32" ht="15.75">
      <c r="D512" s="92"/>
      <c r="E512" s="92"/>
      <c r="F512" s="92"/>
      <c r="G512" s="92"/>
      <c r="H512" s="92"/>
      <c r="AF512" s="105"/>
    </row>
    <row r="513" spans="4:32" ht="15.75">
      <c r="D513" s="92"/>
      <c r="E513" s="92"/>
      <c r="F513" s="92"/>
      <c r="G513" s="92"/>
      <c r="H513" s="92"/>
      <c r="AF513" s="105"/>
    </row>
    <row r="514" spans="4:32" ht="15.75">
      <c r="D514" s="92"/>
      <c r="E514" s="92"/>
      <c r="F514" s="92"/>
      <c r="G514" s="92"/>
      <c r="H514" s="92"/>
      <c r="AF514" s="105"/>
    </row>
    <row r="515" spans="4:32" ht="15.75">
      <c r="D515" s="92"/>
      <c r="E515" s="92"/>
      <c r="F515" s="92"/>
      <c r="G515" s="92"/>
      <c r="H515" s="92"/>
      <c r="AF515" s="105"/>
    </row>
    <row r="516" spans="4:32" ht="15.75">
      <c r="D516" s="92"/>
      <c r="E516" s="92"/>
      <c r="F516" s="92"/>
      <c r="G516" s="92"/>
      <c r="H516" s="92"/>
      <c r="AF516" s="105"/>
    </row>
    <row r="517" spans="4:32" ht="15.75">
      <c r="D517" s="92"/>
      <c r="E517" s="92"/>
      <c r="F517" s="92"/>
      <c r="G517" s="92"/>
      <c r="H517" s="92"/>
      <c r="AF517" s="105"/>
    </row>
    <row r="518" spans="4:32" ht="15.75">
      <c r="D518" s="92"/>
      <c r="E518" s="92"/>
      <c r="F518" s="92"/>
      <c r="G518" s="92"/>
      <c r="H518" s="92"/>
      <c r="AF518" s="105"/>
    </row>
    <row r="519" spans="4:32" ht="15.75">
      <c r="D519" s="92"/>
      <c r="E519" s="92"/>
      <c r="F519" s="92"/>
      <c r="G519" s="92"/>
      <c r="H519" s="92"/>
      <c r="AF519" s="105"/>
    </row>
    <row r="520" spans="4:32" ht="15.75">
      <c r="D520" s="92"/>
      <c r="E520" s="92"/>
      <c r="F520" s="92"/>
      <c r="G520" s="92"/>
      <c r="H520" s="92"/>
      <c r="AF520" s="105"/>
    </row>
    <row r="521" spans="4:32" ht="15.75">
      <c r="D521" s="92"/>
      <c r="E521" s="92"/>
      <c r="F521" s="92"/>
      <c r="G521" s="92"/>
      <c r="H521" s="92"/>
      <c r="AF521" s="105"/>
    </row>
    <row r="522" spans="4:32" ht="15.75">
      <c r="D522" s="92"/>
      <c r="E522" s="92"/>
      <c r="F522" s="92"/>
      <c r="G522" s="92"/>
      <c r="H522" s="92"/>
      <c r="AF522" s="105"/>
    </row>
    <row r="523" spans="4:32" ht="15.75">
      <c r="D523" s="92"/>
      <c r="E523" s="92"/>
      <c r="F523" s="92"/>
      <c r="G523" s="92"/>
      <c r="H523" s="92"/>
      <c r="AF523" s="105"/>
    </row>
    <row r="524" spans="4:32" ht="15.75">
      <c r="D524" s="92"/>
      <c r="E524" s="92"/>
      <c r="F524" s="92"/>
      <c r="G524" s="92"/>
      <c r="H524" s="92"/>
      <c r="AF524" s="105"/>
    </row>
    <row r="525" spans="4:32" ht="15.75">
      <c r="D525" s="92"/>
      <c r="E525" s="92"/>
      <c r="F525" s="92"/>
      <c r="G525" s="92"/>
      <c r="H525" s="92"/>
      <c r="AF525" s="105"/>
    </row>
    <row r="526" spans="4:32" ht="15.75">
      <c r="D526" s="92"/>
      <c r="E526" s="92"/>
      <c r="F526" s="92"/>
      <c r="G526" s="92"/>
      <c r="H526" s="92"/>
      <c r="AF526" s="105"/>
    </row>
    <row r="527" spans="4:32" ht="15.75">
      <c r="D527" s="92"/>
      <c r="E527" s="92"/>
      <c r="F527" s="92"/>
      <c r="G527" s="92"/>
      <c r="H527" s="92"/>
      <c r="AF527" s="105"/>
    </row>
    <row r="528" spans="4:32" ht="15.75">
      <c r="D528" s="92"/>
      <c r="E528" s="92"/>
      <c r="F528" s="92"/>
      <c r="G528" s="92"/>
      <c r="H528" s="92"/>
      <c r="AF528" s="105"/>
    </row>
    <row r="529" spans="4:32" ht="15.75">
      <c r="D529" s="92"/>
      <c r="E529" s="92"/>
      <c r="F529" s="92"/>
      <c r="G529" s="92"/>
      <c r="H529" s="92"/>
      <c r="AF529" s="105"/>
    </row>
    <row r="530" spans="4:32" ht="15.75">
      <c r="D530" s="92"/>
      <c r="E530" s="92"/>
      <c r="F530" s="92"/>
      <c r="G530" s="92"/>
      <c r="H530" s="92"/>
      <c r="AF530" s="105"/>
    </row>
    <row r="531" spans="4:32" ht="15.75">
      <c r="D531" s="92"/>
      <c r="E531" s="92"/>
      <c r="F531" s="92"/>
      <c r="G531" s="92"/>
      <c r="H531" s="92"/>
      <c r="AF531" s="105"/>
    </row>
    <row r="532" spans="4:32" ht="15.75">
      <c r="D532" s="92"/>
      <c r="E532" s="92"/>
      <c r="F532" s="92"/>
      <c r="G532" s="92"/>
      <c r="H532" s="92"/>
      <c r="AF532" s="105"/>
    </row>
    <row r="533" spans="4:32" ht="15.75">
      <c r="D533" s="92"/>
      <c r="E533" s="92"/>
      <c r="F533" s="92"/>
      <c r="G533" s="92"/>
      <c r="H533" s="92"/>
      <c r="AF533" s="105"/>
    </row>
    <row r="534" spans="4:32" ht="15.75">
      <c r="D534" s="92"/>
      <c r="E534" s="92"/>
      <c r="F534" s="92"/>
      <c r="G534" s="92"/>
      <c r="H534" s="92"/>
      <c r="AF534" s="105"/>
    </row>
    <row r="535" spans="4:32" ht="15.75">
      <c r="D535" s="92"/>
      <c r="E535" s="92"/>
      <c r="F535" s="92"/>
      <c r="G535" s="92"/>
      <c r="H535" s="92"/>
      <c r="AF535" s="105"/>
    </row>
    <row r="536" spans="4:32" ht="15.75">
      <c r="D536" s="92"/>
      <c r="E536" s="92"/>
      <c r="F536" s="92"/>
      <c r="G536" s="92"/>
      <c r="H536" s="92"/>
      <c r="AF536" s="105"/>
    </row>
    <row r="537" spans="4:32" ht="15.75">
      <c r="D537" s="92"/>
      <c r="E537" s="92"/>
      <c r="F537" s="92"/>
      <c r="G537" s="92"/>
      <c r="H537" s="92"/>
      <c r="AF537" s="105"/>
    </row>
    <row r="538" spans="4:32" ht="15.75">
      <c r="D538" s="92"/>
      <c r="E538" s="92"/>
      <c r="F538" s="92"/>
      <c r="G538" s="92"/>
      <c r="H538" s="92"/>
      <c r="AF538" s="105"/>
    </row>
    <row r="539" spans="4:32" ht="15.75">
      <c r="D539" s="92"/>
      <c r="E539" s="92"/>
      <c r="F539" s="92"/>
      <c r="G539" s="92"/>
      <c r="H539" s="92"/>
      <c r="AF539" s="105"/>
    </row>
    <row r="540" spans="4:32" ht="15.75">
      <c r="D540" s="92"/>
      <c r="E540" s="92"/>
      <c r="F540" s="92"/>
      <c r="G540" s="92"/>
      <c r="H540" s="92"/>
      <c r="AF540" s="105"/>
    </row>
    <row r="541" spans="4:32" ht="15.75">
      <c r="D541" s="92"/>
      <c r="E541" s="92"/>
      <c r="F541" s="92"/>
      <c r="G541" s="92"/>
      <c r="H541" s="92"/>
      <c r="AF541" s="105"/>
    </row>
    <row r="542" spans="4:32" ht="15.75">
      <c r="D542" s="92"/>
      <c r="E542" s="92"/>
      <c r="F542" s="92"/>
      <c r="G542" s="92"/>
      <c r="H542" s="92"/>
      <c r="AF542" s="105"/>
    </row>
    <row r="543" spans="4:32" ht="15.75">
      <c r="D543" s="92"/>
      <c r="E543" s="92"/>
      <c r="F543" s="92"/>
      <c r="G543" s="92"/>
      <c r="H543" s="92"/>
      <c r="AF543" s="105"/>
    </row>
    <row r="544" spans="4:32" ht="15.75">
      <c r="D544" s="92"/>
      <c r="E544" s="92"/>
      <c r="F544" s="92"/>
      <c r="G544" s="92"/>
      <c r="H544" s="92"/>
      <c r="AF544" s="105"/>
    </row>
    <row r="545" spans="4:32" ht="15.75">
      <c r="D545" s="92"/>
      <c r="E545" s="92"/>
      <c r="F545" s="92"/>
      <c r="G545" s="92"/>
      <c r="H545" s="92"/>
      <c r="AF545" s="105"/>
    </row>
    <row r="546" spans="4:32" ht="15.75">
      <c r="D546" s="92"/>
      <c r="E546" s="92"/>
      <c r="F546" s="92"/>
      <c r="G546" s="92"/>
      <c r="H546" s="92"/>
      <c r="AF546" s="105"/>
    </row>
    <row r="547" spans="4:32" ht="15.75">
      <c r="D547" s="92"/>
      <c r="E547" s="92"/>
      <c r="F547" s="92"/>
      <c r="G547" s="92"/>
      <c r="H547" s="92"/>
      <c r="AF547" s="105"/>
    </row>
    <row r="548" spans="4:32" ht="15.75">
      <c r="D548" s="92"/>
      <c r="E548" s="92"/>
      <c r="F548" s="92"/>
      <c r="G548" s="92"/>
      <c r="H548" s="92"/>
      <c r="AF548" s="105"/>
    </row>
    <row r="549" spans="4:32" ht="15.75">
      <c r="D549" s="92"/>
      <c r="E549" s="92"/>
      <c r="F549" s="92"/>
      <c r="G549" s="92"/>
      <c r="H549" s="92"/>
      <c r="AF549" s="105"/>
    </row>
    <row r="550" spans="4:32" ht="15.75">
      <c r="D550" s="92"/>
      <c r="E550" s="92"/>
      <c r="F550" s="92"/>
      <c r="G550" s="92"/>
      <c r="H550" s="92"/>
      <c r="AF550" s="105"/>
    </row>
    <row r="551" spans="4:32" ht="15.75">
      <c r="D551" s="92"/>
      <c r="E551" s="92"/>
      <c r="F551" s="92"/>
      <c r="G551" s="92"/>
      <c r="H551" s="92"/>
      <c r="AF551" s="105"/>
    </row>
    <row r="552" spans="4:32" ht="15.75">
      <c r="D552" s="92"/>
      <c r="E552" s="92"/>
      <c r="F552" s="92"/>
      <c r="G552" s="92"/>
      <c r="H552" s="92"/>
      <c r="AF552" s="105"/>
    </row>
    <row r="553" spans="4:32" ht="15.75">
      <c r="D553" s="92"/>
      <c r="E553" s="92"/>
      <c r="F553" s="92"/>
      <c r="G553" s="92"/>
      <c r="H553" s="92"/>
      <c r="AF553" s="105"/>
    </row>
    <row r="554" spans="4:32" ht="15.75">
      <c r="D554" s="92"/>
      <c r="E554" s="92"/>
      <c r="F554" s="92"/>
      <c r="G554" s="92"/>
      <c r="H554" s="92"/>
      <c r="AF554" s="105"/>
    </row>
    <row r="555" spans="4:32" ht="15.75">
      <c r="D555" s="92"/>
      <c r="E555" s="92"/>
      <c r="F555" s="92"/>
      <c r="G555" s="92"/>
      <c r="H555" s="92"/>
      <c r="AF555" s="105"/>
    </row>
    <row r="556" spans="4:32" ht="15.75">
      <c r="D556" s="92"/>
      <c r="E556" s="92"/>
      <c r="F556" s="92"/>
      <c r="G556" s="92"/>
      <c r="H556" s="92"/>
      <c r="AF556" s="105"/>
    </row>
    <row r="557" spans="4:32" ht="15.75">
      <c r="D557" s="92"/>
      <c r="E557" s="92"/>
      <c r="F557" s="92"/>
      <c r="G557" s="92"/>
      <c r="H557" s="92"/>
      <c r="AF557" s="105"/>
    </row>
    <row r="558" spans="4:32" ht="15.75">
      <c r="D558" s="92"/>
      <c r="E558" s="92"/>
      <c r="F558" s="92"/>
      <c r="G558" s="92"/>
      <c r="H558" s="92"/>
      <c r="AF558" s="105"/>
    </row>
    <row r="559" spans="4:32" ht="15.75">
      <c r="D559" s="92"/>
      <c r="E559" s="92"/>
      <c r="F559" s="92"/>
      <c r="G559" s="92"/>
      <c r="H559" s="92"/>
      <c r="AF559" s="105"/>
    </row>
    <row r="560" spans="4:32" ht="15.75">
      <c r="D560" s="92"/>
      <c r="E560" s="92"/>
      <c r="F560" s="92"/>
      <c r="G560" s="92"/>
      <c r="H560" s="92"/>
      <c r="AF560" s="105"/>
    </row>
    <row r="561" spans="4:32" ht="15.75">
      <c r="D561" s="92"/>
      <c r="E561" s="92"/>
      <c r="F561" s="92"/>
      <c r="G561" s="92"/>
      <c r="H561" s="92"/>
      <c r="AF561" s="105"/>
    </row>
    <row r="562" spans="4:32" ht="15.75">
      <c r="D562" s="92"/>
      <c r="E562" s="92"/>
      <c r="F562" s="92"/>
      <c r="G562" s="92"/>
      <c r="H562" s="92"/>
      <c r="AF562" s="105"/>
    </row>
    <row r="563" spans="4:32" ht="15.75">
      <c r="D563" s="92"/>
      <c r="E563" s="92"/>
      <c r="F563" s="92"/>
      <c r="G563" s="92"/>
      <c r="H563" s="92"/>
      <c r="AF563" s="105"/>
    </row>
    <row r="564" spans="4:32" ht="15.75">
      <c r="D564" s="92"/>
      <c r="E564" s="92"/>
      <c r="F564" s="92"/>
      <c r="G564" s="92"/>
      <c r="H564" s="92"/>
      <c r="AF564" s="105"/>
    </row>
    <row r="565" spans="4:32" ht="15.75">
      <c r="D565" s="92"/>
      <c r="E565" s="92"/>
      <c r="F565" s="92"/>
      <c r="G565" s="92"/>
      <c r="H565" s="92"/>
      <c r="AF565" s="105"/>
    </row>
    <row r="566" spans="4:32" ht="15.75">
      <c r="D566" s="92"/>
      <c r="E566" s="92"/>
      <c r="F566" s="92"/>
      <c r="G566" s="92"/>
      <c r="H566" s="92"/>
      <c r="AF566" s="105"/>
    </row>
    <row r="567" spans="4:32" ht="15.75">
      <c r="D567" s="92"/>
      <c r="E567" s="92"/>
      <c r="F567" s="92"/>
      <c r="G567" s="92"/>
      <c r="H567" s="92"/>
      <c r="AF567" s="105"/>
    </row>
    <row r="568" spans="4:32" ht="15.75">
      <c r="D568" s="92"/>
      <c r="E568" s="92"/>
      <c r="F568" s="92"/>
      <c r="G568" s="92"/>
      <c r="H568" s="92"/>
      <c r="AF568" s="105"/>
    </row>
    <row r="569" spans="4:32" ht="15.75">
      <c r="D569" s="92"/>
      <c r="E569" s="92"/>
      <c r="F569" s="92"/>
      <c r="G569" s="92"/>
      <c r="H569" s="92"/>
      <c r="AF569" s="105"/>
    </row>
    <row r="570" spans="4:32" ht="15.75">
      <c r="D570" s="92"/>
      <c r="E570" s="92"/>
      <c r="F570" s="92"/>
      <c r="G570" s="92"/>
      <c r="H570" s="92"/>
      <c r="AF570" s="105"/>
    </row>
    <row r="571" spans="4:32" ht="15.75">
      <c r="D571" s="92"/>
      <c r="E571" s="92"/>
      <c r="F571" s="92"/>
      <c r="G571" s="92"/>
      <c r="H571" s="92"/>
      <c r="AF571" s="105"/>
    </row>
    <row r="572" spans="4:32" ht="15.75">
      <c r="D572" s="92"/>
      <c r="E572" s="92"/>
      <c r="F572" s="92"/>
      <c r="G572" s="92"/>
      <c r="H572" s="92"/>
      <c r="AF572" s="105"/>
    </row>
    <row r="573" spans="4:32" ht="15.75">
      <c r="D573" s="92"/>
      <c r="E573" s="92"/>
      <c r="F573" s="92"/>
      <c r="G573" s="92"/>
      <c r="H573" s="92"/>
      <c r="AF573" s="105"/>
    </row>
    <row r="574" spans="4:32" ht="15.75">
      <c r="D574" s="92"/>
      <c r="E574" s="92"/>
      <c r="F574" s="92"/>
      <c r="G574" s="92"/>
      <c r="H574" s="92"/>
      <c r="AF574" s="105"/>
    </row>
    <row r="575" spans="4:32" ht="15.75">
      <c r="D575" s="92"/>
      <c r="E575" s="92"/>
      <c r="F575" s="92"/>
      <c r="G575" s="92"/>
      <c r="H575" s="92"/>
      <c r="AF575" s="105"/>
    </row>
    <row r="576" spans="4:32" ht="15.75">
      <c r="D576" s="92"/>
      <c r="E576" s="92"/>
      <c r="F576" s="92"/>
      <c r="G576" s="92"/>
      <c r="H576" s="92"/>
      <c r="AF576" s="105"/>
    </row>
    <row r="577" spans="4:32" ht="15.75">
      <c r="D577" s="92"/>
      <c r="E577" s="92"/>
      <c r="F577" s="92"/>
      <c r="G577" s="92"/>
      <c r="H577" s="92"/>
      <c r="AF577" s="105"/>
    </row>
    <row r="578" spans="4:32" ht="15.75">
      <c r="D578" s="92"/>
      <c r="E578" s="92"/>
      <c r="F578" s="92"/>
      <c r="G578" s="92"/>
      <c r="H578" s="92"/>
      <c r="AF578" s="105"/>
    </row>
    <row r="579" spans="4:32" ht="15.75">
      <c r="D579" s="92"/>
      <c r="E579" s="92"/>
      <c r="F579" s="92"/>
      <c r="G579" s="92"/>
      <c r="H579" s="92"/>
      <c r="AF579" s="105"/>
    </row>
    <row r="580" spans="4:32" ht="15.75">
      <c r="D580" s="92"/>
      <c r="E580" s="92"/>
      <c r="F580" s="92"/>
      <c r="G580" s="92"/>
      <c r="H580" s="92"/>
      <c r="AF580" s="105"/>
    </row>
    <row r="581" spans="4:32" ht="15.75">
      <c r="D581" s="92"/>
      <c r="E581" s="92"/>
      <c r="F581" s="92"/>
      <c r="G581" s="92"/>
      <c r="H581" s="92"/>
      <c r="AF581" s="105"/>
    </row>
    <row r="582" spans="4:32" ht="15.75">
      <c r="D582" s="92"/>
      <c r="E582" s="92"/>
      <c r="F582" s="92"/>
      <c r="G582" s="92"/>
      <c r="H582" s="92"/>
      <c r="AF582" s="105"/>
    </row>
    <row r="583" spans="4:32" ht="15.75">
      <c r="D583" s="92"/>
      <c r="E583" s="92"/>
      <c r="F583" s="92"/>
      <c r="G583" s="92"/>
      <c r="H583" s="92"/>
      <c r="AF583" s="105"/>
    </row>
    <row r="584" spans="4:32" ht="15.75">
      <c r="D584" s="92"/>
      <c r="E584" s="92"/>
      <c r="F584" s="92"/>
      <c r="G584" s="92"/>
      <c r="H584" s="92"/>
      <c r="AF584" s="105"/>
    </row>
    <row r="585" spans="4:32" ht="15.75">
      <c r="D585" s="92"/>
      <c r="E585" s="92"/>
      <c r="F585" s="92"/>
      <c r="G585" s="92"/>
      <c r="H585" s="92"/>
      <c r="AF585" s="105"/>
    </row>
    <row r="586" spans="4:32" ht="15.75">
      <c r="D586" s="92"/>
      <c r="E586" s="92"/>
      <c r="F586" s="92"/>
      <c r="G586" s="92"/>
      <c r="H586" s="92"/>
      <c r="AF586" s="105"/>
    </row>
    <row r="587" spans="4:32" ht="15.75">
      <c r="D587" s="92"/>
      <c r="E587" s="92"/>
      <c r="F587" s="92"/>
      <c r="G587" s="92"/>
      <c r="H587" s="92"/>
      <c r="AF587" s="105"/>
    </row>
    <row r="588" spans="4:32" ht="15.75">
      <c r="D588" s="92"/>
      <c r="E588" s="92"/>
      <c r="F588" s="92"/>
      <c r="G588" s="92"/>
      <c r="H588" s="92"/>
      <c r="AF588" s="105"/>
    </row>
    <row r="589" spans="4:32" ht="15.75">
      <c r="D589" s="92"/>
      <c r="E589" s="92"/>
      <c r="F589" s="92"/>
      <c r="G589" s="92"/>
      <c r="H589" s="92"/>
      <c r="AF589" s="105"/>
    </row>
    <row r="590" spans="4:32" ht="15.75">
      <c r="D590" s="92"/>
      <c r="E590" s="92"/>
      <c r="F590" s="92"/>
      <c r="G590" s="92"/>
      <c r="H590" s="92"/>
      <c r="AF590" s="105"/>
    </row>
    <row r="591" spans="4:32" ht="15.75">
      <c r="D591" s="92"/>
      <c r="E591" s="92"/>
      <c r="F591" s="92"/>
      <c r="G591" s="92"/>
      <c r="H591" s="92"/>
      <c r="AF591" s="105"/>
    </row>
    <row r="592" spans="4:32" ht="15.75">
      <c r="D592" s="92"/>
      <c r="E592" s="92"/>
      <c r="F592" s="92"/>
      <c r="G592" s="92"/>
      <c r="H592" s="92"/>
      <c r="AF592" s="105"/>
    </row>
    <row r="593" spans="4:32" ht="15.75">
      <c r="D593" s="92"/>
      <c r="E593" s="92"/>
      <c r="F593" s="92"/>
      <c r="G593" s="92"/>
      <c r="H593" s="92"/>
      <c r="AF593" s="105"/>
    </row>
    <row r="594" spans="4:32" ht="15.75">
      <c r="D594" s="92"/>
      <c r="E594" s="92"/>
      <c r="F594" s="92"/>
      <c r="G594" s="92"/>
      <c r="H594" s="92"/>
      <c r="AF594" s="105"/>
    </row>
    <row r="595" spans="4:32" ht="15.75">
      <c r="D595" s="92"/>
      <c r="E595" s="92"/>
      <c r="F595" s="92"/>
      <c r="G595" s="92"/>
      <c r="H595" s="92"/>
      <c r="AF595" s="105"/>
    </row>
    <row r="596" spans="4:32" ht="15.75">
      <c r="D596" s="92"/>
      <c r="E596" s="92"/>
      <c r="F596" s="92"/>
      <c r="G596" s="92"/>
      <c r="H596" s="92"/>
      <c r="AF596" s="105"/>
    </row>
    <row r="597" spans="4:32" ht="15.75">
      <c r="D597" s="92"/>
      <c r="E597" s="92"/>
      <c r="F597" s="92"/>
      <c r="G597" s="92"/>
      <c r="H597" s="92"/>
      <c r="AF597" s="105"/>
    </row>
    <row r="598" spans="4:32" ht="15.75">
      <c r="D598" s="92"/>
      <c r="E598" s="92"/>
      <c r="F598" s="92"/>
      <c r="G598" s="92"/>
      <c r="H598" s="92"/>
      <c r="AF598" s="105"/>
    </row>
    <row r="599" spans="4:32" ht="15.75">
      <c r="D599" s="92"/>
      <c r="E599" s="92"/>
      <c r="F599" s="92"/>
      <c r="G599" s="92"/>
      <c r="H599" s="92"/>
      <c r="AF599" s="105"/>
    </row>
    <row r="600" spans="4:32" ht="15.75">
      <c r="D600" s="92"/>
      <c r="E600" s="92"/>
      <c r="F600" s="92"/>
      <c r="G600" s="92"/>
      <c r="H600" s="92"/>
      <c r="AF600" s="105"/>
    </row>
    <row r="601" spans="4:32" ht="15.75">
      <c r="D601" s="92"/>
      <c r="E601" s="92"/>
      <c r="F601" s="92"/>
      <c r="G601" s="92"/>
      <c r="H601" s="92"/>
      <c r="AF601" s="105"/>
    </row>
    <row r="602" spans="4:32" ht="15.75">
      <c r="D602" s="92"/>
      <c r="E602" s="92"/>
      <c r="F602" s="92"/>
      <c r="G602" s="92"/>
      <c r="H602" s="92"/>
      <c r="AF602" s="105"/>
    </row>
    <row r="603" spans="4:32" ht="15.75">
      <c r="D603" s="92"/>
      <c r="E603" s="92"/>
      <c r="F603" s="92"/>
      <c r="G603" s="92"/>
      <c r="H603" s="92"/>
      <c r="AF603" s="105"/>
    </row>
    <row r="604" spans="4:32" ht="15.75">
      <c r="D604" s="92"/>
      <c r="E604" s="92"/>
      <c r="F604" s="92"/>
      <c r="G604" s="92"/>
      <c r="H604" s="92"/>
      <c r="AF604" s="105"/>
    </row>
    <row r="605" spans="4:32" ht="15.75">
      <c r="D605" s="92"/>
      <c r="E605" s="92"/>
      <c r="F605" s="92"/>
      <c r="G605" s="92"/>
      <c r="H605" s="92"/>
      <c r="AF605" s="105"/>
    </row>
    <row r="606" spans="4:32" ht="15.75">
      <c r="D606" s="92"/>
      <c r="E606" s="92"/>
      <c r="F606" s="92"/>
      <c r="G606" s="92"/>
      <c r="H606" s="92"/>
      <c r="AF606" s="105"/>
    </row>
    <row r="607" spans="4:32" ht="15.75">
      <c r="D607" s="92"/>
      <c r="E607" s="92"/>
      <c r="F607" s="92"/>
      <c r="G607" s="92"/>
      <c r="H607" s="92"/>
      <c r="AF607" s="105"/>
    </row>
    <row r="608" spans="4:32" ht="15.75">
      <c r="D608" s="92"/>
      <c r="E608" s="92"/>
      <c r="F608" s="92"/>
      <c r="G608" s="92"/>
      <c r="H608" s="92"/>
      <c r="AF608" s="105"/>
    </row>
    <row r="609" spans="4:32" ht="15.75">
      <c r="D609" s="92"/>
      <c r="E609" s="92"/>
      <c r="F609" s="92"/>
      <c r="G609" s="92"/>
      <c r="H609" s="92"/>
      <c r="AF609" s="105"/>
    </row>
    <row r="610" spans="4:32" ht="15.75">
      <c r="D610" s="92"/>
      <c r="E610" s="92"/>
      <c r="F610" s="92"/>
      <c r="G610" s="92"/>
      <c r="H610" s="92"/>
      <c r="AF610" s="105"/>
    </row>
    <row r="611" spans="4:32" ht="15.75">
      <c r="D611" s="92"/>
      <c r="E611" s="92"/>
      <c r="F611" s="92"/>
      <c r="G611" s="92"/>
      <c r="H611" s="92"/>
      <c r="AF611" s="105"/>
    </row>
    <row r="612" spans="4:32" ht="15.75">
      <c r="D612" s="92"/>
      <c r="E612" s="92"/>
      <c r="F612" s="92"/>
      <c r="G612" s="92"/>
      <c r="H612" s="92"/>
      <c r="AF612" s="105"/>
    </row>
    <row r="613" spans="4:32" ht="15.75">
      <c r="D613" s="92"/>
      <c r="E613" s="92"/>
      <c r="F613" s="92"/>
      <c r="G613" s="92"/>
      <c r="H613" s="92"/>
      <c r="AF613" s="105"/>
    </row>
    <row r="614" spans="4:32" ht="15.75">
      <c r="D614" s="92"/>
      <c r="E614" s="92"/>
      <c r="F614" s="92"/>
      <c r="G614" s="92"/>
      <c r="H614" s="92"/>
      <c r="AF614" s="105"/>
    </row>
    <row r="615" spans="4:32" ht="15.75">
      <c r="D615" s="92"/>
      <c r="E615" s="92"/>
      <c r="F615" s="92"/>
      <c r="G615" s="92"/>
      <c r="H615" s="92"/>
      <c r="AF615" s="105"/>
    </row>
    <row r="616" spans="4:32" ht="15.75">
      <c r="D616" s="92"/>
      <c r="E616" s="92"/>
      <c r="F616" s="92"/>
      <c r="G616" s="92"/>
      <c r="H616" s="92"/>
      <c r="AF616" s="105"/>
    </row>
    <row r="617" spans="4:32" ht="15.75">
      <c r="D617" s="92"/>
      <c r="E617" s="92"/>
      <c r="F617" s="92"/>
      <c r="G617" s="92"/>
      <c r="H617" s="92"/>
      <c r="AF617" s="105"/>
    </row>
    <row r="618" spans="4:32" ht="15.75">
      <c r="D618" s="92"/>
      <c r="E618" s="92"/>
      <c r="F618" s="92"/>
      <c r="G618" s="92"/>
      <c r="H618" s="92"/>
      <c r="AF618" s="105"/>
    </row>
    <row r="619" spans="4:32" ht="15.75">
      <c r="D619" s="92"/>
      <c r="E619" s="92"/>
      <c r="F619" s="92"/>
      <c r="G619" s="92"/>
      <c r="H619" s="92"/>
      <c r="AF619" s="105"/>
    </row>
    <row r="620" spans="4:32" ht="15.75">
      <c r="D620" s="92"/>
      <c r="E620" s="92"/>
      <c r="F620" s="92"/>
      <c r="G620" s="92"/>
      <c r="H620" s="92"/>
      <c r="AF620" s="105"/>
    </row>
    <row r="621" spans="4:32" ht="15.75">
      <c r="D621" s="92"/>
      <c r="E621" s="92"/>
      <c r="F621" s="92"/>
      <c r="G621" s="92"/>
      <c r="H621" s="92"/>
      <c r="AF621" s="105"/>
    </row>
    <row r="622" spans="4:32" ht="15.75">
      <c r="D622" s="92"/>
      <c r="E622" s="92"/>
      <c r="F622" s="92"/>
      <c r="G622" s="92"/>
      <c r="H622" s="92"/>
      <c r="AF622" s="105"/>
    </row>
    <row r="623" spans="4:32" ht="15.75">
      <c r="D623" s="92"/>
      <c r="E623" s="92"/>
      <c r="F623" s="92"/>
      <c r="G623" s="92"/>
      <c r="H623" s="92"/>
      <c r="AF623" s="105"/>
    </row>
    <row r="624" spans="4:32" ht="15.75">
      <c r="D624" s="92"/>
      <c r="E624" s="92"/>
      <c r="F624" s="92"/>
      <c r="G624" s="92"/>
      <c r="H624" s="92"/>
      <c r="AF624" s="105"/>
    </row>
    <row r="625" spans="4:32" ht="15.75">
      <c r="D625" s="92"/>
      <c r="E625" s="92"/>
      <c r="F625" s="92"/>
      <c r="G625" s="92"/>
      <c r="H625" s="92"/>
      <c r="AF625" s="105"/>
    </row>
    <row r="626" spans="4:32" ht="15.75">
      <c r="D626" s="92"/>
      <c r="E626" s="92"/>
      <c r="F626" s="92"/>
      <c r="G626" s="92"/>
      <c r="H626" s="92"/>
      <c r="AF626" s="105"/>
    </row>
    <row r="627" spans="4:32" ht="15.75">
      <c r="D627" s="92"/>
      <c r="E627" s="92"/>
      <c r="F627" s="92"/>
      <c r="G627" s="92"/>
      <c r="H627" s="92"/>
      <c r="AF627" s="105"/>
    </row>
    <row r="628" spans="4:32" ht="15.75">
      <c r="D628" s="92"/>
      <c r="E628" s="92"/>
      <c r="F628" s="92"/>
      <c r="G628" s="92"/>
      <c r="H628" s="92"/>
      <c r="AF628" s="105"/>
    </row>
    <row r="629" spans="4:32" ht="15.75">
      <c r="D629" s="92"/>
      <c r="E629" s="92"/>
      <c r="F629" s="92"/>
      <c r="G629" s="92"/>
      <c r="H629" s="92"/>
      <c r="AF629" s="105"/>
    </row>
    <row r="630" spans="4:32" ht="15.75">
      <c r="D630" s="92"/>
      <c r="E630" s="92"/>
      <c r="F630" s="92"/>
      <c r="G630" s="92"/>
      <c r="H630" s="92"/>
      <c r="AF630" s="105"/>
    </row>
    <row r="631" spans="4:32" ht="15.75">
      <c r="D631" s="92"/>
      <c r="E631" s="92"/>
      <c r="F631" s="92"/>
      <c r="G631" s="92"/>
      <c r="H631" s="92"/>
      <c r="AF631" s="105"/>
    </row>
    <row r="632" spans="4:32" ht="15.75">
      <c r="D632" s="92"/>
      <c r="E632" s="92"/>
      <c r="F632" s="92"/>
      <c r="G632" s="92"/>
      <c r="H632" s="92"/>
      <c r="AF632" s="105"/>
    </row>
    <row r="633" spans="4:32" ht="15.75">
      <c r="D633" s="92"/>
      <c r="E633" s="92"/>
      <c r="F633" s="92"/>
      <c r="G633" s="92"/>
      <c r="H633" s="92"/>
      <c r="AF633" s="105"/>
    </row>
    <row r="634" spans="4:32" ht="15.75">
      <c r="D634" s="92"/>
      <c r="E634" s="92"/>
      <c r="F634" s="92"/>
      <c r="G634" s="92"/>
      <c r="H634" s="92"/>
      <c r="AF634" s="105"/>
    </row>
    <row r="635" spans="4:32" ht="15.75">
      <c r="D635" s="92"/>
      <c r="E635" s="92"/>
      <c r="F635" s="92"/>
      <c r="G635" s="92"/>
      <c r="H635" s="92"/>
      <c r="AF635" s="105"/>
    </row>
    <row r="636" spans="4:32" ht="15.75">
      <c r="D636" s="92"/>
      <c r="E636" s="92"/>
      <c r="F636" s="92"/>
      <c r="G636" s="92"/>
      <c r="H636" s="92"/>
      <c r="AF636" s="105"/>
    </row>
    <row r="637" spans="4:32" ht="15.75">
      <c r="D637" s="92"/>
      <c r="E637" s="92"/>
      <c r="F637" s="92"/>
      <c r="G637" s="92"/>
      <c r="H637" s="92"/>
      <c r="AF637" s="105"/>
    </row>
    <row r="638" spans="4:32" ht="15.75">
      <c r="D638" s="92"/>
      <c r="E638" s="92"/>
      <c r="F638" s="92"/>
      <c r="G638" s="92"/>
      <c r="H638" s="92"/>
      <c r="AF638" s="105"/>
    </row>
    <row r="639" spans="4:32" ht="15.75">
      <c r="D639" s="92"/>
      <c r="E639" s="92"/>
      <c r="F639" s="92"/>
      <c r="G639" s="92"/>
      <c r="H639" s="92"/>
      <c r="AF639" s="105"/>
    </row>
    <row r="640" spans="4:32" ht="15.75">
      <c r="D640" s="92"/>
      <c r="E640" s="92"/>
      <c r="F640" s="92"/>
      <c r="G640" s="92"/>
      <c r="H640" s="92"/>
      <c r="AF640" s="105"/>
    </row>
    <row r="641" spans="4:32" ht="15.75">
      <c r="D641" s="92"/>
      <c r="E641" s="92"/>
      <c r="F641" s="92"/>
      <c r="G641" s="92"/>
      <c r="H641" s="92"/>
      <c r="AF641" s="105"/>
    </row>
    <row r="642" spans="4:32" ht="15.75">
      <c r="D642" s="92"/>
      <c r="E642" s="92"/>
      <c r="F642" s="92"/>
      <c r="G642" s="92"/>
      <c r="H642" s="92"/>
      <c r="AF642" s="105"/>
    </row>
    <row r="643" spans="4:32" ht="15.75">
      <c r="D643" s="92"/>
      <c r="E643" s="92"/>
      <c r="F643" s="92"/>
      <c r="G643" s="92"/>
      <c r="H643" s="92"/>
      <c r="AF643" s="105"/>
    </row>
    <row r="644" spans="4:32" ht="15.75">
      <c r="D644" s="92"/>
      <c r="E644" s="92"/>
      <c r="F644" s="92"/>
      <c r="G644" s="92"/>
      <c r="H644" s="92"/>
      <c r="AF644" s="105"/>
    </row>
    <row r="645" spans="4:32" ht="15.75">
      <c r="D645" s="92"/>
      <c r="E645" s="92"/>
      <c r="F645" s="92"/>
      <c r="G645" s="92"/>
      <c r="H645" s="92"/>
      <c r="AF645" s="105"/>
    </row>
    <row r="646" spans="4:32" ht="15.75">
      <c r="D646" s="92"/>
      <c r="E646" s="92"/>
      <c r="F646" s="92"/>
      <c r="G646" s="92"/>
      <c r="H646" s="92"/>
      <c r="AF646" s="105"/>
    </row>
    <row r="647" spans="4:32" ht="15.75">
      <c r="D647" s="92"/>
      <c r="E647" s="92"/>
      <c r="F647" s="92"/>
      <c r="G647" s="92"/>
      <c r="H647" s="92"/>
      <c r="AF647" s="105"/>
    </row>
    <row r="648" spans="4:32" ht="15.75">
      <c r="D648" s="92"/>
      <c r="E648" s="92"/>
      <c r="F648" s="92"/>
      <c r="G648" s="92"/>
      <c r="H648" s="92"/>
      <c r="AF648" s="105"/>
    </row>
    <row r="649" spans="4:32" ht="15.75">
      <c r="D649" s="92"/>
      <c r="E649" s="92"/>
      <c r="F649" s="92"/>
      <c r="G649" s="92"/>
      <c r="H649" s="92"/>
      <c r="AF649" s="105"/>
    </row>
    <row r="650" spans="4:32" ht="15.75">
      <c r="D650" s="92"/>
      <c r="E650" s="92"/>
      <c r="F650" s="92"/>
      <c r="G650" s="92"/>
      <c r="H650" s="92"/>
      <c r="AF650" s="105"/>
    </row>
    <row r="651" spans="4:32" ht="15.75">
      <c r="D651" s="92"/>
      <c r="E651" s="92"/>
      <c r="F651" s="92"/>
      <c r="G651" s="92"/>
      <c r="H651" s="92"/>
      <c r="AF651" s="105"/>
    </row>
    <row r="652" spans="4:32" ht="15.75">
      <c r="D652" s="92"/>
      <c r="E652" s="92"/>
      <c r="F652" s="92"/>
      <c r="G652" s="92"/>
      <c r="H652" s="92"/>
      <c r="AF652" s="105"/>
    </row>
    <row r="653" spans="4:32" ht="15.75">
      <c r="D653" s="92"/>
      <c r="E653" s="92"/>
      <c r="F653" s="92"/>
      <c r="G653" s="92"/>
      <c r="H653" s="92"/>
      <c r="AF653" s="105"/>
    </row>
    <row r="654" spans="4:32" ht="15.75">
      <c r="D654" s="92"/>
      <c r="E654" s="92"/>
      <c r="F654" s="92"/>
      <c r="G654" s="92"/>
      <c r="H654" s="92"/>
      <c r="AF654" s="105"/>
    </row>
    <row r="655" spans="4:32" ht="15.75">
      <c r="D655" s="92"/>
      <c r="E655" s="92"/>
      <c r="F655" s="92"/>
      <c r="G655" s="92"/>
      <c r="H655" s="92"/>
      <c r="AF655" s="105"/>
    </row>
    <row r="656" spans="4:32" ht="15.75">
      <c r="D656" s="92"/>
      <c r="E656" s="92"/>
      <c r="F656" s="92"/>
      <c r="G656" s="92"/>
      <c r="H656" s="92"/>
      <c r="AF656" s="105"/>
    </row>
    <row r="657" spans="4:32" ht="15.75">
      <c r="D657" s="92"/>
      <c r="E657" s="92"/>
      <c r="F657" s="92"/>
      <c r="G657" s="92"/>
      <c r="H657" s="92"/>
      <c r="AF657" s="105"/>
    </row>
    <row r="658" spans="4:32" ht="15.75">
      <c r="D658" s="92"/>
      <c r="E658" s="92"/>
      <c r="F658" s="92"/>
      <c r="G658" s="92"/>
      <c r="H658" s="92"/>
      <c r="AF658" s="105"/>
    </row>
    <row r="659" spans="4:32" ht="15.75">
      <c r="D659" s="92"/>
      <c r="E659" s="92"/>
      <c r="F659" s="92"/>
      <c r="G659" s="92"/>
      <c r="H659" s="92"/>
      <c r="AF659" s="105"/>
    </row>
    <row r="660" spans="4:32" ht="15.75">
      <c r="D660" s="92"/>
      <c r="E660" s="92"/>
      <c r="F660" s="92"/>
      <c r="G660" s="92"/>
      <c r="H660" s="92"/>
      <c r="AF660" s="105"/>
    </row>
    <row r="661" spans="4:32" ht="15.75">
      <c r="D661" s="92"/>
      <c r="E661" s="92"/>
      <c r="F661" s="92"/>
      <c r="G661" s="92"/>
      <c r="H661" s="92"/>
      <c r="AF661" s="105"/>
    </row>
    <row r="662" spans="4:32" ht="15.75">
      <c r="D662" s="92"/>
      <c r="E662" s="92"/>
      <c r="F662" s="92"/>
      <c r="G662" s="92"/>
      <c r="H662" s="92"/>
      <c r="AF662" s="105"/>
    </row>
    <row r="663" spans="4:32" ht="15.75">
      <c r="D663" s="92"/>
      <c r="E663" s="92"/>
      <c r="F663" s="92"/>
      <c r="G663" s="92"/>
      <c r="H663" s="92"/>
      <c r="AF663" s="105"/>
    </row>
    <row r="664" spans="4:32" ht="15.75">
      <c r="D664" s="92"/>
      <c r="E664" s="92"/>
      <c r="F664" s="92"/>
      <c r="G664" s="92"/>
      <c r="H664" s="92"/>
      <c r="AF664" s="105"/>
    </row>
    <row r="665" spans="4:32" ht="15.75">
      <c r="D665" s="92"/>
      <c r="E665" s="92"/>
      <c r="F665" s="92"/>
      <c r="G665" s="92"/>
      <c r="H665" s="92"/>
      <c r="AF665" s="105"/>
    </row>
    <row r="666" spans="4:32" ht="15.75">
      <c r="D666" s="92"/>
      <c r="E666" s="92"/>
      <c r="F666" s="92"/>
      <c r="G666" s="92"/>
      <c r="H666" s="92"/>
      <c r="AF666" s="105"/>
    </row>
    <row r="667" spans="4:32" ht="15.75">
      <c r="D667" s="92"/>
      <c r="E667" s="92"/>
      <c r="F667" s="92"/>
      <c r="G667" s="92"/>
      <c r="H667" s="92"/>
      <c r="AF667" s="105"/>
    </row>
    <row r="668" spans="4:32" ht="15.75">
      <c r="D668" s="92"/>
      <c r="E668" s="92"/>
      <c r="F668" s="92"/>
      <c r="G668" s="92"/>
      <c r="H668" s="92"/>
      <c r="AF668" s="105"/>
    </row>
    <row r="669" spans="4:32" ht="15.75">
      <c r="D669" s="92"/>
      <c r="E669" s="92"/>
      <c r="F669" s="92"/>
      <c r="G669" s="92"/>
      <c r="H669" s="92"/>
      <c r="AF669" s="105"/>
    </row>
    <row r="670" spans="4:32" ht="15.75">
      <c r="D670" s="92"/>
      <c r="E670" s="92"/>
      <c r="F670" s="92"/>
      <c r="G670" s="92"/>
      <c r="H670" s="92"/>
      <c r="AF670" s="105"/>
    </row>
    <row r="671" spans="4:32" ht="15.75">
      <c r="D671" s="92"/>
      <c r="E671" s="92"/>
      <c r="F671" s="92"/>
      <c r="G671" s="92"/>
      <c r="H671" s="92"/>
      <c r="AF671" s="105"/>
    </row>
    <row r="672" spans="4:32" ht="15.75">
      <c r="D672" s="92"/>
      <c r="E672" s="92"/>
      <c r="F672" s="92"/>
      <c r="G672" s="92"/>
      <c r="H672" s="92"/>
      <c r="AF672" s="105"/>
    </row>
    <row r="673" spans="4:32" ht="15.75">
      <c r="D673" s="92"/>
      <c r="E673" s="92"/>
      <c r="F673" s="92"/>
      <c r="G673" s="92"/>
      <c r="H673" s="92"/>
      <c r="AF673" s="105"/>
    </row>
    <row r="674" spans="4:32" ht="15.75">
      <c r="D674" s="92"/>
      <c r="E674" s="92"/>
      <c r="F674" s="92"/>
      <c r="G674" s="92"/>
      <c r="H674" s="92"/>
      <c r="AF674" s="105"/>
    </row>
    <row r="675" spans="4:32" ht="15.75">
      <c r="D675" s="92"/>
      <c r="E675" s="92"/>
      <c r="F675" s="92"/>
      <c r="G675" s="92"/>
      <c r="H675" s="92"/>
      <c r="AF675" s="105"/>
    </row>
    <row r="676" spans="4:32" ht="15.75">
      <c r="D676" s="92"/>
      <c r="E676" s="92"/>
      <c r="F676" s="92"/>
      <c r="G676" s="92"/>
      <c r="H676" s="92"/>
      <c r="AF676" s="105"/>
    </row>
    <row r="677" spans="4:32" ht="15.75">
      <c r="D677" s="92"/>
      <c r="E677" s="92"/>
      <c r="F677" s="92"/>
      <c r="G677" s="92"/>
      <c r="H677" s="92"/>
      <c r="AF677" s="105"/>
    </row>
    <row r="678" spans="4:32" ht="15.75">
      <c r="D678" s="92"/>
      <c r="E678" s="92"/>
      <c r="F678" s="92"/>
      <c r="G678" s="92"/>
      <c r="H678" s="92"/>
      <c r="AF678" s="105"/>
    </row>
    <row r="679" spans="4:32" ht="15.75">
      <c r="D679" s="92"/>
      <c r="E679" s="92"/>
      <c r="F679" s="92"/>
      <c r="G679" s="92"/>
      <c r="H679" s="92"/>
      <c r="AF679" s="105"/>
    </row>
    <row r="680" spans="4:32" ht="15.75">
      <c r="D680" s="92"/>
      <c r="E680" s="92"/>
      <c r="F680" s="92"/>
      <c r="G680" s="92"/>
      <c r="H680" s="92"/>
      <c r="AF680" s="105"/>
    </row>
    <row r="681" spans="4:32" ht="15.75">
      <c r="D681" s="92"/>
      <c r="E681" s="92"/>
      <c r="F681" s="92"/>
      <c r="G681" s="92"/>
      <c r="H681" s="92"/>
      <c r="AF681" s="105"/>
    </row>
    <row r="682" spans="4:32" ht="15.75">
      <c r="D682" s="92"/>
      <c r="E682" s="92"/>
      <c r="F682" s="92"/>
      <c r="G682" s="92"/>
      <c r="H682" s="92"/>
      <c r="AF682" s="105"/>
    </row>
    <row r="683" spans="4:32" ht="15.75">
      <c r="D683" s="92"/>
      <c r="E683" s="92"/>
      <c r="F683" s="92"/>
      <c r="G683" s="92"/>
      <c r="H683" s="92"/>
      <c r="AF683" s="105"/>
    </row>
    <row r="684" spans="4:32" ht="15.75">
      <c r="D684" s="92"/>
      <c r="E684" s="92"/>
      <c r="F684" s="92"/>
      <c r="G684" s="92"/>
      <c r="H684" s="92"/>
      <c r="AF684" s="105"/>
    </row>
    <row r="685" spans="4:32" ht="15.75">
      <c r="D685" s="92"/>
      <c r="E685" s="92"/>
      <c r="F685" s="92"/>
      <c r="G685" s="92"/>
      <c r="H685" s="92"/>
      <c r="AF685" s="105"/>
    </row>
    <row r="686" spans="4:32" ht="15.75">
      <c r="D686" s="92"/>
      <c r="E686" s="92"/>
      <c r="F686" s="92"/>
      <c r="G686" s="92"/>
      <c r="H686" s="92"/>
      <c r="AF686" s="105"/>
    </row>
    <row r="687" spans="4:32" ht="15.75">
      <c r="D687" s="92"/>
      <c r="E687" s="92"/>
      <c r="F687" s="92"/>
      <c r="G687" s="92"/>
      <c r="H687" s="92"/>
      <c r="AF687" s="105"/>
    </row>
    <row r="688" spans="4:32" ht="15.75">
      <c r="D688" s="92"/>
      <c r="E688" s="92"/>
      <c r="F688" s="92"/>
      <c r="G688" s="92"/>
      <c r="H688" s="92"/>
      <c r="AF688" s="105"/>
    </row>
    <row r="689" spans="4:32" ht="15.75">
      <c r="D689" s="92"/>
      <c r="E689" s="92"/>
      <c r="F689" s="92"/>
      <c r="G689" s="92"/>
      <c r="H689" s="92"/>
      <c r="AF689" s="105"/>
    </row>
    <row r="690" spans="4:32" ht="15.75">
      <c r="D690" s="92"/>
      <c r="E690" s="92"/>
      <c r="F690" s="92"/>
      <c r="G690" s="92"/>
      <c r="H690" s="92"/>
      <c r="AF690" s="105"/>
    </row>
    <row r="691" spans="4:32" ht="15.75">
      <c r="D691" s="92"/>
      <c r="E691" s="92"/>
      <c r="F691" s="92"/>
      <c r="G691" s="92"/>
      <c r="H691" s="92"/>
      <c r="AF691" s="105"/>
    </row>
    <row r="692" spans="4:32" ht="15.75">
      <c r="D692" s="92"/>
      <c r="E692" s="92"/>
      <c r="F692" s="92"/>
      <c r="G692" s="92"/>
      <c r="H692" s="92"/>
      <c r="AF692" s="105"/>
    </row>
    <row r="693" spans="4:32" ht="15.75">
      <c r="D693" s="92"/>
      <c r="E693" s="92"/>
      <c r="F693" s="92"/>
      <c r="G693" s="92"/>
      <c r="H693" s="92"/>
      <c r="AF693" s="105"/>
    </row>
    <row r="694" spans="4:32" ht="15.75">
      <c r="D694" s="92"/>
      <c r="E694" s="92"/>
      <c r="F694" s="92"/>
      <c r="G694" s="92"/>
      <c r="H694" s="92"/>
      <c r="AF694" s="105"/>
    </row>
    <row r="695" spans="4:32" ht="15.75">
      <c r="D695" s="92"/>
      <c r="E695" s="92"/>
      <c r="F695" s="92"/>
      <c r="G695" s="92"/>
      <c r="H695" s="92"/>
      <c r="AF695" s="105"/>
    </row>
    <row r="696" spans="4:32" ht="15.75">
      <c r="D696" s="92"/>
      <c r="E696" s="92"/>
      <c r="F696" s="92"/>
      <c r="G696" s="92"/>
      <c r="H696" s="92"/>
      <c r="AF696" s="105"/>
    </row>
    <row r="697" spans="4:32" ht="15.75">
      <c r="D697" s="92"/>
      <c r="E697" s="92"/>
      <c r="F697" s="92"/>
      <c r="G697" s="92"/>
      <c r="H697" s="92"/>
      <c r="AF697" s="105"/>
    </row>
    <row r="698" spans="4:32" ht="15.75">
      <c r="D698" s="92"/>
      <c r="E698" s="92"/>
      <c r="F698" s="92"/>
      <c r="G698" s="92"/>
      <c r="H698" s="92"/>
      <c r="AF698" s="105"/>
    </row>
    <row r="699" spans="4:32" ht="15.75">
      <c r="D699" s="92"/>
      <c r="E699" s="92"/>
      <c r="F699" s="92"/>
      <c r="G699" s="92"/>
      <c r="H699" s="92"/>
      <c r="AF699" s="105"/>
    </row>
    <row r="700" spans="4:32" ht="15.75">
      <c r="D700" s="92"/>
      <c r="E700" s="92"/>
      <c r="F700" s="92"/>
      <c r="G700" s="92"/>
      <c r="H700" s="92"/>
      <c r="AF700" s="105"/>
    </row>
    <row r="701" spans="4:32" ht="15.75">
      <c r="D701" s="92"/>
      <c r="E701" s="92"/>
      <c r="F701" s="92"/>
      <c r="G701" s="92"/>
      <c r="H701" s="92"/>
      <c r="AF701" s="105"/>
    </row>
    <row r="702" spans="4:32" ht="15.75">
      <c r="D702" s="92"/>
      <c r="E702" s="92"/>
      <c r="F702" s="92"/>
      <c r="G702" s="92"/>
      <c r="H702" s="92"/>
      <c r="AF702" s="105"/>
    </row>
    <row r="703" spans="4:32" ht="15.75">
      <c r="D703" s="92"/>
      <c r="E703" s="92"/>
      <c r="F703" s="92"/>
      <c r="G703" s="92"/>
      <c r="H703" s="92"/>
      <c r="AF703" s="105"/>
    </row>
    <row r="704" spans="4:32" ht="15.75">
      <c r="D704" s="92"/>
      <c r="E704" s="92"/>
      <c r="F704" s="92"/>
      <c r="G704" s="92"/>
      <c r="H704" s="92"/>
      <c r="AF704" s="105"/>
    </row>
    <row r="705" spans="4:32" ht="15.75">
      <c r="D705" s="92"/>
      <c r="E705" s="92"/>
      <c r="F705" s="92"/>
      <c r="G705" s="92"/>
      <c r="H705" s="92"/>
      <c r="AF705" s="105"/>
    </row>
    <row r="706" spans="4:32" ht="15.75">
      <c r="D706" s="92"/>
      <c r="E706" s="92"/>
      <c r="F706" s="92"/>
      <c r="G706" s="92"/>
      <c r="H706" s="92"/>
      <c r="AF706" s="105"/>
    </row>
    <row r="707" spans="4:32" ht="15.75">
      <c r="D707" s="92"/>
      <c r="E707" s="92"/>
      <c r="F707" s="92"/>
      <c r="G707" s="92"/>
      <c r="H707" s="92"/>
      <c r="AF707" s="105"/>
    </row>
    <row r="708" spans="4:32" ht="15.75">
      <c r="D708" s="92"/>
      <c r="E708" s="92"/>
      <c r="F708" s="92"/>
      <c r="G708" s="92"/>
      <c r="H708" s="92"/>
      <c r="AF708" s="105"/>
    </row>
    <row r="709" spans="4:32" ht="15.75">
      <c r="D709" s="92"/>
      <c r="E709" s="92"/>
      <c r="F709" s="92"/>
      <c r="G709" s="92"/>
      <c r="H709" s="92"/>
      <c r="AF709" s="105"/>
    </row>
    <row r="710" spans="4:32" ht="15.75">
      <c r="D710" s="92"/>
      <c r="E710" s="92"/>
      <c r="F710" s="92"/>
      <c r="G710" s="92"/>
      <c r="H710" s="92"/>
      <c r="AF710" s="105"/>
    </row>
    <row r="711" spans="4:32" ht="15.75">
      <c r="D711" s="92"/>
      <c r="E711" s="92"/>
      <c r="F711" s="92"/>
      <c r="G711" s="92"/>
      <c r="H711" s="92"/>
      <c r="AF711" s="105"/>
    </row>
    <row r="712" spans="4:32" ht="15.75">
      <c r="D712" s="92"/>
      <c r="E712" s="92"/>
      <c r="F712" s="92"/>
      <c r="G712" s="92"/>
      <c r="H712" s="92"/>
      <c r="AF712" s="105"/>
    </row>
    <row r="713" spans="4:32" ht="15.75">
      <c r="D713" s="92"/>
      <c r="E713" s="92"/>
      <c r="F713" s="92"/>
      <c r="G713" s="92"/>
      <c r="H713" s="92"/>
      <c r="AF713" s="105"/>
    </row>
    <row r="714" spans="4:32" ht="15.75">
      <c r="D714" s="92"/>
      <c r="E714" s="92"/>
      <c r="F714" s="92"/>
      <c r="G714" s="92"/>
      <c r="H714" s="92"/>
      <c r="AF714" s="105"/>
    </row>
    <row r="715" spans="4:32" ht="15.75">
      <c r="D715" s="92"/>
      <c r="E715" s="92"/>
      <c r="F715" s="92"/>
      <c r="G715" s="92"/>
      <c r="H715" s="92"/>
      <c r="AF715" s="105"/>
    </row>
    <row r="716" spans="4:32" ht="15.75">
      <c r="D716" s="92"/>
      <c r="E716" s="92"/>
      <c r="F716" s="92"/>
      <c r="G716" s="92"/>
      <c r="H716" s="92"/>
      <c r="AF716" s="105"/>
    </row>
    <row r="717" spans="4:32" ht="15.75">
      <c r="D717" s="92"/>
      <c r="E717" s="92"/>
      <c r="F717" s="92"/>
      <c r="G717" s="92"/>
      <c r="H717" s="92"/>
      <c r="AF717" s="105"/>
    </row>
    <row r="718" spans="4:32" ht="15.75">
      <c r="D718" s="92"/>
      <c r="E718" s="92"/>
      <c r="F718" s="92"/>
      <c r="G718" s="92"/>
      <c r="H718" s="92"/>
      <c r="AF718" s="105"/>
    </row>
    <row r="719" spans="4:32" ht="15.75">
      <c r="D719" s="92"/>
      <c r="E719" s="92"/>
      <c r="F719" s="92"/>
      <c r="G719" s="92"/>
      <c r="H719" s="92"/>
      <c r="AF719" s="105"/>
    </row>
    <row r="720" spans="4:32" ht="15.75">
      <c r="D720" s="92"/>
      <c r="E720" s="92"/>
      <c r="F720" s="92"/>
      <c r="G720" s="92"/>
      <c r="H720" s="92"/>
      <c r="AF720" s="105"/>
    </row>
    <row r="721" spans="4:32" ht="15.75">
      <c r="D721" s="92"/>
      <c r="E721" s="92"/>
      <c r="F721" s="92"/>
      <c r="G721" s="92"/>
      <c r="H721" s="92"/>
      <c r="AF721" s="105"/>
    </row>
    <row r="722" spans="4:32" ht="15.75">
      <c r="D722" s="92"/>
      <c r="E722" s="92"/>
      <c r="F722" s="92"/>
      <c r="G722" s="92"/>
      <c r="H722" s="92"/>
      <c r="AF722" s="105"/>
    </row>
    <row r="723" spans="4:32" ht="15.75">
      <c r="D723" s="92"/>
      <c r="E723" s="92"/>
      <c r="F723" s="92"/>
      <c r="G723" s="92"/>
      <c r="H723" s="92"/>
      <c r="AF723" s="105"/>
    </row>
    <row r="724" spans="4:32" ht="15.75">
      <c r="D724" s="92"/>
      <c r="E724" s="92"/>
      <c r="F724" s="92"/>
      <c r="G724" s="92"/>
      <c r="H724" s="92"/>
      <c r="AF724" s="105"/>
    </row>
    <row r="725" spans="4:32" ht="15.75">
      <c r="D725" s="92"/>
      <c r="E725" s="92"/>
      <c r="F725" s="92"/>
      <c r="G725" s="92"/>
      <c r="H725" s="92"/>
      <c r="AF725" s="105"/>
    </row>
    <row r="726" spans="4:32" ht="15.75">
      <c r="D726" s="92"/>
      <c r="E726" s="92"/>
      <c r="F726" s="92"/>
      <c r="G726" s="92"/>
      <c r="H726" s="92"/>
      <c r="AF726" s="105"/>
    </row>
    <row r="727" spans="4:32" ht="15.75">
      <c r="D727" s="92"/>
      <c r="E727" s="92"/>
      <c r="F727" s="92"/>
      <c r="G727" s="92"/>
      <c r="H727" s="92"/>
      <c r="AF727" s="105"/>
    </row>
    <row r="728" spans="4:32" ht="15.75">
      <c r="D728" s="92"/>
      <c r="E728" s="92"/>
      <c r="F728" s="92"/>
      <c r="G728" s="92"/>
      <c r="H728" s="92"/>
      <c r="AF728" s="105"/>
    </row>
    <row r="729" spans="4:32" ht="15.75">
      <c r="D729" s="92"/>
      <c r="E729" s="92"/>
      <c r="F729" s="92"/>
      <c r="G729" s="92"/>
      <c r="H729" s="92"/>
      <c r="AF729" s="105"/>
    </row>
    <row r="730" spans="4:32" ht="15.75">
      <c r="D730" s="92"/>
      <c r="E730" s="92"/>
      <c r="F730" s="92"/>
      <c r="G730" s="92"/>
      <c r="H730" s="92"/>
      <c r="AF730" s="105"/>
    </row>
    <row r="731" spans="4:32" ht="15.75">
      <c r="D731" s="92"/>
      <c r="E731" s="92"/>
      <c r="F731" s="92"/>
      <c r="G731" s="92"/>
      <c r="H731" s="92"/>
      <c r="AF731" s="105"/>
    </row>
    <row r="732" spans="4:32" ht="15.75">
      <c r="D732" s="92"/>
      <c r="E732" s="92"/>
      <c r="F732" s="92"/>
      <c r="G732" s="92"/>
      <c r="H732" s="92"/>
      <c r="AF732" s="105"/>
    </row>
    <row r="733" spans="4:32" ht="15.75">
      <c r="D733" s="92"/>
      <c r="E733" s="92"/>
      <c r="F733" s="92"/>
      <c r="G733" s="92"/>
      <c r="H733" s="92"/>
      <c r="AF733" s="105"/>
    </row>
    <row r="734" spans="4:32" ht="15.75">
      <c r="D734" s="92"/>
      <c r="E734" s="92"/>
      <c r="F734" s="92"/>
      <c r="G734" s="92"/>
      <c r="H734" s="92"/>
      <c r="AF734" s="105"/>
    </row>
    <row r="735" spans="4:32" ht="15.75">
      <c r="D735" s="92"/>
      <c r="E735" s="92"/>
      <c r="F735" s="92"/>
      <c r="G735" s="92"/>
      <c r="H735" s="92"/>
      <c r="AF735" s="105"/>
    </row>
    <row r="736" spans="4:32" ht="15.75">
      <c r="D736" s="92"/>
      <c r="E736" s="92"/>
      <c r="F736" s="92"/>
      <c r="G736" s="92"/>
      <c r="H736" s="92"/>
      <c r="AF736" s="105"/>
    </row>
    <row r="737" spans="4:32" ht="15.75">
      <c r="D737" s="92"/>
      <c r="E737" s="92"/>
      <c r="F737" s="92"/>
      <c r="G737" s="92"/>
      <c r="H737" s="92"/>
      <c r="AF737" s="105"/>
    </row>
    <row r="738" spans="4:32" ht="15.75">
      <c r="D738" s="92"/>
      <c r="E738" s="92"/>
      <c r="F738" s="92"/>
      <c r="G738" s="92"/>
      <c r="H738" s="92"/>
      <c r="AF738" s="105"/>
    </row>
    <row r="739" spans="4:32" ht="15.75">
      <c r="D739" s="92"/>
      <c r="E739" s="92"/>
      <c r="F739" s="92"/>
      <c r="G739" s="92"/>
      <c r="H739" s="92"/>
      <c r="AF739" s="105"/>
    </row>
    <row r="740" spans="4:32" ht="15.75">
      <c r="D740" s="92"/>
      <c r="E740" s="92"/>
      <c r="F740" s="92"/>
      <c r="G740" s="92"/>
      <c r="H740" s="92"/>
      <c r="AF740" s="105"/>
    </row>
    <row r="741" spans="4:32" ht="15.75">
      <c r="D741" s="92"/>
      <c r="E741" s="92"/>
      <c r="F741" s="92"/>
      <c r="G741" s="92"/>
      <c r="H741" s="92"/>
      <c r="AF741" s="105"/>
    </row>
    <row r="742" spans="4:32" ht="15.75">
      <c r="D742" s="92"/>
      <c r="E742" s="92"/>
      <c r="F742" s="92"/>
      <c r="G742" s="92"/>
      <c r="H742" s="92"/>
      <c r="AF742" s="105"/>
    </row>
    <row r="743" spans="4:32" ht="15.75">
      <c r="D743" s="92"/>
      <c r="E743" s="92"/>
      <c r="F743" s="92"/>
      <c r="G743" s="92"/>
      <c r="H743" s="92"/>
      <c r="AF743" s="105"/>
    </row>
    <row r="744" spans="4:32" ht="15.75">
      <c r="D744" s="92"/>
      <c r="E744" s="92"/>
      <c r="F744" s="92"/>
      <c r="G744" s="92"/>
      <c r="H744" s="92"/>
      <c r="AF744" s="105"/>
    </row>
    <row r="745" spans="4:32" ht="15.75">
      <c r="D745" s="92"/>
      <c r="E745" s="92"/>
      <c r="F745" s="92"/>
      <c r="G745" s="92"/>
      <c r="H745" s="92"/>
      <c r="AF745" s="105"/>
    </row>
    <row r="746" spans="4:32" ht="15.75">
      <c r="D746" s="92"/>
      <c r="E746" s="92"/>
      <c r="F746" s="92"/>
      <c r="G746" s="92"/>
      <c r="H746" s="92"/>
      <c r="AF746" s="105"/>
    </row>
    <row r="747" spans="4:32" ht="15.75">
      <c r="D747" s="92"/>
      <c r="E747" s="92"/>
      <c r="F747" s="92"/>
      <c r="G747" s="92"/>
      <c r="H747" s="92"/>
      <c r="AF747" s="105"/>
    </row>
    <row r="748" spans="4:32" ht="15.75">
      <c r="D748" s="92"/>
      <c r="E748" s="92"/>
      <c r="F748" s="92"/>
      <c r="G748" s="92"/>
      <c r="H748" s="92"/>
      <c r="AF748" s="105"/>
    </row>
    <row r="749" spans="4:32" ht="15.75">
      <c r="D749" s="92"/>
      <c r="E749" s="92"/>
      <c r="F749" s="92"/>
      <c r="G749" s="92"/>
      <c r="H749" s="92"/>
      <c r="AF749" s="105"/>
    </row>
    <row r="750" spans="4:32" ht="15.75">
      <c r="D750" s="92"/>
      <c r="E750" s="92"/>
      <c r="F750" s="92"/>
      <c r="G750" s="92"/>
      <c r="H750" s="92"/>
      <c r="AF750" s="105"/>
    </row>
    <row r="751" spans="4:32" ht="15.75">
      <c r="D751" s="92"/>
      <c r="E751" s="92"/>
      <c r="F751" s="92"/>
      <c r="G751" s="92"/>
      <c r="H751" s="92"/>
      <c r="AF751" s="105"/>
    </row>
    <row r="752" spans="4:32" ht="15.75">
      <c r="D752" s="92"/>
      <c r="E752" s="92"/>
      <c r="F752" s="92"/>
      <c r="G752" s="92"/>
      <c r="H752" s="92"/>
      <c r="AF752" s="105"/>
    </row>
    <row r="753" spans="4:32" ht="15.75">
      <c r="D753" s="92"/>
      <c r="E753" s="92"/>
      <c r="F753" s="92"/>
      <c r="G753" s="92"/>
      <c r="H753" s="92"/>
      <c r="AF753" s="105"/>
    </row>
    <row r="754" spans="4:32" ht="15.75">
      <c r="D754" s="92"/>
      <c r="E754" s="92"/>
      <c r="F754" s="92"/>
      <c r="G754" s="92"/>
      <c r="H754" s="92"/>
      <c r="AF754" s="105"/>
    </row>
    <row r="755" spans="4:32" ht="15.75">
      <c r="D755" s="92"/>
      <c r="E755" s="92"/>
      <c r="F755" s="92"/>
      <c r="G755" s="92"/>
      <c r="H755" s="92"/>
      <c r="AF755" s="105"/>
    </row>
    <row r="756" spans="4:32" ht="15.75">
      <c r="D756" s="92"/>
      <c r="E756" s="92"/>
      <c r="F756" s="92"/>
      <c r="G756" s="92"/>
      <c r="H756" s="92"/>
      <c r="AF756" s="105"/>
    </row>
    <row r="757" spans="4:32" ht="15.75">
      <c r="D757" s="92"/>
      <c r="E757" s="92"/>
      <c r="F757" s="92"/>
      <c r="G757" s="92"/>
      <c r="H757" s="92"/>
      <c r="AF757" s="105"/>
    </row>
    <row r="758" spans="4:32" ht="15.75">
      <c r="D758" s="92"/>
      <c r="E758" s="92"/>
      <c r="F758" s="92"/>
      <c r="G758" s="92"/>
      <c r="H758" s="92"/>
      <c r="AF758" s="105"/>
    </row>
    <row r="759" spans="4:32" ht="15.75">
      <c r="D759" s="92"/>
      <c r="E759" s="92"/>
      <c r="F759" s="92"/>
      <c r="G759" s="92"/>
      <c r="H759" s="92"/>
      <c r="AF759" s="105"/>
    </row>
    <row r="760" spans="4:32" ht="15.75">
      <c r="D760" s="92"/>
      <c r="E760" s="92"/>
      <c r="F760" s="92"/>
      <c r="G760" s="92"/>
      <c r="H760" s="92"/>
      <c r="AF760" s="105"/>
    </row>
    <row r="761" spans="4:32" ht="15.75">
      <c r="D761" s="92"/>
      <c r="E761" s="92"/>
      <c r="F761" s="92"/>
      <c r="G761" s="92"/>
      <c r="H761" s="92"/>
      <c r="AF761" s="105"/>
    </row>
    <row r="762" spans="4:32" ht="15.75">
      <c r="D762" s="92"/>
      <c r="E762" s="92"/>
      <c r="F762" s="92"/>
      <c r="G762" s="92"/>
      <c r="H762" s="92"/>
      <c r="AF762" s="105"/>
    </row>
    <row r="763" spans="4:32" ht="15.75">
      <c r="D763" s="92"/>
      <c r="E763" s="92"/>
      <c r="F763" s="92"/>
      <c r="G763" s="92"/>
      <c r="H763" s="92"/>
      <c r="AF763" s="105"/>
    </row>
    <row r="764" spans="4:32" ht="15.75">
      <c r="D764" s="92"/>
      <c r="E764" s="92"/>
      <c r="F764" s="92"/>
      <c r="G764" s="92"/>
      <c r="H764" s="92"/>
      <c r="AF764" s="105"/>
    </row>
    <row r="765" spans="4:32" ht="15.75">
      <c r="D765" s="92"/>
      <c r="E765" s="92"/>
      <c r="F765" s="92"/>
      <c r="G765" s="92"/>
      <c r="H765" s="92"/>
      <c r="AF765" s="105"/>
    </row>
    <row r="766" spans="4:32" ht="15.75">
      <c r="D766" s="92"/>
      <c r="E766" s="92"/>
      <c r="F766" s="92"/>
      <c r="G766" s="92"/>
      <c r="H766" s="92"/>
      <c r="AF766" s="105"/>
    </row>
    <row r="767" spans="4:32" ht="15.75">
      <c r="D767" s="92"/>
      <c r="E767" s="92"/>
      <c r="F767" s="92"/>
      <c r="G767" s="92"/>
      <c r="H767" s="92"/>
      <c r="AF767" s="105"/>
    </row>
    <row r="768" spans="4:32" ht="15.75">
      <c r="D768" s="92"/>
      <c r="E768" s="92"/>
      <c r="F768" s="92"/>
      <c r="G768" s="92"/>
      <c r="H768" s="92"/>
      <c r="AF768" s="105"/>
    </row>
    <row r="769" spans="4:32" ht="15.75">
      <c r="D769" s="92"/>
      <c r="E769" s="92"/>
      <c r="F769" s="92"/>
      <c r="G769" s="92"/>
      <c r="H769" s="92"/>
      <c r="AF769" s="105"/>
    </row>
    <row r="770" spans="4:32" ht="15.75">
      <c r="D770" s="92"/>
      <c r="E770" s="92"/>
      <c r="F770" s="92"/>
      <c r="G770" s="92"/>
      <c r="H770" s="92"/>
      <c r="AF770" s="105"/>
    </row>
    <row r="771" spans="4:32" ht="15.75">
      <c r="D771" s="92"/>
      <c r="E771" s="92"/>
      <c r="F771" s="92"/>
      <c r="G771" s="92"/>
      <c r="H771" s="92"/>
      <c r="AF771" s="105"/>
    </row>
    <row r="772" spans="4:32" ht="15.75">
      <c r="D772" s="92"/>
      <c r="E772" s="92"/>
      <c r="F772" s="92"/>
      <c r="G772" s="92"/>
      <c r="H772" s="92"/>
      <c r="AF772" s="105"/>
    </row>
    <row r="773" spans="4:32" ht="15.75">
      <c r="D773" s="92"/>
      <c r="E773" s="92"/>
      <c r="F773" s="92"/>
      <c r="G773" s="92"/>
      <c r="H773" s="92"/>
      <c r="AF773" s="105"/>
    </row>
    <row r="774" spans="4:32" ht="15.75">
      <c r="D774" s="92"/>
      <c r="E774" s="92"/>
      <c r="F774" s="92"/>
      <c r="G774" s="92"/>
      <c r="H774" s="92"/>
      <c r="AF774" s="105"/>
    </row>
    <row r="775" spans="4:32" ht="15.75">
      <c r="D775" s="92"/>
      <c r="E775" s="92"/>
      <c r="F775" s="92"/>
      <c r="G775" s="92"/>
      <c r="H775" s="92"/>
      <c r="AF775" s="105"/>
    </row>
    <row r="776" spans="4:32" ht="15.75">
      <c r="D776" s="92"/>
      <c r="E776" s="92"/>
      <c r="F776" s="92"/>
      <c r="G776" s="92"/>
      <c r="H776" s="92"/>
      <c r="AF776" s="105"/>
    </row>
    <row r="777" spans="4:32" ht="15.75">
      <c r="D777" s="92"/>
      <c r="E777" s="92"/>
      <c r="F777" s="92"/>
      <c r="G777" s="92"/>
      <c r="H777" s="92"/>
      <c r="AF777" s="105"/>
    </row>
    <row r="778" spans="4:32" ht="15.75">
      <c r="D778" s="92"/>
      <c r="E778" s="92"/>
      <c r="F778" s="92"/>
      <c r="G778" s="92"/>
      <c r="H778" s="92"/>
      <c r="AF778" s="105"/>
    </row>
    <row r="779" spans="4:32" ht="15.75">
      <c r="D779" s="92"/>
      <c r="E779" s="92"/>
      <c r="F779" s="92"/>
      <c r="G779" s="92"/>
      <c r="H779" s="92"/>
      <c r="AF779" s="105"/>
    </row>
    <row r="780" spans="4:32" ht="15.75">
      <c r="D780" s="92"/>
      <c r="E780" s="92"/>
      <c r="F780" s="92"/>
      <c r="G780" s="92"/>
      <c r="H780" s="92"/>
      <c r="AF780" s="105"/>
    </row>
    <row r="781" spans="4:32" ht="15.75">
      <c r="D781" s="92"/>
      <c r="E781" s="92"/>
      <c r="F781" s="92"/>
      <c r="G781" s="92"/>
      <c r="H781" s="92"/>
      <c r="AF781" s="105"/>
    </row>
    <row r="782" spans="4:32" ht="15.75">
      <c r="D782" s="92"/>
      <c r="E782" s="92"/>
      <c r="F782" s="92"/>
      <c r="G782" s="92"/>
      <c r="H782" s="92"/>
      <c r="AF782" s="105"/>
    </row>
    <row r="783" spans="4:32" ht="15.75">
      <c r="D783" s="92"/>
      <c r="E783" s="92"/>
      <c r="F783" s="92"/>
      <c r="G783" s="92"/>
      <c r="H783" s="92"/>
      <c r="AF783" s="105"/>
    </row>
    <row r="784" spans="4:32" ht="15.75">
      <c r="D784" s="92"/>
      <c r="E784" s="92"/>
      <c r="F784" s="92"/>
      <c r="G784" s="92"/>
      <c r="H784" s="92"/>
      <c r="AF784" s="105"/>
    </row>
    <row r="785" spans="4:32" ht="15.75">
      <c r="D785" s="92"/>
      <c r="E785" s="92"/>
      <c r="F785" s="92"/>
      <c r="G785" s="92"/>
      <c r="H785" s="92"/>
      <c r="AF785" s="105"/>
    </row>
    <row r="786" spans="4:32" ht="15.75">
      <c r="D786" s="92"/>
      <c r="E786" s="92"/>
      <c r="F786" s="92"/>
      <c r="G786" s="92"/>
      <c r="H786" s="92"/>
      <c r="AF786" s="105"/>
    </row>
    <row r="787" spans="4:32" ht="15.75">
      <c r="D787" s="92"/>
      <c r="E787" s="92"/>
      <c r="F787" s="92"/>
      <c r="G787" s="92"/>
      <c r="H787" s="92"/>
      <c r="AF787" s="105"/>
    </row>
    <row r="788" spans="4:32" ht="15.75">
      <c r="D788" s="92"/>
      <c r="E788" s="92"/>
      <c r="F788" s="92"/>
      <c r="G788" s="92"/>
      <c r="H788" s="92"/>
      <c r="AF788" s="105"/>
    </row>
    <row r="789" spans="4:32" ht="15.75">
      <c r="D789" s="92"/>
      <c r="E789" s="92"/>
      <c r="F789" s="92"/>
      <c r="G789" s="92"/>
      <c r="H789" s="92"/>
      <c r="AF789" s="105"/>
    </row>
    <row r="790" spans="4:32" ht="15.75">
      <c r="D790" s="92"/>
      <c r="E790" s="92"/>
      <c r="F790" s="92"/>
      <c r="G790" s="92"/>
      <c r="H790" s="92"/>
      <c r="AF790" s="105"/>
    </row>
    <row r="791" spans="4:32" ht="15.75">
      <c r="D791" s="92"/>
      <c r="E791" s="92"/>
      <c r="F791" s="92"/>
      <c r="G791" s="92"/>
      <c r="H791" s="92"/>
      <c r="AF791" s="105"/>
    </row>
    <row r="792" spans="4:32" ht="15.75">
      <c r="D792" s="92"/>
      <c r="E792" s="92"/>
      <c r="F792" s="92"/>
      <c r="G792" s="92"/>
      <c r="H792" s="92"/>
      <c r="AF792" s="105"/>
    </row>
    <row r="793" spans="4:32" ht="15.75">
      <c r="D793" s="92"/>
      <c r="E793" s="92"/>
      <c r="F793" s="92"/>
      <c r="G793" s="92"/>
      <c r="H793" s="92"/>
      <c r="AF793" s="105"/>
    </row>
    <row r="794" spans="4:32" ht="15.75">
      <c r="D794" s="92"/>
      <c r="E794" s="92"/>
      <c r="F794" s="92"/>
      <c r="G794" s="92"/>
      <c r="H794" s="92"/>
      <c r="AF794" s="105"/>
    </row>
    <row r="795" spans="4:32" ht="15.75">
      <c r="D795" s="92"/>
      <c r="E795" s="92"/>
      <c r="F795" s="92"/>
      <c r="G795" s="92"/>
      <c r="H795" s="92"/>
      <c r="AF795" s="105"/>
    </row>
    <row r="796" spans="4:32" ht="15.75">
      <c r="D796" s="92"/>
      <c r="E796" s="92"/>
      <c r="F796" s="92"/>
      <c r="G796" s="92"/>
      <c r="H796" s="92"/>
      <c r="AF796" s="105"/>
    </row>
    <row r="797" spans="4:32" ht="15.75">
      <c r="D797" s="92"/>
      <c r="E797" s="92"/>
      <c r="F797" s="92"/>
      <c r="G797" s="92"/>
      <c r="H797" s="92"/>
      <c r="AF797" s="105"/>
    </row>
    <row r="798" spans="4:32" ht="15.75">
      <c r="D798" s="92"/>
      <c r="E798" s="92"/>
      <c r="F798" s="92"/>
      <c r="G798" s="92"/>
      <c r="H798" s="92"/>
      <c r="AF798" s="105"/>
    </row>
    <row r="799" spans="4:32" ht="15.75">
      <c r="D799" s="92"/>
      <c r="E799" s="92"/>
      <c r="F799" s="92"/>
      <c r="G799" s="92"/>
      <c r="H799" s="92"/>
      <c r="AF799" s="105"/>
    </row>
    <row r="800" spans="4:32" ht="15.75">
      <c r="D800" s="92"/>
      <c r="E800" s="92"/>
      <c r="F800" s="92"/>
      <c r="G800" s="92"/>
      <c r="H800" s="92"/>
      <c r="AF800" s="105"/>
    </row>
    <row r="801" spans="4:32" ht="15.75">
      <c r="D801" s="92"/>
      <c r="E801" s="92"/>
      <c r="F801" s="92"/>
      <c r="G801" s="92"/>
      <c r="H801" s="92"/>
      <c r="AF801" s="105"/>
    </row>
    <row r="802" spans="4:32" ht="15.75">
      <c r="D802" s="92"/>
      <c r="E802" s="92"/>
      <c r="F802" s="92"/>
      <c r="G802" s="92"/>
      <c r="H802" s="92"/>
      <c r="AF802" s="105"/>
    </row>
    <row r="803" spans="4:32" ht="15.75">
      <c r="D803" s="92"/>
      <c r="E803" s="92"/>
      <c r="F803" s="92"/>
      <c r="G803" s="92"/>
      <c r="H803" s="92"/>
      <c r="AF803" s="105"/>
    </row>
    <row r="804" spans="4:32" ht="15.75">
      <c r="D804" s="92"/>
      <c r="E804" s="92"/>
      <c r="F804" s="92"/>
      <c r="G804" s="92"/>
      <c r="H804" s="92"/>
      <c r="AF804" s="105"/>
    </row>
    <row r="805" spans="4:32" ht="15.75">
      <c r="D805" s="92"/>
      <c r="E805" s="92"/>
      <c r="F805" s="92"/>
      <c r="G805" s="92"/>
      <c r="H805" s="92"/>
      <c r="AF805" s="105"/>
    </row>
    <row r="806" spans="4:32" ht="15.75">
      <c r="D806" s="92"/>
      <c r="E806" s="92"/>
      <c r="F806" s="92"/>
      <c r="G806" s="92"/>
      <c r="H806" s="92"/>
      <c r="AF806" s="105"/>
    </row>
    <row r="807" spans="4:32" ht="15.75">
      <c r="D807" s="92"/>
      <c r="E807" s="92"/>
      <c r="F807" s="92"/>
      <c r="G807" s="92"/>
      <c r="H807" s="92"/>
      <c r="AF807" s="105"/>
    </row>
    <row r="808" spans="4:32" ht="15.75">
      <c r="D808" s="92"/>
      <c r="E808" s="92"/>
      <c r="F808" s="92"/>
      <c r="G808" s="92"/>
      <c r="H808" s="92"/>
      <c r="AF808" s="105"/>
    </row>
    <row r="809" spans="4:32" ht="15.75">
      <c r="D809" s="92"/>
      <c r="E809" s="92"/>
      <c r="F809" s="92"/>
      <c r="G809" s="92"/>
      <c r="H809" s="92"/>
      <c r="AF809" s="105"/>
    </row>
    <row r="810" spans="4:32" ht="15.75">
      <c r="D810" s="92"/>
      <c r="E810" s="92"/>
      <c r="F810" s="92"/>
      <c r="G810" s="92"/>
      <c r="H810" s="92"/>
      <c r="AF810" s="105"/>
    </row>
    <row r="811" spans="4:32" ht="15.75">
      <c r="D811" s="92"/>
      <c r="E811" s="92"/>
      <c r="F811" s="92"/>
      <c r="G811" s="92"/>
      <c r="H811" s="92"/>
      <c r="AF811" s="105"/>
    </row>
    <row r="812" spans="4:32" ht="15.75">
      <c r="D812" s="92"/>
      <c r="E812" s="92"/>
      <c r="F812" s="92"/>
      <c r="G812" s="92"/>
      <c r="H812" s="92"/>
      <c r="AF812" s="105"/>
    </row>
    <row r="813" spans="4:32" ht="15.75">
      <c r="D813" s="92"/>
      <c r="E813" s="92"/>
      <c r="F813" s="92"/>
      <c r="G813" s="92"/>
      <c r="H813" s="92"/>
      <c r="AF813" s="105"/>
    </row>
    <row r="814" spans="4:32" ht="15.75">
      <c r="D814" s="92"/>
      <c r="E814" s="92"/>
      <c r="F814" s="92"/>
      <c r="G814" s="92"/>
      <c r="H814" s="92"/>
      <c r="AF814" s="105"/>
    </row>
    <row r="815" spans="4:32" ht="15.75">
      <c r="D815" s="92"/>
      <c r="E815" s="92"/>
      <c r="F815" s="92"/>
      <c r="G815" s="92"/>
      <c r="H815" s="92"/>
      <c r="AF815" s="105"/>
    </row>
    <row r="816" spans="4:32" ht="15.75">
      <c r="D816" s="92"/>
      <c r="E816" s="92"/>
      <c r="F816" s="92"/>
      <c r="G816" s="92"/>
      <c r="H816" s="92"/>
      <c r="AF816" s="105"/>
    </row>
    <row r="817" spans="4:32" ht="15.75">
      <c r="D817" s="92"/>
      <c r="E817" s="92"/>
      <c r="F817" s="92"/>
      <c r="G817" s="92"/>
      <c r="H817" s="92"/>
      <c r="AF817" s="105"/>
    </row>
    <row r="818" spans="4:32" ht="15.75">
      <c r="D818" s="92"/>
      <c r="E818" s="92"/>
      <c r="F818" s="92"/>
      <c r="G818" s="92"/>
      <c r="H818" s="92"/>
      <c r="AF818" s="105"/>
    </row>
    <row r="819" spans="4:32" ht="15.75">
      <c r="D819" s="92"/>
      <c r="E819" s="92"/>
      <c r="F819" s="92"/>
      <c r="G819" s="92"/>
      <c r="H819" s="92"/>
      <c r="AF819" s="105"/>
    </row>
    <row r="820" spans="4:32" ht="15.75">
      <c r="D820" s="92"/>
      <c r="E820" s="92"/>
      <c r="F820" s="92"/>
      <c r="G820" s="92"/>
      <c r="H820" s="92"/>
      <c r="AF820" s="105"/>
    </row>
    <row r="821" spans="4:32" ht="15.75">
      <c r="D821" s="92"/>
      <c r="E821" s="92"/>
      <c r="F821" s="92"/>
      <c r="G821" s="92"/>
      <c r="H821" s="92"/>
      <c r="AF821" s="105"/>
    </row>
    <row r="822" spans="4:32" ht="15.75">
      <c r="D822" s="92"/>
      <c r="E822" s="92"/>
      <c r="F822" s="92"/>
      <c r="G822" s="92"/>
      <c r="H822" s="92"/>
      <c r="AF822" s="105"/>
    </row>
    <row r="823" spans="4:32" ht="15.75">
      <c r="D823" s="92"/>
      <c r="E823" s="92"/>
      <c r="F823" s="92"/>
      <c r="G823" s="92"/>
      <c r="H823" s="92"/>
      <c r="AF823" s="105"/>
    </row>
    <row r="824" spans="4:32" ht="15.75">
      <c r="D824" s="92"/>
      <c r="E824" s="92"/>
      <c r="F824" s="92"/>
      <c r="G824" s="92"/>
      <c r="H824" s="92"/>
      <c r="AF824" s="105"/>
    </row>
    <row r="825" spans="4:32" ht="15.75">
      <c r="D825" s="92"/>
      <c r="E825" s="92"/>
      <c r="F825" s="92"/>
      <c r="G825" s="92"/>
      <c r="H825" s="92"/>
      <c r="AF825" s="105"/>
    </row>
    <row r="826" spans="4:32" ht="15.75">
      <c r="D826" s="92"/>
      <c r="E826" s="92"/>
      <c r="F826" s="92"/>
      <c r="G826" s="92"/>
      <c r="H826" s="92"/>
      <c r="AF826" s="105"/>
    </row>
    <row r="827" spans="4:32" ht="15.75">
      <c r="D827" s="92"/>
      <c r="E827" s="92"/>
      <c r="F827" s="92"/>
      <c r="G827" s="92"/>
      <c r="H827" s="92"/>
      <c r="AF827" s="105"/>
    </row>
    <row r="828" spans="4:32" ht="15.75">
      <c r="D828" s="92"/>
      <c r="E828" s="92"/>
      <c r="F828" s="92"/>
      <c r="G828" s="92"/>
      <c r="H828" s="92"/>
      <c r="AF828" s="105"/>
    </row>
    <row r="829" spans="4:32" ht="15.75">
      <c r="D829" s="92"/>
      <c r="E829" s="92"/>
      <c r="F829" s="92"/>
      <c r="G829" s="92"/>
      <c r="H829" s="92"/>
      <c r="AF829" s="105"/>
    </row>
    <row r="830" spans="4:32" ht="15.75">
      <c r="D830" s="92"/>
      <c r="E830" s="92"/>
      <c r="F830" s="92"/>
      <c r="G830" s="92"/>
      <c r="H830" s="92"/>
      <c r="AF830" s="105"/>
    </row>
    <row r="831" spans="4:32" ht="15.75">
      <c r="D831" s="92"/>
      <c r="E831" s="92"/>
      <c r="F831" s="92"/>
      <c r="G831" s="92"/>
      <c r="H831" s="92"/>
      <c r="AF831" s="105"/>
    </row>
    <row r="832" spans="4:32" ht="15.75">
      <c r="D832" s="92"/>
      <c r="E832" s="92"/>
      <c r="F832" s="92"/>
      <c r="G832" s="92"/>
      <c r="H832" s="92"/>
      <c r="AF832" s="105"/>
    </row>
    <row r="833" spans="4:32" ht="15.75">
      <c r="D833" s="92"/>
      <c r="E833" s="92"/>
      <c r="F833" s="92"/>
      <c r="G833" s="92"/>
      <c r="H833" s="92"/>
      <c r="AF833" s="105"/>
    </row>
    <row r="834" spans="4:32" ht="15.75">
      <c r="D834" s="92"/>
      <c r="E834" s="92"/>
      <c r="F834" s="92"/>
      <c r="G834" s="92"/>
      <c r="H834" s="92"/>
      <c r="AF834" s="105"/>
    </row>
    <row r="835" spans="4:32" ht="15.75">
      <c r="D835" s="92"/>
      <c r="E835" s="92"/>
      <c r="F835" s="92"/>
      <c r="G835" s="92"/>
      <c r="H835" s="92"/>
      <c r="AF835" s="105"/>
    </row>
    <row r="836" spans="4:32" ht="15.75">
      <c r="D836" s="92"/>
      <c r="E836" s="92"/>
      <c r="F836" s="92"/>
      <c r="G836" s="92"/>
      <c r="H836" s="92"/>
      <c r="AF836" s="105"/>
    </row>
    <row r="837" spans="4:32" ht="15.75">
      <c r="D837" s="92"/>
      <c r="E837" s="92"/>
      <c r="F837" s="92"/>
      <c r="G837" s="92"/>
      <c r="H837" s="92"/>
      <c r="AF837" s="105"/>
    </row>
    <row r="838" spans="4:32" ht="15.75">
      <c r="D838" s="92"/>
      <c r="E838" s="92"/>
      <c r="F838" s="92"/>
      <c r="G838" s="92"/>
      <c r="H838" s="92"/>
      <c r="AF838" s="105"/>
    </row>
    <row r="839" spans="4:32" ht="15.75">
      <c r="D839" s="92"/>
      <c r="E839" s="92"/>
      <c r="F839" s="92"/>
      <c r="G839" s="92"/>
      <c r="H839" s="92"/>
      <c r="AF839" s="105"/>
    </row>
    <row r="840" spans="4:32" ht="15.75">
      <c r="D840" s="92"/>
      <c r="E840" s="92"/>
      <c r="F840" s="92"/>
      <c r="G840" s="92"/>
      <c r="H840" s="92"/>
      <c r="AF840" s="105"/>
    </row>
    <row r="841" spans="4:32" ht="15.75">
      <c r="D841" s="92"/>
      <c r="E841" s="92"/>
      <c r="F841" s="92"/>
      <c r="G841" s="92"/>
      <c r="H841" s="92"/>
      <c r="AF841" s="105"/>
    </row>
    <row r="842" spans="4:32" ht="15.75">
      <c r="D842" s="92"/>
      <c r="E842" s="92"/>
      <c r="F842" s="92"/>
      <c r="G842" s="92"/>
      <c r="H842" s="92"/>
      <c r="AF842" s="105"/>
    </row>
    <row r="843" spans="4:32" ht="15.75">
      <c r="D843" s="92"/>
      <c r="E843" s="92"/>
      <c r="F843" s="92"/>
      <c r="G843" s="92"/>
      <c r="H843" s="92"/>
      <c r="AF843" s="105"/>
    </row>
    <row r="844" spans="4:32" ht="15.75">
      <c r="D844" s="92"/>
      <c r="E844" s="92"/>
      <c r="F844" s="92"/>
      <c r="G844" s="92"/>
      <c r="H844" s="92"/>
      <c r="AF844" s="105"/>
    </row>
    <row r="845" spans="4:32" ht="15.75">
      <c r="D845" s="92"/>
      <c r="E845" s="92"/>
      <c r="F845" s="92"/>
      <c r="G845" s="92"/>
      <c r="H845" s="92"/>
      <c r="AF845" s="105"/>
    </row>
    <row r="846" spans="4:32" ht="15.75">
      <c r="D846" s="92"/>
      <c r="E846" s="92"/>
      <c r="F846" s="92"/>
      <c r="G846" s="92"/>
      <c r="H846" s="92"/>
      <c r="AF846" s="105"/>
    </row>
    <row r="847" spans="4:32" ht="15.75">
      <c r="D847" s="92"/>
      <c r="E847" s="92"/>
      <c r="F847" s="92"/>
      <c r="G847" s="92"/>
      <c r="H847" s="92"/>
      <c r="AF847" s="105"/>
    </row>
    <row r="848" spans="4:32" ht="15.75">
      <c r="D848" s="92"/>
      <c r="E848" s="92"/>
      <c r="F848" s="92"/>
      <c r="G848" s="92"/>
      <c r="H848" s="92"/>
      <c r="AF848" s="105"/>
    </row>
    <row r="849" spans="4:32" ht="15.75">
      <c r="D849" s="92"/>
      <c r="E849" s="92"/>
      <c r="F849" s="92"/>
      <c r="G849" s="92"/>
      <c r="H849" s="92"/>
      <c r="AF849" s="105"/>
    </row>
    <row r="850" spans="4:32" ht="15.75">
      <c r="D850" s="92"/>
      <c r="E850" s="92"/>
      <c r="F850" s="92"/>
      <c r="G850" s="92"/>
      <c r="H850" s="92"/>
      <c r="AF850" s="105"/>
    </row>
    <row r="851" spans="4:32" ht="15.75">
      <c r="D851" s="92"/>
      <c r="E851" s="92"/>
      <c r="F851" s="92"/>
      <c r="G851" s="92"/>
      <c r="H851" s="92"/>
      <c r="AF851" s="105"/>
    </row>
    <row r="852" spans="4:32" ht="15.75">
      <c r="D852" s="92"/>
      <c r="E852" s="92"/>
      <c r="F852" s="92"/>
      <c r="G852" s="92"/>
      <c r="H852" s="92"/>
      <c r="AF852" s="105"/>
    </row>
    <row r="853" spans="4:32" ht="15.75">
      <c r="D853" s="92"/>
      <c r="E853" s="92"/>
      <c r="F853" s="92"/>
      <c r="G853" s="92"/>
      <c r="H853" s="92"/>
      <c r="AF853" s="105"/>
    </row>
    <row r="854" spans="4:32" ht="15.75">
      <c r="D854" s="92"/>
      <c r="E854" s="92"/>
      <c r="F854" s="92"/>
      <c r="G854" s="92"/>
      <c r="H854" s="92"/>
      <c r="AF854" s="105"/>
    </row>
    <row r="855" spans="4:32" ht="15.75">
      <c r="D855" s="92"/>
      <c r="E855" s="92"/>
      <c r="F855" s="92"/>
      <c r="G855" s="92"/>
      <c r="H855" s="92"/>
      <c r="AF855" s="105"/>
    </row>
    <row r="856" spans="4:32" ht="15.75">
      <c r="D856" s="92"/>
      <c r="E856" s="92"/>
      <c r="F856" s="92"/>
      <c r="G856" s="92"/>
      <c r="H856" s="92"/>
      <c r="AF856" s="105"/>
    </row>
    <row r="857" spans="4:32" ht="15.75">
      <c r="D857" s="92"/>
      <c r="E857" s="92"/>
      <c r="F857" s="92"/>
      <c r="G857" s="92"/>
      <c r="H857" s="92"/>
      <c r="AF857" s="105"/>
    </row>
    <row r="858" spans="4:32" ht="15.75">
      <c r="D858" s="92"/>
      <c r="E858" s="92"/>
      <c r="F858" s="92"/>
      <c r="G858" s="92"/>
      <c r="H858" s="92"/>
      <c r="AF858" s="105"/>
    </row>
    <row r="859" spans="4:32" ht="15.75">
      <c r="D859" s="92"/>
      <c r="E859" s="92"/>
      <c r="F859" s="92"/>
      <c r="G859" s="92"/>
      <c r="H859" s="92"/>
      <c r="AF859" s="105"/>
    </row>
    <row r="860" spans="4:32" ht="15.75">
      <c r="D860" s="92"/>
      <c r="E860" s="92"/>
      <c r="F860" s="92"/>
      <c r="G860" s="92"/>
      <c r="H860" s="92"/>
      <c r="AF860" s="105"/>
    </row>
    <row r="861" spans="4:32" ht="15.75">
      <c r="D861" s="92"/>
      <c r="E861" s="92"/>
      <c r="F861" s="92"/>
      <c r="G861" s="92"/>
      <c r="H861" s="92"/>
      <c r="AF861" s="105"/>
    </row>
    <row r="862" spans="4:32" ht="15.75">
      <c r="D862" s="92"/>
      <c r="E862" s="92"/>
      <c r="F862" s="92"/>
      <c r="G862" s="92"/>
      <c r="H862" s="92"/>
      <c r="AF862" s="105"/>
    </row>
    <row r="863" spans="4:32" ht="15.75">
      <c r="D863" s="92"/>
      <c r="E863" s="92"/>
      <c r="F863" s="92"/>
      <c r="G863" s="92"/>
      <c r="H863" s="92"/>
      <c r="AF863" s="105"/>
    </row>
    <row r="864" spans="4:32" ht="15.75">
      <c r="D864" s="92"/>
      <c r="E864" s="92"/>
      <c r="F864" s="92"/>
      <c r="G864" s="92"/>
      <c r="H864" s="92"/>
      <c r="AF864" s="105"/>
    </row>
    <row r="865" spans="4:32" ht="15.75">
      <c r="D865" s="92"/>
      <c r="E865" s="92"/>
      <c r="F865" s="92"/>
      <c r="G865" s="92"/>
      <c r="H865" s="92"/>
      <c r="AF865" s="105"/>
    </row>
    <row r="866" spans="4:32" ht="15.75">
      <c r="D866" s="92"/>
      <c r="E866" s="92"/>
      <c r="F866" s="92"/>
      <c r="G866" s="92"/>
      <c r="H866" s="92"/>
      <c r="AF866" s="105"/>
    </row>
    <row r="867" spans="4:32" ht="15.75">
      <c r="D867" s="92"/>
      <c r="E867" s="92"/>
      <c r="F867" s="92"/>
      <c r="G867" s="92"/>
      <c r="H867" s="92"/>
      <c r="AF867" s="105"/>
    </row>
    <row r="868" spans="4:32" ht="15.75">
      <c r="D868" s="92"/>
      <c r="E868" s="92"/>
      <c r="F868" s="92"/>
      <c r="G868" s="92"/>
      <c r="H868" s="92"/>
      <c r="AF868" s="105"/>
    </row>
    <row r="869" spans="4:32" ht="15.75">
      <c r="D869" s="92"/>
      <c r="E869" s="92"/>
      <c r="F869" s="92"/>
      <c r="G869" s="92"/>
      <c r="H869" s="92"/>
      <c r="AF869" s="105"/>
    </row>
    <row r="870" spans="4:32" ht="15.75">
      <c r="D870" s="92"/>
      <c r="E870" s="92"/>
      <c r="F870" s="92"/>
      <c r="G870" s="92"/>
      <c r="H870" s="92"/>
      <c r="AF870" s="105"/>
    </row>
    <row r="871" spans="4:32" ht="15.75">
      <c r="D871" s="92"/>
      <c r="E871" s="92"/>
      <c r="F871" s="92"/>
      <c r="G871" s="92"/>
      <c r="H871" s="92"/>
      <c r="AF871" s="105"/>
    </row>
    <row r="872" spans="4:32" ht="15.75">
      <c r="D872" s="92"/>
      <c r="E872" s="92"/>
      <c r="F872" s="92"/>
      <c r="G872" s="92"/>
      <c r="H872" s="92"/>
      <c r="AF872" s="105"/>
    </row>
    <row r="873" spans="4:32" ht="15.75">
      <c r="D873" s="92"/>
      <c r="E873" s="92"/>
      <c r="F873" s="92"/>
      <c r="G873" s="92"/>
      <c r="H873" s="92"/>
      <c r="AF873" s="105"/>
    </row>
    <row r="874" spans="4:32" ht="15.75">
      <c r="D874" s="92"/>
      <c r="E874" s="92"/>
      <c r="F874" s="92"/>
      <c r="G874" s="92"/>
      <c r="H874" s="92"/>
      <c r="AF874" s="105"/>
    </row>
    <row r="875" spans="4:32" ht="15.75">
      <c r="D875" s="92"/>
      <c r="E875" s="92"/>
      <c r="F875" s="92"/>
      <c r="G875" s="92"/>
      <c r="H875" s="92"/>
      <c r="AF875" s="105"/>
    </row>
    <row r="876" spans="4:32" ht="15.75">
      <c r="D876" s="92"/>
      <c r="E876" s="92"/>
      <c r="F876" s="92"/>
      <c r="G876" s="92"/>
      <c r="H876" s="92"/>
      <c r="AF876" s="105"/>
    </row>
    <row r="877" spans="4:32" ht="15.75">
      <c r="D877" s="92"/>
      <c r="E877" s="92"/>
      <c r="F877" s="92"/>
      <c r="G877" s="92"/>
      <c r="H877" s="92"/>
      <c r="AF877" s="105"/>
    </row>
    <row r="878" spans="4:32" ht="15.75">
      <c r="D878" s="92"/>
      <c r="E878" s="92"/>
      <c r="F878" s="92"/>
      <c r="G878" s="92"/>
      <c r="H878" s="92"/>
      <c r="AF878" s="105"/>
    </row>
    <row r="879" spans="4:32" ht="15.75">
      <c r="D879" s="92"/>
      <c r="E879" s="92"/>
      <c r="F879" s="92"/>
      <c r="G879" s="92"/>
      <c r="H879" s="92"/>
      <c r="AF879" s="105"/>
    </row>
    <row r="880" spans="4:32" ht="15.75">
      <c r="D880" s="92"/>
      <c r="E880" s="92"/>
      <c r="F880" s="92"/>
      <c r="G880" s="92"/>
      <c r="H880" s="92"/>
      <c r="AF880" s="105"/>
    </row>
    <row r="881" spans="4:32" ht="15.75">
      <c r="D881" s="92"/>
      <c r="E881" s="92"/>
      <c r="F881" s="92"/>
      <c r="G881" s="92"/>
      <c r="H881" s="92"/>
      <c r="AF881" s="105"/>
    </row>
    <row r="882" spans="4:32" ht="15.75">
      <c r="D882" s="92"/>
      <c r="E882" s="92"/>
      <c r="F882" s="92"/>
      <c r="G882" s="92"/>
      <c r="H882" s="92"/>
      <c r="AF882" s="105"/>
    </row>
    <row r="883" spans="4:32" ht="15.75">
      <c r="D883" s="92"/>
      <c r="E883" s="92"/>
      <c r="F883" s="92"/>
      <c r="G883" s="92"/>
      <c r="H883" s="92"/>
      <c r="AF883" s="105"/>
    </row>
    <row r="884" spans="4:32" ht="15.75">
      <c r="D884" s="92"/>
      <c r="E884" s="92"/>
      <c r="F884" s="92"/>
      <c r="G884" s="92"/>
      <c r="H884" s="92"/>
      <c r="AF884" s="105"/>
    </row>
    <row r="885" spans="4:32" ht="15.75">
      <c r="D885" s="92"/>
      <c r="E885" s="92"/>
      <c r="F885" s="92"/>
      <c r="G885" s="92"/>
      <c r="H885" s="92"/>
      <c r="AF885" s="105"/>
    </row>
    <row r="886" spans="4:32" ht="15.75">
      <c r="D886" s="92"/>
      <c r="E886" s="92"/>
      <c r="F886" s="92"/>
      <c r="G886" s="92"/>
      <c r="H886" s="92"/>
      <c r="AF886" s="105"/>
    </row>
    <row r="887" spans="4:32" ht="15.75">
      <c r="D887" s="92"/>
      <c r="E887" s="92"/>
      <c r="F887" s="92"/>
      <c r="G887" s="92"/>
      <c r="H887" s="92"/>
      <c r="AF887" s="105"/>
    </row>
    <row r="888" spans="4:32" ht="15.75">
      <c r="D888" s="92"/>
      <c r="E888" s="92"/>
      <c r="F888" s="92"/>
      <c r="G888" s="92"/>
      <c r="H888" s="92"/>
      <c r="AF888" s="105"/>
    </row>
    <row r="889" spans="4:32" ht="15.75">
      <c r="D889" s="92"/>
      <c r="E889" s="92"/>
      <c r="F889" s="92"/>
      <c r="G889" s="92"/>
      <c r="H889" s="92"/>
      <c r="AF889" s="105"/>
    </row>
    <row r="890" spans="4:32" ht="15.75">
      <c r="D890" s="92"/>
      <c r="E890" s="92"/>
      <c r="F890" s="92"/>
      <c r="G890" s="92"/>
      <c r="H890" s="92"/>
      <c r="AF890" s="105"/>
    </row>
    <row r="891" spans="4:32" ht="15.75">
      <c r="D891" s="92"/>
      <c r="E891" s="92"/>
      <c r="F891" s="92"/>
      <c r="G891" s="92"/>
      <c r="H891" s="92"/>
      <c r="AF891" s="105"/>
    </row>
    <row r="892" spans="4:32" ht="15.75">
      <c r="D892" s="92"/>
      <c r="E892" s="92"/>
      <c r="F892" s="92"/>
      <c r="G892" s="92"/>
      <c r="H892" s="92"/>
      <c r="AF892" s="105"/>
    </row>
    <row r="893" spans="4:32" ht="15.75">
      <c r="D893" s="92"/>
      <c r="E893" s="92"/>
      <c r="F893" s="92"/>
      <c r="G893" s="92"/>
      <c r="H893" s="92"/>
      <c r="AF893" s="105"/>
    </row>
    <row r="894" spans="4:32" ht="15.75">
      <c r="D894" s="92"/>
      <c r="E894" s="92"/>
      <c r="F894" s="92"/>
      <c r="G894" s="92"/>
      <c r="H894" s="92"/>
      <c r="AF894" s="105"/>
    </row>
    <row r="895" spans="4:32" ht="15.75">
      <c r="D895" s="92"/>
      <c r="E895" s="92"/>
      <c r="F895" s="92"/>
      <c r="G895" s="92"/>
      <c r="H895" s="92"/>
      <c r="AF895" s="105"/>
    </row>
    <row r="896" spans="4:32" ht="15.75">
      <c r="D896" s="92"/>
      <c r="E896" s="92"/>
      <c r="F896" s="92"/>
      <c r="G896" s="92"/>
      <c r="H896" s="92"/>
      <c r="AF896" s="105"/>
    </row>
    <row r="897" spans="4:32" ht="15.75">
      <c r="D897" s="92"/>
      <c r="E897" s="92"/>
      <c r="F897" s="92"/>
      <c r="G897" s="92"/>
      <c r="H897" s="92"/>
      <c r="AF897" s="105"/>
    </row>
    <row r="898" spans="4:32" ht="15.75">
      <c r="D898" s="92"/>
      <c r="E898" s="92"/>
      <c r="F898" s="92"/>
      <c r="G898" s="92"/>
      <c r="H898" s="92"/>
      <c r="AF898" s="105"/>
    </row>
    <row r="899" spans="4:32" ht="15.75">
      <c r="D899" s="92"/>
      <c r="E899" s="92"/>
      <c r="F899" s="92"/>
      <c r="G899" s="92"/>
      <c r="H899" s="92"/>
      <c r="AF899" s="105"/>
    </row>
    <row r="900" spans="4:32" ht="15.75">
      <c r="D900" s="92"/>
      <c r="E900" s="92"/>
      <c r="F900" s="92"/>
      <c r="G900" s="92"/>
      <c r="H900" s="92"/>
      <c r="AF900" s="105"/>
    </row>
    <row r="901" spans="4:32" ht="15.75">
      <c r="D901" s="92"/>
      <c r="E901" s="92"/>
      <c r="F901" s="92"/>
      <c r="G901" s="92"/>
      <c r="H901" s="92"/>
      <c r="AF901" s="105"/>
    </row>
    <row r="902" spans="4:32" ht="15.75">
      <c r="D902" s="92"/>
      <c r="E902" s="92"/>
      <c r="F902" s="92"/>
      <c r="G902" s="92"/>
      <c r="H902" s="92"/>
      <c r="AF902" s="105"/>
    </row>
    <row r="903" spans="4:32" ht="15.75">
      <c r="D903" s="92"/>
      <c r="E903" s="92"/>
      <c r="F903" s="92"/>
      <c r="G903" s="92"/>
      <c r="H903" s="92"/>
      <c r="AF903" s="105"/>
    </row>
    <row r="904" spans="4:32" ht="15.75">
      <c r="D904" s="92"/>
      <c r="E904" s="92"/>
      <c r="F904" s="92"/>
      <c r="G904" s="92"/>
      <c r="H904" s="92"/>
      <c r="AF904" s="105"/>
    </row>
    <row r="905" spans="4:32" ht="15.75">
      <c r="D905" s="92"/>
      <c r="E905" s="92"/>
      <c r="F905" s="92"/>
      <c r="G905" s="92"/>
      <c r="H905" s="92"/>
      <c r="AF905" s="105"/>
    </row>
    <row r="906" spans="4:32" ht="15.75">
      <c r="D906" s="92"/>
      <c r="E906" s="92"/>
      <c r="F906" s="92"/>
      <c r="G906" s="92"/>
      <c r="H906" s="92"/>
      <c r="AF906" s="105"/>
    </row>
    <row r="907" spans="4:32" ht="15.75">
      <c r="D907" s="92"/>
      <c r="E907" s="92"/>
      <c r="F907" s="92"/>
      <c r="G907" s="92"/>
      <c r="H907" s="92"/>
      <c r="AF907" s="105"/>
    </row>
    <row r="908" spans="4:32" ht="15.75">
      <c r="D908" s="92"/>
      <c r="E908" s="92"/>
      <c r="F908" s="92"/>
      <c r="G908" s="92"/>
      <c r="H908" s="92"/>
      <c r="AF908" s="105"/>
    </row>
    <row r="909" spans="4:32" ht="15.75">
      <c r="D909" s="92"/>
      <c r="E909" s="92"/>
      <c r="F909" s="92"/>
      <c r="G909" s="92"/>
      <c r="H909" s="92"/>
      <c r="AF909" s="105"/>
    </row>
    <row r="910" spans="4:32" ht="15.75">
      <c r="D910" s="92"/>
      <c r="E910" s="92"/>
      <c r="F910" s="92"/>
      <c r="G910" s="92"/>
      <c r="H910" s="92"/>
      <c r="AF910" s="105"/>
    </row>
    <row r="911" spans="4:32" ht="15.75">
      <c r="D911" s="92"/>
      <c r="E911" s="92"/>
      <c r="F911" s="92"/>
      <c r="G911" s="92"/>
      <c r="H911" s="92"/>
      <c r="AF911" s="105"/>
    </row>
    <row r="912" spans="4:32" ht="15.75">
      <c r="D912" s="92"/>
      <c r="E912" s="92"/>
      <c r="F912" s="92"/>
      <c r="G912" s="92"/>
      <c r="H912" s="92"/>
      <c r="AF912" s="105"/>
    </row>
    <row r="913" spans="4:32" ht="15.75">
      <c r="D913" s="92"/>
      <c r="E913" s="92"/>
      <c r="F913" s="92"/>
      <c r="G913" s="92"/>
      <c r="H913" s="92"/>
      <c r="AF913" s="105"/>
    </row>
    <row r="914" spans="4:32" ht="15.75">
      <c r="D914" s="92"/>
      <c r="E914" s="92"/>
      <c r="F914" s="92"/>
      <c r="G914" s="92"/>
      <c r="H914" s="92"/>
      <c r="AF914" s="105"/>
    </row>
    <row r="915" spans="4:32" ht="15.75">
      <c r="D915" s="92"/>
      <c r="E915" s="92"/>
      <c r="F915" s="92"/>
      <c r="G915" s="92"/>
      <c r="H915" s="92"/>
      <c r="AF915" s="105"/>
    </row>
    <row r="916" spans="4:32" ht="15.75">
      <c r="D916" s="92"/>
      <c r="E916" s="92"/>
      <c r="F916" s="92"/>
      <c r="G916" s="92"/>
      <c r="H916" s="92"/>
      <c r="AF916" s="105"/>
    </row>
    <row r="917" spans="4:32" ht="15.75">
      <c r="D917" s="92"/>
      <c r="E917" s="92"/>
      <c r="F917" s="92"/>
      <c r="G917" s="92"/>
      <c r="H917" s="92"/>
      <c r="AF917" s="105"/>
    </row>
    <row r="918" spans="4:32" ht="15.75">
      <c r="D918" s="92"/>
      <c r="E918" s="92"/>
      <c r="F918" s="92"/>
      <c r="G918" s="92"/>
      <c r="H918" s="92"/>
      <c r="AF918" s="105"/>
    </row>
    <row r="919" spans="4:32" ht="15.75">
      <c r="D919" s="92"/>
      <c r="E919" s="92"/>
      <c r="F919" s="92"/>
      <c r="G919" s="92"/>
      <c r="H919" s="92"/>
      <c r="AF919" s="105"/>
    </row>
    <row r="920" spans="4:32" ht="15.75">
      <c r="D920" s="92"/>
      <c r="E920" s="92"/>
      <c r="F920" s="92"/>
      <c r="G920" s="92"/>
      <c r="H920" s="92"/>
      <c r="AF920" s="105"/>
    </row>
    <row r="921" spans="4:32" ht="15.75">
      <c r="D921" s="92"/>
      <c r="E921" s="92"/>
      <c r="F921" s="92"/>
      <c r="G921" s="92"/>
      <c r="H921" s="92"/>
      <c r="AF921" s="105"/>
    </row>
    <row r="922" spans="4:32" ht="15.75">
      <c r="D922" s="92"/>
      <c r="E922" s="92"/>
      <c r="F922" s="92"/>
      <c r="G922" s="92"/>
      <c r="H922" s="92"/>
      <c r="AF922" s="105"/>
    </row>
    <row r="923" spans="4:32" ht="15.75">
      <c r="D923" s="92"/>
      <c r="E923" s="92"/>
      <c r="F923" s="92"/>
      <c r="G923" s="92"/>
      <c r="H923" s="92"/>
      <c r="AF923" s="105"/>
    </row>
    <row r="924" spans="4:32" ht="15.75">
      <c r="D924" s="92"/>
      <c r="E924" s="92"/>
      <c r="F924" s="92"/>
      <c r="G924" s="92"/>
      <c r="H924" s="92"/>
      <c r="AF924" s="105"/>
    </row>
    <row r="925" spans="4:32" ht="15.75">
      <c r="D925" s="92"/>
      <c r="E925" s="92"/>
      <c r="F925" s="92"/>
      <c r="G925" s="92"/>
      <c r="H925" s="92"/>
      <c r="AF925" s="105"/>
    </row>
    <row r="926" spans="4:32" ht="15.75">
      <c r="D926" s="92"/>
      <c r="E926" s="92"/>
      <c r="F926" s="92"/>
      <c r="G926" s="92"/>
      <c r="H926" s="92"/>
      <c r="AF926" s="105"/>
    </row>
    <row r="927" spans="4:32" ht="15.75">
      <c r="D927" s="92"/>
      <c r="E927" s="92"/>
      <c r="F927" s="92"/>
      <c r="G927" s="92"/>
      <c r="H927" s="92"/>
      <c r="AF927" s="105"/>
    </row>
    <row r="928" spans="4:32" ht="15.75">
      <c r="D928" s="92"/>
      <c r="E928" s="92"/>
      <c r="F928" s="92"/>
      <c r="G928" s="92"/>
      <c r="H928" s="92"/>
      <c r="AF928" s="105"/>
    </row>
    <row r="929" spans="4:32" ht="15.75">
      <c r="D929" s="92"/>
      <c r="E929" s="92"/>
      <c r="F929" s="92"/>
      <c r="G929" s="92"/>
      <c r="H929" s="92"/>
      <c r="AF929" s="105"/>
    </row>
    <row r="930" spans="4:32" ht="15.75">
      <c r="D930" s="92"/>
      <c r="E930" s="92"/>
      <c r="F930" s="92"/>
      <c r="G930" s="92"/>
      <c r="H930" s="92"/>
      <c r="AF930" s="105"/>
    </row>
    <row r="931" spans="4:32" ht="15.75">
      <c r="D931" s="92"/>
      <c r="E931" s="92"/>
      <c r="F931" s="92"/>
      <c r="G931" s="92"/>
      <c r="H931" s="92"/>
      <c r="AF931" s="105"/>
    </row>
    <row r="932" spans="4:32" ht="15.75">
      <c r="D932" s="92"/>
      <c r="E932" s="92"/>
      <c r="F932" s="92"/>
      <c r="G932" s="92"/>
      <c r="H932" s="92"/>
      <c r="AF932" s="105"/>
    </row>
    <row r="933" spans="4:32" ht="15.75">
      <c r="D933" s="92"/>
      <c r="E933" s="92"/>
      <c r="F933" s="92"/>
      <c r="G933" s="92"/>
      <c r="H933" s="92"/>
      <c r="AF933" s="105"/>
    </row>
    <row r="934" spans="4:32" ht="15.75">
      <c r="D934" s="92"/>
      <c r="E934" s="92"/>
      <c r="F934" s="92"/>
      <c r="G934" s="92"/>
      <c r="H934" s="92"/>
      <c r="AF934" s="105"/>
    </row>
    <row r="935" spans="4:32" ht="15.75">
      <c r="D935" s="92"/>
      <c r="E935" s="92"/>
      <c r="F935" s="92"/>
      <c r="G935" s="92"/>
      <c r="H935" s="92"/>
      <c r="AF935" s="105"/>
    </row>
    <row r="936" spans="4:32" ht="15.75">
      <c r="D936" s="92"/>
      <c r="E936" s="92"/>
      <c r="F936" s="92"/>
      <c r="G936" s="92"/>
      <c r="H936" s="92"/>
      <c r="AF936" s="105"/>
    </row>
    <row r="937" spans="4:32" ht="15.75">
      <c r="D937" s="92"/>
      <c r="E937" s="92"/>
      <c r="F937" s="92"/>
      <c r="G937" s="92"/>
      <c r="H937" s="92"/>
      <c r="AF937" s="105"/>
    </row>
    <row r="938" spans="4:32" ht="15.75">
      <c r="D938" s="92"/>
      <c r="E938" s="92"/>
      <c r="F938" s="92"/>
      <c r="G938" s="92"/>
      <c r="H938" s="92"/>
      <c r="AF938" s="105"/>
    </row>
    <row r="939" spans="4:32" ht="15.75">
      <c r="D939" s="92"/>
      <c r="E939" s="92"/>
      <c r="F939" s="92"/>
      <c r="G939" s="92"/>
      <c r="H939" s="92"/>
      <c r="AF939" s="105"/>
    </row>
    <row r="940" spans="4:32" ht="15.75">
      <c r="D940" s="92"/>
      <c r="E940" s="92"/>
      <c r="F940" s="92"/>
      <c r="G940" s="92"/>
      <c r="H940" s="92"/>
      <c r="AF940" s="105"/>
    </row>
    <row r="941" spans="4:32" ht="15.75">
      <c r="D941" s="92"/>
      <c r="E941" s="92"/>
      <c r="F941" s="92"/>
      <c r="G941" s="92"/>
      <c r="H941" s="92"/>
      <c r="AF941" s="105"/>
    </row>
    <row r="942" spans="4:32" ht="15.75">
      <c r="D942" s="92"/>
      <c r="E942" s="92"/>
      <c r="F942" s="92"/>
      <c r="G942" s="92"/>
      <c r="H942" s="92"/>
      <c r="AF942" s="105"/>
    </row>
    <row r="943" spans="4:32" ht="15.75">
      <c r="D943" s="92"/>
      <c r="E943" s="92"/>
      <c r="F943" s="92"/>
      <c r="G943" s="92"/>
      <c r="H943" s="92"/>
      <c r="AF943" s="105"/>
    </row>
    <row r="944" spans="4:32" ht="15.75">
      <c r="D944" s="92"/>
      <c r="E944" s="92"/>
      <c r="F944" s="92"/>
      <c r="G944" s="92"/>
      <c r="H944" s="92"/>
      <c r="AF944" s="105"/>
    </row>
    <row r="945" spans="4:32" ht="15.75">
      <c r="D945" s="92"/>
      <c r="E945" s="92"/>
      <c r="F945" s="92"/>
      <c r="G945" s="92"/>
      <c r="H945" s="92"/>
      <c r="AF945" s="105"/>
    </row>
    <row r="946" spans="4:32" ht="15.75">
      <c r="D946" s="92"/>
      <c r="E946" s="92"/>
      <c r="F946" s="92"/>
      <c r="G946" s="92"/>
      <c r="H946" s="92"/>
      <c r="AF946" s="105"/>
    </row>
    <row r="947" spans="4:32" ht="15.75">
      <c r="D947" s="92"/>
      <c r="E947" s="92"/>
      <c r="F947" s="92"/>
      <c r="G947" s="92"/>
      <c r="H947" s="92"/>
      <c r="AF947" s="105"/>
    </row>
    <row r="948" spans="4:32" ht="15.75">
      <c r="D948" s="92"/>
      <c r="E948" s="92"/>
      <c r="F948" s="92"/>
      <c r="G948" s="92"/>
      <c r="H948" s="92"/>
      <c r="AF948" s="105"/>
    </row>
    <row r="949" spans="4:32" ht="15.75">
      <c r="D949" s="92"/>
      <c r="E949" s="92"/>
      <c r="F949" s="92"/>
      <c r="G949" s="92"/>
      <c r="H949" s="92"/>
      <c r="AF949" s="105"/>
    </row>
    <row r="950" spans="4:32" ht="15.75">
      <c r="D950" s="92"/>
      <c r="E950" s="92"/>
      <c r="F950" s="92"/>
      <c r="G950" s="92"/>
      <c r="H950" s="92"/>
      <c r="AF950" s="105"/>
    </row>
    <row r="951" spans="4:32" ht="15.75">
      <c r="D951" s="92"/>
      <c r="E951" s="92"/>
      <c r="F951" s="92"/>
      <c r="G951" s="92"/>
      <c r="H951" s="92"/>
      <c r="AF951" s="105"/>
    </row>
    <row r="952" spans="4:32" ht="15.75">
      <c r="D952" s="92"/>
      <c r="E952" s="92"/>
      <c r="F952" s="92"/>
      <c r="G952" s="92"/>
      <c r="H952" s="92"/>
      <c r="AF952" s="105"/>
    </row>
    <row r="953" spans="4:32" ht="15.75">
      <c r="D953" s="92"/>
      <c r="E953" s="92"/>
      <c r="F953" s="92"/>
      <c r="G953" s="92"/>
      <c r="H953" s="92"/>
      <c r="AF953" s="105"/>
    </row>
    <row r="954" spans="4:32" ht="15.75">
      <c r="D954" s="92"/>
      <c r="E954" s="92"/>
      <c r="F954" s="92"/>
      <c r="G954" s="92"/>
      <c r="H954" s="92"/>
      <c r="AF954" s="105"/>
    </row>
    <row r="955" spans="4:32" ht="15.75">
      <c r="D955" s="92"/>
      <c r="E955" s="92"/>
      <c r="F955" s="92"/>
      <c r="G955" s="92"/>
      <c r="H955" s="92"/>
      <c r="AF955" s="105"/>
    </row>
    <row r="956" spans="4:32" ht="15.75">
      <c r="D956" s="92"/>
      <c r="E956" s="92"/>
      <c r="F956" s="92"/>
      <c r="G956" s="92"/>
      <c r="H956" s="92"/>
      <c r="AF956" s="105"/>
    </row>
    <row r="957" spans="4:32" ht="15.75">
      <c r="D957" s="92"/>
      <c r="E957" s="92"/>
      <c r="F957" s="92"/>
      <c r="G957" s="92"/>
      <c r="H957" s="92"/>
      <c r="AF957" s="105"/>
    </row>
    <row r="958" spans="4:32" ht="15.75">
      <c r="D958" s="92"/>
      <c r="E958" s="92"/>
      <c r="F958" s="92"/>
      <c r="G958" s="92"/>
      <c r="H958" s="92"/>
      <c r="AF958" s="105"/>
    </row>
    <row r="959" spans="4:32" ht="15.75">
      <c r="D959" s="92"/>
      <c r="E959" s="92"/>
      <c r="F959" s="92"/>
      <c r="G959" s="92"/>
      <c r="H959" s="92"/>
      <c r="AF959" s="105"/>
    </row>
  </sheetData>
  <mergeCells count="35">
    <mergeCell ref="D4:H4"/>
    <mergeCell ref="D5:H5"/>
    <mergeCell ref="D6:H6"/>
    <mergeCell ref="D7:H7"/>
    <mergeCell ref="D13:H13"/>
    <mergeCell ref="B21:B22"/>
    <mergeCell ref="B23:B24"/>
    <mergeCell ref="B25:B28"/>
    <mergeCell ref="D16:H16"/>
    <mergeCell ref="D17:H17"/>
    <mergeCell ref="D18:H18"/>
    <mergeCell ref="D19:H19"/>
    <mergeCell ref="D20:H20"/>
    <mergeCell ref="D21:H21"/>
    <mergeCell ref="D22:H22"/>
    <mergeCell ref="S33:AD33"/>
    <mergeCell ref="S34:AD34"/>
    <mergeCell ref="D127:G127"/>
    <mergeCell ref="I127:T127"/>
    <mergeCell ref="D14:H14"/>
    <mergeCell ref="D15:H15"/>
    <mergeCell ref="D133:G133"/>
    <mergeCell ref="D23:H23"/>
    <mergeCell ref="D24:H24"/>
    <mergeCell ref="D25:H25"/>
    <mergeCell ref="D26:H26"/>
    <mergeCell ref="D27:H27"/>
    <mergeCell ref="D28:H28"/>
    <mergeCell ref="D29:H29"/>
    <mergeCell ref="D128:G128"/>
    <mergeCell ref="D129:G129"/>
    <mergeCell ref="D130:G130"/>
    <mergeCell ref="D131:G131"/>
    <mergeCell ref="D132:G132"/>
    <mergeCell ref="D30:H30"/>
  </mergeCells>
  <dataValidations count="18">
    <dataValidation type="list" allowBlank="1" showErrorMessage="1" sqref="D21">
      <formula1>#REF!</formula1>
    </dataValidation>
    <dataValidation type="list" allowBlank="1" showErrorMessage="1" sqref="D23">
      <formula1>#REF!</formula1>
    </dataValidation>
    <dataValidation type="list" allowBlank="1" showErrorMessage="1" sqref="D27">
      <formula1>#REF!</formula1>
    </dataValidation>
    <dataValidation type="list" allowBlank="1" showErrorMessage="1" sqref="D18">
      <formula1>#REF!</formula1>
    </dataValidation>
    <dataValidation type="list" allowBlank="1" showErrorMessage="1" sqref="D22">
      <formula1>#REF!</formula1>
    </dataValidation>
    <dataValidation type="list" allowBlank="1" showErrorMessage="1" sqref="D17">
      <formula1>#REF!</formula1>
    </dataValidation>
    <dataValidation type="list" allowBlank="1" showErrorMessage="1" sqref="B35 D129">
      <formula1>#REF!</formula1>
    </dataValidation>
    <dataValidation type="list" allowBlank="1" showErrorMessage="1" sqref="D15">
      <formula1>#REF!</formula1>
    </dataValidation>
    <dataValidation type="list" allowBlank="1" showErrorMessage="1" sqref="B53 B55 B58">
      <formula1>#REF!</formula1>
    </dataValidation>
    <dataValidation type="list" allowBlank="1" showErrorMessage="1" sqref="D14">
      <formula1>#REF!</formula1>
    </dataValidation>
    <dataValidation type="list" allowBlank="1" showErrorMessage="1" sqref="D24">
      <formula1>#REF!</formula1>
    </dataValidation>
    <dataValidation type="list" allowBlank="1" showErrorMessage="1" sqref="D131">
      <formula1>#REF!</formula1>
    </dataValidation>
    <dataValidation type="list" allowBlank="1" showErrorMessage="1" sqref="D25">
      <formula1>#REF!</formula1>
    </dataValidation>
    <dataValidation type="list" allowBlank="1" showErrorMessage="1" sqref="D128">
      <formula1>#REF!</formula1>
    </dataValidation>
    <dataValidation type="list" allowBlank="1" showErrorMessage="1" sqref="D127">
      <formula1>#REF!</formula1>
    </dataValidation>
    <dataValidation type="list" allowBlank="1" showErrorMessage="1" sqref="D20">
      <formula1>#REF!</formula1>
    </dataValidation>
    <dataValidation type="list" allowBlank="1" showErrorMessage="1" sqref="D16">
      <formula1>#REF!</formula1>
    </dataValidation>
    <dataValidation type="list" allowBlank="1" showErrorMessage="1" sqref="D26">
      <formula1>#REF!</formula1>
    </dataValidation>
  </dataValidations>
  <printOptions gridLines="1"/>
  <pageMargins left="0.31496062992125984" right="0.31496062992125984" top="0" bottom="0.74803149606299213" header="0" footer="0"/>
  <pageSetup paperSize="5" scale="45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baseColWidth="10" defaultColWidth="14.42578125" defaultRowHeight="15" customHeight="1"/>
  <cols>
    <col min="2" max="2" width="45" customWidth="1"/>
    <col min="3" max="3" width="39.140625" customWidth="1"/>
  </cols>
  <sheetData>
    <row r="1" spans="1:26" ht="15" customHeight="1">
      <c r="A1" s="140" t="s">
        <v>405</v>
      </c>
      <c r="B1" s="141" t="s">
        <v>43</v>
      </c>
      <c r="C1" s="142" t="s">
        <v>44</v>
      </c>
      <c r="D1" s="143" t="s">
        <v>53</v>
      </c>
      <c r="E1" s="143" t="s">
        <v>71</v>
      </c>
      <c r="F1" s="144" t="s">
        <v>55</v>
      </c>
      <c r="G1" s="145" t="s">
        <v>406</v>
      </c>
      <c r="H1" s="145" t="s">
        <v>407</v>
      </c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</row>
    <row r="2" spans="1:26" ht="15" customHeight="1">
      <c r="A2" s="144"/>
      <c r="B2" s="141" t="s">
        <v>74</v>
      </c>
      <c r="C2" s="142" t="s">
        <v>75</v>
      </c>
      <c r="D2" s="143" t="s">
        <v>84</v>
      </c>
      <c r="E2" s="143">
        <v>22787</v>
      </c>
      <c r="F2" s="144">
        <v>37731</v>
      </c>
      <c r="G2" s="146" t="s">
        <v>408</v>
      </c>
      <c r="H2" s="147" t="b">
        <v>1</v>
      </c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</row>
    <row r="3" spans="1:26" ht="15" customHeight="1">
      <c r="A3" s="144"/>
      <c r="B3" s="141" t="s">
        <v>88</v>
      </c>
      <c r="C3" s="142" t="s">
        <v>89</v>
      </c>
      <c r="D3" s="143" t="s">
        <v>84</v>
      </c>
      <c r="E3" s="143">
        <v>0</v>
      </c>
      <c r="F3" s="144">
        <v>1503807</v>
      </c>
      <c r="G3" s="146" t="s">
        <v>408</v>
      </c>
      <c r="H3" s="148" t="b">
        <v>0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</row>
    <row r="4" spans="1:26" ht="15" customHeight="1">
      <c r="A4" s="144"/>
      <c r="B4" s="141" t="s">
        <v>99</v>
      </c>
      <c r="C4" s="142" t="s">
        <v>100</v>
      </c>
      <c r="D4" s="143" t="s">
        <v>108</v>
      </c>
      <c r="E4" s="143"/>
      <c r="F4" s="144">
        <v>0.9</v>
      </c>
      <c r="G4" s="146" t="s">
        <v>408</v>
      </c>
      <c r="H4" s="149" t="b">
        <v>0</v>
      </c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</row>
    <row r="5" spans="1:26" ht="15" customHeight="1">
      <c r="A5" s="144" t="s">
        <v>74</v>
      </c>
      <c r="B5" s="141" t="s">
        <v>110</v>
      </c>
      <c r="C5" s="142" t="s">
        <v>111</v>
      </c>
      <c r="D5" s="143" t="s">
        <v>108</v>
      </c>
      <c r="E5" s="143">
        <v>463</v>
      </c>
      <c r="F5" s="144">
        <v>7450</v>
      </c>
      <c r="G5" s="146" t="s">
        <v>408</v>
      </c>
      <c r="H5" s="150" t="b">
        <v>1</v>
      </c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</row>
    <row r="6" spans="1:26" ht="15" customHeight="1">
      <c r="A6" s="144" t="s">
        <v>88</v>
      </c>
      <c r="B6" s="141" t="s">
        <v>120</v>
      </c>
      <c r="C6" s="142" t="s">
        <v>121</v>
      </c>
      <c r="D6" s="143" t="s">
        <v>108</v>
      </c>
      <c r="E6" s="143">
        <v>153</v>
      </c>
      <c r="F6" s="144">
        <v>640</v>
      </c>
      <c r="G6" s="146" t="s">
        <v>408</v>
      </c>
      <c r="H6" s="147" t="b">
        <v>1</v>
      </c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</row>
    <row r="7" spans="1:26" ht="15" customHeight="1">
      <c r="A7" s="144" t="s">
        <v>129</v>
      </c>
      <c r="B7" s="141" t="s">
        <v>130</v>
      </c>
      <c r="C7" s="142" t="s">
        <v>131</v>
      </c>
      <c r="D7" s="143" t="s">
        <v>108</v>
      </c>
      <c r="E7" s="143">
        <v>3448</v>
      </c>
      <c r="F7" s="144">
        <v>5000</v>
      </c>
      <c r="G7" s="146" t="s">
        <v>408</v>
      </c>
      <c r="H7" s="150" t="b">
        <v>1</v>
      </c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</row>
    <row r="8" spans="1:26" ht="15" customHeight="1">
      <c r="A8" s="144" t="s">
        <v>74</v>
      </c>
      <c r="B8" s="141" t="s">
        <v>139</v>
      </c>
      <c r="C8" s="142" t="s">
        <v>140</v>
      </c>
      <c r="D8" s="143" t="s">
        <v>108</v>
      </c>
      <c r="E8" s="143">
        <v>7578</v>
      </c>
      <c r="F8" s="144">
        <v>8791</v>
      </c>
      <c r="G8" s="146" t="s">
        <v>408</v>
      </c>
      <c r="H8" s="147" t="b">
        <v>1</v>
      </c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</row>
    <row r="9" spans="1:26" ht="15" customHeight="1">
      <c r="A9" s="144" t="s">
        <v>88</v>
      </c>
      <c r="B9" s="141" t="s">
        <v>147</v>
      </c>
      <c r="C9" s="142" t="s">
        <v>148</v>
      </c>
      <c r="D9" s="143" t="s">
        <v>108</v>
      </c>
      <c r="E9" s="143">
        <v>0</v>
      </c>
      <c r="F9" s="144">
        <v>1190350</v>
      </c>
      <c r="G9" s="146" t="s">
        <v>408</v>
      </c>
      <c r="H9" s="150" t="b">
        <v>1</v>
      </c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</row>
    <row r="10" spans="1:26" ht="15" customHeight="1">
      <c r="A10" s="144" t="s">
        <v>88</v>
      </c>
      <c r="B10" s="141" t="s">
        <v>156</v>
      </c>
      <c r="C10" s="142" t="s">
        <v>157</v>
      </c>
      <c r="D10" s="143" t="s">
        <v>108</v>
      </c>
      <c r="E10" s="143">
        <v>6573</v>
      </c>
      <c r="F10" s="144">
        <v>26292</v>
      </c>
      <c r="G10" s="146" t="s">
        <v>408</v>
      </c>
      <c r="H10" s="147" t="b">
        <v>1</v>
      </c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</row>
    <row r="11" spans="1:26" ht="15" customHeight="1">
      <c r="A11" s="144" t="s">
        <v>88</v>
      </c>
      <c r="B11" s="141" t="s">
        <v>163</v>
      </c>
      <c r="C11" s="142" t="s">
        <v>164</v>
      </c>
      <c r="D11" s="143" t="s">
        <v>108</v>
      </c>
      <c r="E11" s="143">
        <v>1005</v>
      </c>
      <c r="F11" s="144">
        <v>4020</v>
      </c>
      <c r="G11" s="146" t="s">
        <v>408</v>
      </c>
      <c r="H11" s="150" t="b">
        <v>1</v>
      </c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</row>
    <row r="12" spans="1:26" ht="15" customHeight="1">
      <c r="A12" s="144" t="s">
        <v>129</v>
      </c>
      <c r="B12" s="141" t="s">
        <v>168</v>
      </c>
      <c r="C12" s="142" t="s">
        <v>169</v>
      </c>
      <c r="D12" s="143" t="s">
        <v>108</v>
      </c>
      <c r="E12" s="143">
        <v>1940</v>
      </c>
      <c r="F12" s="144">
        <v>6000</v>
      </c>
      <c r="G12" s="146" t="s">
        <v>408</v>
      </c>
      <c r="H12" s="147" t="b">
        <v>1</v>
      </c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</row>
    <row r="13" spans="1:26" ht="15" customHeight="1">
      <c r="A13" s="144" t="s">
        <v>74</v>
      </c>
      <c r="B13" s="141" t="s">
        <v>177</v>
      </c>
      <c r="C13" s="142" t="s">
        <v>178</v>
      </c>
      <c r="D13" s="143" t="s">
        <v>184</v>
      </c>
      <c r="E13" s="143">
        <v>2292</v>
      </c>
      <c r="F13" s="144">
        <v>850</v>
      </c>
      <c r="G13" s="151">
        <f>E13/3</f>
        <v>764</v>
      </c>
      <c r="H13" s="150" t="b">
        <v>1</v>
      </c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</row>
    <row r="14" spans="1:26" ht="15" customHeight="1">
      <c r="A14" s="144" t="s">
        <v>88</v>
      </c>
      <c r="B14" s="141" t="s">
        <v>187</v>
      </c>
      <c r="C14" s="142" t="s">
        <v>188</v>
      </c>
      <c r="D14" s="143" t="s">
        <v>108</v>
      </c>
      <c r="E14" s="143">
        <v>4149</v>
      </c>
      <c r="F14" s="144">
        <v>15000</v>
      </c>
      <c r="G14" s="146" t="s">
        <v>408</v>
      </c>
      <c r="H14" s="147" t="b">
        <v>1</v>
      </c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</row>
    <row r="15" spans="1:26" ht="15" customHeight="1">
      <c r="A15" s="144" t="s">
        <v>88</v>
      </c>
      <c r="B15" s="141" t="s">
        <v>194</v>
      </c>
      <c r="C15" s="142" t="s">
        <v>195</v>
      </c>
      <c r="D15" s="143" t="s">
        <v>108</v>
      </c>
      <c r="E15" s="143">
        <v>6869</v>
      </c>
      <c r="F15" s="144">
        <v>29000</v>
      </c>
      <c r="G15" s="146" t="s">
        <v>408</v>
      </c>
      <c r="H15" s="150" t="b">
        <v>1</v>
      </c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</row>
    <row r="16" spans="1:26" ht="15" customHeight="1">
      <c r="A16" s="144" t="s">
        <v>74</v>
      </c>
      <c r="B16" s="141" t="s">
        <v>203</v>
      </c>
      <c r="C16" s="142" t="s">
        <v>204</v>
      </c>
      <c r="D16" s="143" t="s">
        <v>184</v>
      </c>
      <c r="E16" s="143">
        <v>1530</v>
      </c>
      <c r="F16" s="144">
        <v>500</v>
      </c>
      <c r="G16" s="151">
        <f>E16/3</f>
        <v>510</v>
      </c>
      <c r="H16" s="147" t="b">
        <v>1</v>
      </c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</row>
    <row r="17" spans="1:26" ht="15" customHeight="1">
      <c r="A17" s="144" t="s">
        <v>88</v>
      </c>
      <c r="B17" s="141" t="s">
        <v>210</v>
      </c>
      <c r="C17" s="142" t="s">
        <v>211</v>
      </c>
      <c r="D17" s="143" t="s">
        <v>108</v>
      </c>
      <c r="E17" s="143">
        <v>65280</v>
      </c>
      <c r="F17" s="144">
        <v>224400</v>
      </c>
      <c r="G17" s="146" t="s">
        <v>408</v>
      </c>
      <c r="H17" s="150" t="b">
        <v>1</v>
      </c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</row>
    <row r="18" spans="1:26" ht="15" customHeight="1">
      <c r="A18" s="144" t="s">
        <v>74</v>
      </c>
      <c r="B18" s="141" t="s">
        <v>217</v>
      </c>
      <c r="C18" s="152" t="s">
        <v>218</v>
      </c>
      <c r="D18" s="143" t="s">
        <v>184</v>
      </c>
      <c r="E18" s="143">
        <v>5082</v>
      </c>
      <c r="F18" s="144">
        <v>1300</v>
      </c>
      <c r="G18" s="151">
        <f t="shared" ref="G18:G19" si="0">E18/3</f>
        <v>1694</v>
      </c>
      <c r="H18" s="147" t="b">
        <v>1</v>
      </c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</row>
    <row r="19" spans="1:26" ht="15" customHeight="1">
      <c r="A19" s="144" t="s">
        <v>88</v>
      </c>
      <c r="B19" s="141" t="s">
        <v>225</v>
      </c>
      <c r="C19" s="152" t="s">
        <v>226</v>
      </c>
      <c r="D19" s="143" t="s">
        <v>184</v>
      </c>
      <c r="E19" s="143">
        <v>876</v>
      </c>
      <c r="F19" s="144">
        <v>260</v>
      </c>
      <c r="G19" s="151">
        <f t="shared" si="0"/>
        <v>292</v>
      </c>
      <c r="H19" s="150" t="b">
        <v>1</v>
      </c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</row>
    <row r="20" spans="1:26" ht="15" customHeight="1">
      <c r="A20" s="144" t="s">
        <v>74</v>
      </c>
      <c r="B20" s="141" t="s">
        <v>233</v>
      </c>
      <c r="C20" s="142" t="s">
        <v>234</v>
      </c>
      <c r="D20" s="143" t="s">
        <v>108</v>
      </c>
      <c r="E20" s="143">
        <v>0</v>
      </c>
      <c r="F20" s="144">
        <v>2030</v>
      </c>
      <c r="G20" s="146" t="s">
        <v>408</v>
      </c>
      <c r="H20" s="147" t="b">
        <v>1</v>
      </c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</row>
    <row r="21" spans="1:26" ht="15" customHeight="1">
      <c r="A21" s="144" t="s">
        <v>88</v>
      </c>
      <c r="B21" s="141" t="s">
        <v>242</v>
      </c>
      <c r="C21" s="142" t="s">
        <v>243</v>
      </c>
      <c r="D21" s="143" t="s">
        <v>108</v>
      </c>
      <c r="E21" s="143">
        <v>297</v>
      </c>
      <c r="F21" s="144">
        <v>1188</v>
      </c>
      <c r="G21" s="146" t="s">
        <v>408</v>
      </c>
      <c r="H21" s="150" t="b">
        <v>1</v>
      </c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</row>
    <row r="22" spans="1:26" ht="15" customHeight="1">
      <c r="A22" s="144" t="s">
        <v>74</v>
      </c>
      <c r="B22" s="141" t="s">
        <v>250</v>
      </c>
      <c r="C22" s="142" t="s">
        <v>251</v>
      </c>
      <c r="D22" s="143" t="s">
        <v>108</v>
      </c>
      <c r="E22" s="143">
        <v>33</v>
      </c>
      <c r="F22" s="144">
        <v>5000</v>
      </c>
      <c r="G22" s="146" t="s">
        <v>408</v>
      </c>
      <c r="H22" s="147" t="b">
        <v>1</v>
      </c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</row>
    <row r="23" spans="1:26" ht="15" customHeight="1">
      <c r="A23" s="144" t="s">
        <v>88</v>
      </c>
      <c r="B23" s="141" t="s">
        <v>257</v>
      </c>
      <c r="C23" s="142" t="s">
        <v>258</v>
      </c>
      <c r="D23" s="143" t="s">
        <v>108</v>
      </c>
      <c r="E23" s="143">
        <v>4</v>
      </c>
      <c r="F23" s="144">
        <v>7</v>
      </c>
      <c r="G23" s="146" t="s">
        <v>408</v>
      </c>
      <c r="H23" s="150" t="b">
        <v>1</v>
      </c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</row>
    <row r="24" spans="1:26" ht="15" customHeight="1">
      <c r="A24" s="144" t="s">
        <v>88</v>
      </c>
      <c r="B24" s="141" t="s">
        <v>266</v>
      </c>
      <c r="C24" s="142" t="s">
        <v>267</v>
      </c>
      <c r="D24" s="143" t="s">
        <v>108</v>
      </c>
      <c r="E24" s="143">
        <v>280</v>
      </c>
      <c r="F24" s="144">
        <v>1100</v>
      </c>
      <c r="G24" s="146" t="s">
        <v>408</v>
      </c>
      <c r="H24" s="147" t="b">
        <v>1</v>
      </c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</row>
    <row r="25" spans="1:26" ht="75.75">
      <c r="A25" s="144" t="s">
        <v>74</v>
      </c>
      <c r="B25" s="141" t="s">
        <v>275</v>
      </c>
      <c r="C25" s="142" t="s">
        <v>276</v>
      </c>
      <c r="D25" s="143" t="s">
        <v>108</v>
      </c>
      <c r="E25" s="143">
        <v>178</v>
      </c>
      <c r="F25" s="144">
        <v>700</v>
      </c>
      <c r="G25" s="146" t="s">
        <v>408</v>
      </c>
      <c r="H25" s="150" t="b">
        <v>1</v>
      </c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</row>
    <row r="26" spans="1:26" ht="45.75">
      <c r="A26" s="144" t="s">
        <v>88</v>
      </c>
      <c r="B26" s="141" t="s">
        <v>284</v>
      </c>
      <c r="C26" s="142" t="s">
        <v>285</v>
      </c>
      <c r="D26" s="143" t="s">
        <v>108</v>
      </c>
      <c r="E26" s="143">
        <v>96</v>
      </c>
      <c r="F26" s="144">
        <v>400</v>
      </c>
      <c r="G26" s="146" t="s">
        <v>408</v>
      </c>
      <c r="H26" s="147" t="b">
        <v>1</v>
      </c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</row>
    <row r="27" spans="1:26" ht="75.75">
      <c r="A27" s="144"/>
      <c r="B27" s="141" t="s">
        <v>294</v>
      </c>
      <c r="C27" s="142" t="s">
        <v>295</v>
      </c>
      <c r="D27" s="143" t="s">
        <v>108</v>
      </c>
      <c r="E27" s="143">
        <v>3</v>
      </c>
      <c r="F27" s="144">
        <v>12</v>
      </c>
      <c r="G27" s="146" t="s">
        <v>408</v>
      </c>
      <c r="H27" s="150" t="b">
        <v>1</v>
      </c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</row>
    <row r="28" spans="1:26" ht="45.75">
      <c r="A28" s="144" t="s">
        <v>74</v>
      </c>
      <c r="B28" s="141" t="s">
        <v>303</v>
      </c>
      <c r="C28" s="142" t="s">
        <v>304</v>
      </c>
      <c r="D28" s="143" t="s">
        <v>184</v>
      </c>
      <c r="E28" s="143">
        <v>243</v>
      </c>
      <c r="F28" s="144">
        <v>110</v>
      </c>
      <c r="G28" s="151">
        <f t="shared" ref="G28:G29" si="1">E28/3</f>
        <v>81</v>
      </c>
      <c r="H28" s="147" t="b">
        <v>1</v>
      </c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</row>
    <row r="29" spans="1:26" ht="45.75">
      <c r="A29" s="144" t="s">
        <v>88</v>
      </c>
      <c r="B29" s="141" t="s">
        <v>311</v>
      </c>
      <c r="C29" s="142" t="s">
        <v>312</v>
      </c>
      <c r="D29" s="143" t="s">
        <v>184</v>
      </c>
      <c r="E29" s="143">
        <v>526</v>
      </c>
      <c r="F29" s="144">
        <v>150</v>
      </c>
      <c r="G29" s="151">
        <f t="shared" si="1"/>
        <v>175.33333333333334</v>
      </c>
      <c r="H29" s="150" t="b">
        <v>1</v>
      </c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</row>
    <row r="30" spans="1:26" ht="18.75">
      <c r="A30" s="144"/>
      <c r="B30" s="141"/>
      <c r="C30" s="142"/>
      <c r="D30" s="143"/>
      <c r="E30" s="143"/>
      <c r="F30" s="144"/>
      <c r="G30" s="151"/>
      <c r="H30" s="151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</row>
    <row r="31" spans="1:26" ht="18.75">
      <c r="A31" s="144"/>
      <c r="B31" s="141"/>
      <c r="C31" s="142"/>
      <c r="D31" s="143"/>
      <c r="E31" s="143"/>
      <c r="F31" s="144"/>
      <c r="G31" s="153"/>
      <c r="H31" s="153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</row>
    <row r="32" spans="1:26" ht="18.75">
      <c r="A32" s="144"/>
      <c r="B32" s="141"/>
      <c r="C32" s="142"/>
      <c r="D32" s="143"/>
      <c r="E32" s="143"/>
      <c r="F32" s="144"/>
      <c r="G32" s="151"/>
      <c r="H32" s="151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</row>
    <row r="33" spans="1:26" ht="18.75">
      <c r="A33" s="144"/>
      <c r="B33" s="141"/>
      <c r="C33" s="142"/>
      <c r="D33" s="143"/>
      <c r="E33" s="143"/>
      <c r="F33" s="144"/>
      <c r="G33" s="153"/>
      <c r="H33" s="153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</row>
    <row r="34" spans="1:26" ht="18.75">
      <c r="A34" s="144"/>
      <c r="B34" s="141"/>
      <c r="C34" s="142"/>
      <c r="D34" s="143"/>
      <c r="E34" s="143"/>
      <c r="F34" s="144"/>
      <c r="G34" s="151"/>
      <c r="H34" s="151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</row>
    <row r="35" spans="1:26" ht="18.75">
      <c r="A35" s="144"/>
      <c r="B35" s="141"/>
      <c r="C35" s="142"/>
      <c r="D35" s="143"/>
      <c r="E35" s="143"/>
      <c r="F35" s="144"/>
      <c r="G35" s="153"/>
      <c r="H35" s="153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</row>
    <row r="36" spans="1:26" ht="18.75">
      <c r="A36" s="144"/>
      <c r="B36" s="141"/>
      <c r="C36" s="142"/>
      <c r="D36" s="143"/>
      <c r="E36" s="143"/>
      <c r="F36" s="144"/>
      <c r="G36" s="151"/>
      <c r="H36" s="151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</row>
    <row r="37" spans="1:26" ht="18.75">
      <c r="A37" s="144"/>
      <c r="B37" s="141"/>
      <c r="C37" s="142"/>
      <c r="D37" s="143"/>
      <c r="E37" s="143"/>
      <c r="F37" s="144"/>
      <c r="G37" s="153"/>
      <c r="H37" s="153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</row>
    <row r="38" spans="1:26" ht="18.75">
      <c r="A38" s="144"/>
      <c r="B38" s="141"/>
      <c r="C38" s="142"/>
      <c r="D38" s="143"/>
      <c r="E38" s="143"/>
      <c r="F38" s="144"/>
      <c r="G38" s="151"/>
      <c r="H38" s="151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</row>
    <row r="39" spans="1:26" ht="18.75">
      <c r="A39" s="144"/>
      <c r="B39" s="141"/>
      <c r="C39" s="142"/>
      <c r="D39" s="143"/>
      <c r="E39" s="143"/>
      <c r="F39" s="144"/>
      <c r="G39" s="153"/>
      <c r="H39" s="153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</row>
    <row r="40" spans="1:26" ht="18.75">
      <c r="A40" s="144"/>
      <c r="B40" s="141"/>
      <c r="C40" s="142"/>
      <c r="D40" s="143"/>
      <c r="E40" s="143"/>
      <c r="F40" s="144"/>
      <c r="G40" s="151"/>
      <c r="H40" s="151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</row>
    <row r="41" spans="1:26" ht="18.75">
      <c r="A41" s="144"/>
      <c r="B41" s="141"/>
      <c r="C41" s="142"/>
      <c r="D41" s="143"/>
      <c r="E41" s="143"/>
      <c r="F41" s="144"/>
      <c r="G41" s="153"/>
      <c r="H41" s="153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</row>
    <row r="42" spans="1:26" ht="18.75">
      <c r="A42" s="144"/>
      <c r="B42" s="141"/>
      <c r="C42" s="142"/>
      <c r="D42" s="143"/>
      <c r="E42" s="143"/>
      <c r="F42" s="144"/>
      <c r="G42" s="151"/>
      <c r="H42" s="151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</row>
    <row r="43" spans="1:26" ht="18.75">
      <c r="A43" s="144"/>
      <c r="B43" s="141"/>
      <c r="C43" s="142"/>
      <c r="D43" s="143"/>
      <c r="E43" s="143"/>
      <c r="F43" s="144"/>
      <c r="G43" s="153"/>
      <c r="H43" s="153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</row>
    <row r="44" spans="1:26" ht="18.75">
      <c r="A44" s="144"/>
      <c r="B44" s="141"/>
      <c r="C44" s="142"/>
      <c r="D44" s="143"/>
      <c r="E44" s="143"/>
      <c r="F44" s="144"/>
      <c r="G44" s="151"/>
      <c r="H44" s="151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</row>
    <row r="45" spans="1:26" ht="18.75">
      <c r="A45" s="144"/>
      <c r="B45" s="141"/>
      <c r="C45" s="142"/>
      <c r="D45" s="143"/>
      <c r="E45" s="143"/>
      <c r="F45" s="144"/>
      <c r="G45" s="153"/>
      <c r="H45" s="153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</row>
    <row r="46" spans="1:26" ht="18.75">
      <c r="A46" s="144"/>
      <c r="B46" s="141"/>
      <c r="C46" s="142"/>
      <c r="D46" s="143"/>
      <c r="E46" s="143"/>
      <c r="F46" s="144"/>
      <c r="G46" s="151"/>
      <c r="H46" s="151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</row>
    <row r="47" spans="1:26" ht="18.75">
      <c r="A47" s="144"/>
      <c r="B47" s="141"/>
      <c r="C47" s="142"/>
      <c r="D47" s="143"/>
      <c r="E47" s="143"/>
      <c r="F47" s="144"/>
      <c r="G47" s="153"/>
      <c r="H47" s="153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</row>
    <row r="48" spans="1:26" ht="18.75">
      <c r="A48" s="144"/>
      <c r="B48" s="141"/>
      <c r="C48" s="142"/>
      <c r="D48" s="143"/>
      <c r="E48" s="143"/>
      <c r="F48" s="144"/>
      <c r="G48" s="151"/>
      <c r="H48" s="151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</row>
    <row r="49" spans="1:26" ht="18.75">
      <c r="A49" s="144"/>
      <c r="B49" s="141"/>
      <c r="C49" s="142"/>
      <c r="D49" s="143"/>
      <c r="E49" s="143"/>
      <c r="F49" s="144"/>
      <c r="G49" s="153"/>
      <c r="H49" s="153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</row>
    <row r="50" spans="1:26" ht="18.75">
      <c r="A50" s="144"/>
      <c r="B50" s="141"/>
      <c r="C50" s="142"/>
      <c r="D50" s="143"/>
      <c r="E50" s="143"/>
      <c r="F50" s="144"/>
      <c r="G50" s="151"/>
      <c r="H50" s="151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</row>
    <row r="51" spans="1:26" ht="18.75">
      <c r="A51" s="144"/>
      <c r="B51" s="141"/>
      <c r="C51" s="142"/>
      <c r="D51" s="143"/>
      <c r="E51" s="143"/>
      <c r="F51" s="144"/>
      <c r="G51" s="153"/>
      <c r="H51" s="153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</row>
    <row r="52" spans="1:26" ht="18.75">
      <c r="A52" s="144"/>
      <c r="B52" s="141"/>
      <c r="C52" s="142"/>
      <c r="D52" s="143"/>
      <c r="E52" s="143"/>
      <c r="F52" s="144"/>
      <c r="G52" s="151"/>
      <c r="H52" s="151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</row>
    <row r="53" spans="1:26" ht="18.75">
      <c r="A53" s="144"/>
      <c r="B53" s="141"/>
      <c r="C53" s="142"/>
      <c r="D53" s="143"/>
      <c r="E53" s="143"/>
      <c r="F53" s="144"/>
      <c r="G53" s="153"/>
      <c r="H53" s="153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</row>
    <row r="54" spans="1:26" ht="18.75">
      <c r="A54" s="144"/>
      <c r="B54" s="141"/>
      <c r="C54" s="142"/>
      <c r="D54" s="143"/>
      <c r="E54" s="143"/>
      <c r="F54" s="144"/>
      <c r="G54" s="151"/>
      <c r="H54" s="151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</row>
    <row r="55" spans="1:26" ht="18.75">
      <c r="A55" s="144"/>
      <c r="B55" s="141"/>
      <c r="C55" s="142"/>
      <c r="D55" s="143"/>
      <c r="E55" s="143"/>
      <c r="F55" s="144"/>
      <c r="G55" s="153"/>
      <c r="H55" s="153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</row>
    <row r="56" spans="1:26" ht="18.75">
      <c r="A56" s="144"/>
      <c r="B56" s="141"/>
      <c r="C56" s="142"/>
      <c r="D56" s="143"/>
      <c r="E56" s="143"/>
      <c r="F56" s="144"/>
      <c r="G56" s="151"/>
      <c r="H56" s="151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</row>
    <row r="57" spans="1:26" ht="18.75">
      <c r="A57" s="144"/>
      <c r="B57" s="141"/>
      <c r="C57" s="142"/>
      <c r="D57" s="143"/>
      <c r="E57" s="143"/>
      <c r="F57" s="144"/>
      <c r="G57" s="153"/>
      <c r="H57" s="153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</row>
    <row r="58" spans="1:26" ht="18.75">
      <c r="A58" s="144"/>
      <c r="B58" s="141"/>
      <c r="C58" s="142"/>
      <c r="D58" s="143"/>
      <c r="E58" s="143"/>
      <c r="F58" s="144"/>
      <c r="G58" s="151"/>
      <c r="H58" s="151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</row>
    <row r="59" spans="1:26" ht="18.75">
      <c r="A59" s="144"/>
      <c r="B59" s="141"/>
      <c r="C59" s="142"/>
      <c r="D59" s="143"/>
      <c r="E59" s="143"/>
      <c r="F59" s="144"/>
      <c r="G59" s="153"/>
      <c r="H59" s="153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</row>
    <row r="60" spans="1:26" ht="18.75">
      <c r="A60" s="144"/>
      <c r="B60" s="141"/>
      <c r="C60" s="142"/>
      <c r="D60" s="143"/>
      <c r="E60" s="143"/>
      <c r="F60" s="144"/>
      <c r="G60" s="151"/>
      <c r="H60" s="151"/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</row>
    <row r="61" spans="1:26" ht="18.75">
      <c r="A61" s="144"/>
      <c r="B61" s="141"/>
      <c r="C61" s="142"/>
      <c r="D61" s="143"/>
      <c r="E61" s="143"/>
      <c r="F61" s="144"/>
      <c r="G61" s="153"/>
      <c r="H61" s="153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</row>
    <row r="62" spans="1:26" ht="18.75">
      <c r="A62" s="144"/>
      <c r="B62" s="141"/>
      <c r="C62" s="142"/>
      <c r="D62" s="143"/>
      <c r="E62" s="143"/>
      <c r="F62" s="144"/>
      <c r="G62" s="151"/>
      <c r="H62" s="151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</row>
    <row r="63" spans="1:26" ht="18.75">
      <c r="A63" s="144"/>
      <c r="B63" s="141"/>
      <c r="C63" s="142"/>
      <c r="D63" s="143"/>
      <c r="E63" s="143"/>
      <c r="F63" s="144"/>
      <c r="G63" s="153"/>
      <c r="H63" s="153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</row>
    <row r="64" spans="1:26" ht="18.75">
      <c r="A64" s="144"/>
      <c r="B64" s="141"/>
      <c r="C64" s="142"/>
      <c r="D64" s="143"/>
      <c r="E64" s="143"/>
      <c r="F64" s="144"/>
      <c r="G64" s="151"/>
      <c r="H64" s="151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4"/>
      <c r="Z64" s="144"/>
    </row>
    <row r="65" spans="1:26" ht="18.75">
      <c r="A65" s="144"/>
      <c r="B65" s="141"/>
      <c r="C65" s="142"/>
      <c r="D65" s="143"/>
      <c r="E65" s="143"/>
      <c r="F65" s="144"/>
      <c r="G65" s="153"/>
      <c r="H65" s="153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4"/>
      <c r="Z65" s="144"/>
    </row>
    <row r="66" spans="1:26" ht="18.75">
      <c r="A66" s="144"/>
      <c r="B66" s="141"/>
      <c r="C66" s="142"/>
      <c r="D66" s="143"/>
      <c r="E66" s="143"/>
      <c r="F66" s="144"/>
      <c r="G66" s="151"/>
      <c r="H66" s="151"/>
      <c r="I66" s="144"/>
      <c r="J66" s="144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4"/>
      <c r="Z66" s="144"/>
    </row>
    <row r="67" spans="1:26" ht="18.75">
      <c r="A67" s="144"/>
      <c r="B67" s="141"/>
      <c r="C67" s="142"/>
      <c r="D67" s="143"/>
      <c r="E67" s="143"/>
      <c r="F67" s="144"/>
      <c r="G67" s="153"/>
      <c r="H67" s="153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4"/>
      <c r="Z67" s="144"/>
    </row>
    <row r="68" spans="1:26" ht="18.75">
      <c r="A68" s="144"/>
      <c r="B68" s="141"/>
      <c r="C68" s="142"/>
      <c r="D68" s="143"/>
      <c r="E68" s="143"/>
      <c r="F68" s="144"/>
      <c r="G68" s="151"/>
      <c r="H68" s="151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4"/>
      <c r="Z68" s="144"/>
    </row>
    <row r="69" spans="1:26" ht="18.75">
      <c r="A69" s="144"/>
      <c r="B69" s="141"/>
      <c r="C69" s="142"/>
      <c r="D69" s="143"/>
      <c r="E69" s="143"/>
      <c r="F69" s="144"/>
      <c r="G69" s="153"/>
      <c r="H69" s="153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Y69" s="144"/>
      <c r="Z69" s="144"/>
    </row>
    <row r="70" spans="1:26" ht="18.75">
      <c r="A70" s="144"/>
      <c r="B70" s="141"/>
      <c r="C70" s="142"/>
      <c r="D70" s="143"/>
      <c r="E70" s="143"/>
      <c r="F70" s="144"/>
      <c r="G70" s="151"/>
      <c r="H70" s="151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4"/>
      <c r="Z70" s="144"/>
    </row>
    <row r="71" spans="1:26" ht="18.75">
      <c r="A71" s="144"/>
      <c r="B71" s="141"/>
      <c r="C71" s="142"/>
      <c r="D71" s="143"/>
      <c r="E71" s="143"/>
      <c r="F71" s="144"/>
      <c r="G71" s="153"/>
      <c r="H71" s="153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4"/>
      <c r="Z71" s="144"/>
    </row>
    <row r="72" spans="1:26" ht="18.75">
      <c r="A72" s="144"/>
      <c r="B72" s="141"/>
      <c r="C72" s="142"/>
      <c r="D72" s="143"/>
      <c r="E72" s="143"/>
      <c r="F72" s="144"/>
      <c r="G72" s="151"/>
      <c r="H72" s="151"/>
      <c r="I72" s="144"/>
      <c r="J72" s="144"/>
      <c r="K72" s="144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4"/>
      <c r="Z72" s="144"/>
    </row>
    <row r="73" spans="1:26" ht="18.75">
      <c r="A73" s="144"/>
      <c r="B73" s="141"/>
      <c r="C73" s="142"/>
      <c r="D73" s="143"/>
      <c r="E73" s="143"/>
      <c r="F73" s="144"/>
      <c r="G73" s="153"/>
      <c r="H73" s="153"/>
      <c r="I73" s="144"/>
      <c r="J73" s="144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Y73" s="144"/>
      <c r="Z73" s="144"/>
    </row>
    <row r="74" spans="1:26" ht="18.75">
      <c r="A74" s="144"/>
      <c r="B74" s="141"/>
      <c r="C74" s="142"/>
      <c r="D74" s="143"/>
      <c r="E74" s="143"/>
      <c r="F74" s="144"/>
      <c r="G74" s="151"/>
      <c r="H74" s="151"/>
      <c r="I74" s="144"/>
      <c r="J74" s="144"/>
      <c r="K74" s="144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  <c r="X74" s="144"/>
      <c r="Y74" s="144"/>
      <c r="Z74" s="144"/>
    </row>
    <row r="75" spans="1:26" ht="18.75">
      <c r="A75" s="144"/>
      <c r="B75" s="141"/>
      <c r="C75" s="142"/>
      <c r="D75" s="143"/>
      <c r="E75" s="143"/>
      <c r="F75" s="144"/>
      <c r="G75" s="153"/>
      <c r="H75" s="153"/>
      <c r="I75" s="144"/>
      <c r="J75" s="144"/>
      <c r="K75" s="144"/>
      <c r="L75" s="144"/>
      <c r="M75" s="144"/>
      <c r="N75" s="144"/>
      <c r="O75" s="144"/>
      <c r="P75" s="144"/>
      <c r="Q75" s="144"/>
      <c r="R75" s="144"/>
      <c r="S75" s="144"/>
      <c r="T75" s="144"/>
      <c r="U75" s="144"/>
      <c r="V75" s="144"/>
      <c r="W75" s="144"/>
      <c r="X75" s="144"/>
      <c r="Y75" s="144"/>
      <c r="Z75" s="144"/>
    </row>
    <row r="76" spans="1:26" ht="18.75">
      <c r="A76" s="144"/>
      <c r="B76" s="141"/>
      <c r="C76" s="142"/>
      <c r="D76" s="143"/>
      <c r="E76" s="143"/>
      <c r="F76" s="144"/>
      <c r="G76" s="151"/>
      <c r="H76" s="151"/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144"/>
      <c r="Y76" s="144"/>
      <c r="Z76" s="144"/>
    </row>
    <row r="77" spans="1:26" ht="18.75">
      <c r="A77" s="144"/>
      <c r="B77" s="141"/>
      <c r="C77" s="142"/>
      <c r="D77" s="143"/>
      <c r="E77" s="143"/>
      <c r="F77" s="144"/>
      <c r="G77" s="153"/>
      <c r="H77" s="153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  <c r="W77" s="144"/>
      <c r="X77" s="144"/>
      <c r="Y77" s="144"/>
      <c r="Z77" s="144"/>
    </row>
    <row r="78" spans="1:26" ht="18.75">
      <c r="A78" s="144"/>
      <c r="B78" s="141"/>
      <c r="C78" s="142"/>
      <c r="D78" s="143"/>
      <c r="E78" s="143"/>
      <c r="F78" s="144"/>
      <c r="G78" s="151"/>
      <c r="H78" s="151"/>
      <c r="I78" s="144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144"/>
      <c r="Y78" s="144"/>
      <c r="Z78" s="144"/>
    </row>
    <row r="79" spans="1:26" ht="18.75">
      <c r="A79" s="144"/>
      <c r="B79" s="141"/>
      <c r="C79" s="142"/>
      <c r="D79" s="143"/>
      <c r="E79" s="143"/>
      <c r="F79" s="144"/>
      <c r="G79" s="153"/>
      <c r="H79" s="153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X79" s="144"/>
      <c r="Y79" s="144"/>
      <c r="Z79" s="144"/>
    </row>
    <row r="80" spans="1:26" ht="18.75">
      <c r="A80" s="144"/>
      <c r="B80" s="141"/>
      <c r="C80" s="142"/>
      <c r="D80" s="143"/>
      <c r="E80" s="143"/>
      <c r="F80" s="144"/>
      <c r="G80" s="151"/>
      <c r="H80" s="151"/>
      <c r="I80" s="144"/>
      <c r="J80" s="144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4"/>
      <c r="X80" s="144"/>
      <c r="Y80" s="144"/>
      <c r="Z80" s="144"/>
    </row>
    <row r="81" spans="1:26" ht="18.75">
      <c r="A81" s="144"/>
      <c r="B81" s="141"/>
      <c r="C81" s="142"/>
      <c r="D81" s="143"/>
      <c r="E81" s="143"/>
      <c r="F81" s="144"/>
      <c r="G81" s="153"/>
      <c r="H81" s="153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44"/>
      <c r="Y81" s="144"/>
      <c r="Z81" s="144"/>
    </row>
    <row r="82" spans="1:26" ht="18.75">
      <c r="A82" s="144"/>
      <c r="B82" s="141"/>
      <c r="C82" s="142"/>
      <c r="D82" s="143"/>
      <c r="E82" s="143"/>
      <c r="F82" s="144"/>
      <c r="G82" s="151"/>
      <c r="H82" s="151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4"/>
      <c r="Z82" s="144"/>
    </row>
    <row r="83" spans="1:26" ht="18.75">
      <c r="A83" s="144"/>
      <c r="B83" s="141"/>
      <c r="C83" s="142"/>
      <c r="D83" s="143"/>
      <c r="E83" s="143"/>
      <c r="F83" s="144"/>
      <c r="G83" s="153"/>
      <c r="H83" s="153"/>
      <c r="I83" s="144"/>
      <c r="J83" s="144"/>
      <c r="K83" s="144"/>
      <c r="L83" s="144"/>
      <c r="M83" s="144"/>
      <c r="N83" s="144"/>
      <c r="O83" s="144"/>
      <c r="P83" s="144"/>
      <c r="Q83" s="144"/>
      <c r="R83" s="144"/>
      <c r="S83" s="144"/>
      <c r="T83" s="144"/>
      <c r="U83" s="144"/>
      <c r="V83" s="144"/>
      <c r="W83" s="144"/>
      <c r="X83" s="144"/>
      <c r="Y83" s="144"/>
      <c r="Z83" s="144"/>
    </row>
    <row r="84" spans="1:26" ht="18.75">
      <c r="A84" s="144"/>
      <c r="B84" s="141"/>
      <c r="C84" s="142"/>
      <c r="D84" s="143"/>
      <c r="E84" s="143"/>
      <c r="F84" s="144"/>
      <c r="G84" s="151"/>
      <c r="H84" s="151"/>
      <c r="I84" s="144"/>
      <c r="J84" s="144"/>
      <c r="K84" s="144"/>
      <c r="L84" s="144"/>
      <c r="M84" s="144"/>
      <c r="N84" s="144"/>
      <c r="O84" s="144"/>
      <c r="P84" s="144"/>
      <c r="Q84" s="144"/>
      <c r="R84" s="144"/>
      <c r="S84" s="144"/>
      <c r="T84" s="144"/>
      <c r="U84" s="144"/>
      <c r="V84" s="144"/>
      <c r="W84" s="144"/>
      <c r="X84" s="144"/>
      <c r="Y84" s="144"/>
      <c r="Z84" s="144"/>
    </row>
    <row r="85" spans="1:26" ht="18.75">
      <c r="A85" s="144"/>
      <c r="B85" s="141"/>
      <c r="C85" s="142"/>
      <c r="D85" s="143"/>
      <c r="E85" s="143"/>
      <c r="F85" s="144"/>
      <c r="G85" s="153"/>
      <c r="H85" s="153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  <c r="W85" s="144"/>
      <c r="X85" s="144"/>
      <c r="Y85" s="144"/>
      <c r="Z85" s="144"/>
    </row>
    <row r="86" spans="1:26" ht="18.75">
      <c r="A86" s="144"/>
      <c r="B86" s="141"/>
      <c r="C86" s="142"/>
      <c r="D86" s="143"/>
      <c r="E86" s="143"/>
      <c r="F86" s="144"/>
      <c r="G86" s="151"/>
      <c r="H86" s="151"/>
      <c r="I86" s="144"/>
      <c r="J86" s="144"/>
      <c r="K86" s="144"/>
      <c r="L86" s="144"/>
      <c r="M86" s="144"/>
      <c r="N86" s="144"/>
      <c r="O86" s="144"/>
      <c r="P86" s="144"/>
      <c r="Q86" s="144"/>
      <c r="R86" s="144"/>
      <c r="S86" s="144"/>
      <c r="T86" s="144"/>
      <c r="U86" s="144"/>
      <c r="V86" s="144"/>
      <c r="W86" s="144"/>
      <c r="X86" s="144"/>
      <c r="Y86" s="144"/>
      <c r="Z86" s="144"/>
    </row>
    <row r="87" spans="1:26" ht="18.75">
      <c r="A87" s="144"/>
      <c r="B87" s="141"/>
      <c r="C87" s="142"/>
      <c r="D87" s="143"/>
      <c r="E87" s="143"/>
      <c r="F87" s="144"/>
      <c r="G87" s="153"/>
      <c r="H87" s="153"/>
      <c r="I87" s="144"/>
      <c r="J87" s="144"/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  <c r="W87" s="144"/>
      <c r="X87" s="144"/>
      <c r="Y87" s="144"/>
      <c r="Z87" s="144"/>
    </row>
    <row r="88" spans="1:26" ht="18.75">
      <c r="A88" s="144"/>
      <c r="B88" s="141"/>
      <c r="C88" s="142"/>
      <c r="D88" s="143"/>
      <c r="E88" s="143"/>
      <c r="F88" s="144"/>
      <c r="G88" s="151"/>
      <c r="H88" s="151"/>
      <c r="I88" s="144"/>
      <c r="J88" s="144"/>
      <c r="K88" s="144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  <c r="W88" s="144"/>
      <c r="X88" s="144"/>
      <c r="Y88" s="144"/>
      <c r="Z88" s="144"/>
    </row>
    <row r="89" spans="1:26" ht="18.75">
      <c r="A89" s="144"/>
      <c r="B89" s="141"/>
      <c r="C89" s="142"/>
      <c r="D89" s="143"/>
      <c r="E89" s="143"/>
      <c r="F89" s="144"/>
      <c r="G89" s="153"/>
      <c r="H89" s="153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144"/>
      <c r="X89" s="144"/>
      <c r="Y89" s="144"/>
      <c r="Z89" s="144"/>
    </row>
    <row r="90" spans="1:26" ht="18.75">
      <c r="A90" s="144"/>
      <c r="B90" s="141"/>
      <c r="C90" s="142"/>
      <c r="D90" s="143"/>
      <c r="E90" s="143"/>
      <c r="F90" s="144"/>
      <c r="G90" s="151"/>
      <c r="H90" s="151"/>
      <c r="I90" s="144"/>
      <c r="J90" s="144"/>
      <c r="K90" s="144"/>
      <c r="L90" s="144"/>
      <c r="M90" s="144"/>
      <c r="N90" s="144"/>
      <c r="O90" s="144"/>
      <c r="P90" s="144"/>
      <c r="Q90" s="144"/>
      <c r="R90" s="144"/>
      <c r="S90" s="144"/>
      <c r="T90" s="144"/>
      <c r="U90" s="144"/>
      <c r="V90" s="144"/>
      <c r="W90" s="144"/>
      <c r="X90" s="144"/>
      <c r="Y90" s="144"/>
      <c r="Z90" s="144"/>
    </row>
    <row r="91" spans="1:26" ht="18.75">
      <c r="A91" s="144"/>
      <c r="B91" s="141"/>
      <c r="C91" s="142"/>
      <c r="D91" s="143"/>
      <c r="E91" s="143"/>
      <c r="F91" s="144"/>
      <c r="G91" s="153"/>
      <c r="H91" s="153"/>
      <c r="I91" s="144"/>
      <c r="J91" s="144"/>
      <c r="K91" s="144"/>
      <c r="L91" s="144"/>
      <c r="M91" s="144"/>
      <c r="N91" s="144"/>
      <c r="O91" s="144"/>
      <c r="P91" s="144"/>
      <c r="Q91" s="144"/>
      <c r="R91" s="144"/>
      <c r="S91" s="144"/>
      <c r="T91" s="144"/>
      <c r="U91" s="144"/>
      <c r="V91" s="144"/>
      <c r="W91" s="144"/>
      <c r="X91" s="144"/>
      <c r="Y91" s="144"/>
      <c r="Z91" s="144"/>
    </row>
    <row r="92" spans="1:26" ht="18.75">
      <c r="A92" s="144"/>
      <c r="B92" s="141"/>
      <c r="C92" s="142"/>
      <c r="D92" s="143"/>
      <c r="E92" s="143"/>
      <c r="F92" s="144"/>
      <c r="G92" s="151"/>
      <c r="H92" s="151"/>
      <c r="I92" s="144"/>
      <c r="J92" s="144"/>
      <c r="K92" s="144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  <c r="W92" s="144"/>
      <c r="X92" s="144"/>
      <c r="Y92" s="144"/>
      <c r="Z92" s="144"/>
    </row>
    <row r="93" spans="1:26" ht="18.75">
      <c r="A93" s="144"/>
      <c r="B93" s="141"/>
      <c r="C93" s="142"/>
      <c r="D93" s="143"/>
      <c r="E93" s="143"/>
      <c r="F93" s="144"/>
      <c r="G93" s="153"/>
      <c r="H93" s="153"/>
      <c r="I93" s="144"/>
      <c r="J93" s="144"/>
      <c r="K93" s="144"/>
      <c r="L93" s="144"/>
      <c r="M93" s="144"/>
      <c r="N93" s="144"/>
      <c r="O93" s="144"/>
      <c r="P93" s="144"/>
      <c r="Q93" s="144"/>
      <c r="R93" s="144"/>
      <c r="S93" s="144"/>
      <c r="T93" s="144"/>
      <c r="U93" s="144"/>
      <c r="V93" s="144"/>
      <c r="W93" s="144"/>
      <c r="X93" s="144"/>
      <c r="Y93" s="144"/>
      <c r="Z93" s="144"/>
    </row>
    <row r="94" spans="1:26" ht="18.75">
      <c r="A94" s="144"/>
      <c r="B94" s="141"/>
      <c r="C94" s="142"/>
      <c r="D94" s="143"/>
      <c r="E94" s="143"/>
      <c r="F94" s="144"/>
      <c r="G94" s="151"/>
      <c r="H94" s="151"/>
      <c r="I94" s="144"/>
      <c r="J94" s="144"/>
      <c r="K94" s="144"/>
      <c r="L94" s="144"/>
      <c r="M94" s="144"/>
      <c r="N94" s="144"/>
      <c r="O94" s="144"/>
      <c r="P94" s="144"/>
      <c r="Q94" s="144"/>
      <c r="R94" s="144"/>
      <c r="S94" s="144"/>
      <c r="T94" s="144"/>
      <c r="U94" s="144"/>
      <c r="V94" s="144"/>
      <c r="W94" s="144"/>
      <c r="X94" s="144"/>
      <c r="Y94" s="144"/>
      <c r="Z94" s="144"/>
    </row>
    <row r="95" spans="1:26" ht="18.75">
      <c r="A95" s="144"/>
      <c r="B95" s="141"/>
      <c r="C95" s="142"/>
      <c r="D95" s="143"/>
      <c r="E95" s="143"/>
      <c r="F95" s="144"/>
      <c r="G95" s="153"/>
      <c r="H95" s="153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144"/>
      <c r="Y95" s="144"/>
      <c r="Z95" s="144"/>
    </row>
    <row r="96" spans="1:26" ht="18.75">
      <c r="A96" s="144"/>
      <c r="B96" s="141"/>
      <c r="C96" s="142"/>
      <c r="D96" s="143"/>
      <c r="E96" s="143"/>
      <c r="F96" s="144"/>
      <c r="G96" s="151"/>
      <c r="H96" s="151"/>
      <c r="I96" s="144"/>
      <c r="J96" s="144"/>
      <c r="K96" s="144"/>
      <c r="L96" s="144"/>
      <c r="M96" s="144"/>
      <c r="N96" s="144"/>
      <c r="O96" s="144"/>
      <c r="P96" s="144"/>
      <c r="Q96" s="144"/>
      <c r="R96" s="144"/>
      <c r="S96" s="144"/>
      <c r="T96" s="144"/>
      <c r="U96" s="144"/>
      <c r="V96" s="144"/>
      <c r="W96" s="144"/>
      <c r="X96" s="144"/>
      <c r="Y96" s="144"/>
      <c r="Z96" s="144"/>
    </row>
    <row r="97" spans="1:26" ht="18.75">
      <c r="A97" s="144"/>
      <c r="B97" s="141"/>
      <c r="C97" s="142"/>
      <c r="D97" s="143"/>
      <c r="E97" s="143"/>
      <c r="F97" s="144"/>
      <c r="G97" s="153"/>
      <c r="H97" s="153"/>
      <c r="I97" s="144"/>
      <c r="J97" s="144"/>
      <c r="K97" s="144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  <c r="W97" s="144"/>
      <c r="X97" s="144"/>
      <c r="Y97" s="144"/>
      <c r="Z97" s="144"/>
    </row>
    <row r="98" spans="1:26" ht="18.75">
      <c r="A98" s="144"/>
      <c r="B98" s="141"/>
      <c r="C98" s="142"/>
      <c r="D98" s="143"/>
      <c r="E98" s="143"/>
      <c r="F98" s="144"/>
      <c r="G98" s="151"/>
      <c r="H98" s="151"/>
      <c r="I98" s="144"/>
      <c r="J98" s="144"/>
      <c r="K98" s="144"/>
      <c r="L98" s="144"/>
      <c r="M98" s="144"/>
      <c r="N98" s="144"/>
      <c r="O98" s="144"/>
      <c r="P98" s="144"/>
      <c r="Q98" s="144"/>
      <c r="R98" s="144"/>
      <c r="S98" s="144"/>
      <c r="T98" s="144"/>
      <c r="U98" s="144"/>
      <c r="V98" s="144"/>
      <c r="W98" s="144"/>
      <c r="X98" s="144"/>
      <c r="Y98" s="144"/>
      <c r="Z98" s="144"/>
    </row>
    <row r="99" spans="1:26" ht="18.75">
      <c r="A99" s="144"/>
      <c r="B99" s="141"/>
      <c r="C99" s="142"/>
      <c r="D99" s="143"/>
      <c r="E99" s="143"/>
      <c r="F99" s="144"/>
      <c r="G99" s="153"/>
      <c r="H99" s="153"/>
      <c r="I99" s="144"/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  <c r="W99" s="144"/>
      <c r="X99" s="144"/>
      <c r="Y99" s="144"/>
      <c r="Z99" s="144"/>
    </row>
    <row r="100" spans="1:26" ht="18.75">
      <c r="A100" s="144"/>
      <c r="B100" s="141"/>
      <c r="C100" s="142"/>
      <c r="D100" s="143"/>
      <c r="E100" s="143"/>
      <c r="F100" s="144"/>
      <c r="G100" s="151"/>
      <c r="H100" s="151"/>
      <c r="I100" s="144"/>
      <c r="J100" s="144"/>
      <c r="K100" s="144"/>
      <c r="L100" s="144"/>
      <c r="M100" s="144"/>
      <c r="N100" s="144"/>
      <c r="O100" s="144"/>
      <c r="P100" s="144"/>
      <c r="Q100" s="144"/>
      <c r="R100" s="144"/>
      <c r="S100" s="144"/>
      <c r="T100" s="144"/>
      <c r="U100" s="144"/>
      <c r="V100" s="144"/>
      <c r="W100" s="144"/>
      <c r="X100" s="144"/>
      <c r="Y100" s="144"/>
      <c r="Z100" s="144"/>
    </row>
    <row r="101" spans="1:26" ht="18.75">
      <c r="A101" s="144"/>
      <c r="B101" s="141"/>
      <c r="C101" s="142"/>
      <c r="D101" s="143"/>
      <c r="E101" s="143"/>
      <c r="F101" s="144"/>
      <c r="G101" s="153"/>
      <c r="H101" s="153"/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  <c r="W101" s="144"/>
      <c r="X101" s="144"/>
      <c r="Y101" s="144"/>
      <c r="Z101" s="144"/>
    </row>
    <row r="102" spans="1:26" ht="18.75">
      <c r="A102" s="144"/>
      <c r="B102" s="141"/>
      <c r="C102" s="142"/>
      <c r="D102" s="143"/>
      <c r="E102" s="143"/>
      <c r="F102" s="144"/>
      <c r="G102" s="151"/>
      <c r="H102" s="151"/>
      <c r="I102" s="144"/>
      <c r="J102" s="144"/>
      <c r="K102" s="144"/>
      <c r="L102" s="144"/>
      <c r="M102" s="144"/>
      <c r="N102" s="144"/>
      <c r="O102" s="144"/>
      <c r="P102" s="144"/>
      <c r="Q102" s="144"/>
      <c r="R102" s="144"/>
      <c r="S102" s="144"/>
      <c r="T102" s="144"/>
      <c r="U102" s="144"/>
      <c r="V102" s="144"/>
      <c r="W102" s="144"/>
      <c r="X102" s="144"/>
      <c r="Y102" s="144"/>
      <c r="Z102" s="144"/>
    </row>
    <row r="103" spans="1:26" ht="18.75">
      <c r="A103" s="144"/>
      <c r="B103" s="141"/>
      <c r="C103" s="142"/>
      <c r="D103" s="143"/>
      <c r="E103" s="143"/>
      <c r="F103" s="144"/>
      <c r="G103" s="153"/>
      <c r="H103" s="153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44"/>
      <c r="Y103" s="144"/>
      <c r="Z103" s="144"/>
    </row>
    <row r="104" spans="1:26" ht="18.75">
      <c r="A104" s="144"/>
      <c r="B104" s="141"/>
      <c r="C104" s="142"/>
      <c r="D104" s="143"/>
      <c r="E104" s="143"/>
      <c r="F104" s="144"/>
      <c r="G104" s="151"/>
      <c r="H104" s="151"/>
      <c r="I104" s="144"/>
      <c r="J104" s="144"/>
      <c r="K104" s="144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144"/>
      <c r="W104" s="144"/>
      <c r="X104" s="144"/>
      <c r="Y104" s="144"/>
      <c r="Z104" s="144"/>
    </row>
    <row r="105" spans="1:26" ht="18.75">
      <c r="A105" s="144"/>
      <c r="B105" s="141"/>
      <c r="C105" s="142"/>
      <c r="D105" s="143"/>
      <c r="E105" s="143"/>
      <c r="F105" s="144"/>
      <c r="G105" s="153"/>
      <c r="H105" s="153"/>
      <c r="I105" s="144"/>
      <c r="J105" s="144"/>
      <c r="K105" s="144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  <c r="W105" s="144"/>
      <c r="X105" s="144"/>
      <c r="Y105" s="144"/>
      <c r="Z105" s="144"/>
    </row>
    <row r="106" spans="1:26" ht="18.75">
      <c r="A106" s="144"/>
      <c r="B106" s="141"/>
      <c r="C106" s="142"/>
      <c r="D106" s="143"/>
      <c r="E106" s="143"/>
      <c r="F106" s="144"/>
      <c r="G106" s="151"/>
      <c r="H106" s="151"/>
      <c r="I106" s="144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144"/>
      <c r="X106" s="144"/>
      <c r="Y106" s="144"/>
      <c r="Z106" s="144"/>
    </row>
    <row r="107" spans="1:26" ht="18.75">
      <c r="A107" s="144"/>
      <c r="B107" s="141"/>
      <c r="C107" s="142"/>
      <c r="D107" s="143"/>
      <c r="E107" s="143"/>
      <c r="F107" s="144"/>
      <c r="G107" s="153"/>
      <c r="H107" s="153"/>
      <c r="I107" s="144"/>
      <c r="J107" s="144"/>
      <c r="K107" s="144"/>
      <c r="L107" s="144"/>
      <c r="M107" s="144"/>
      <c r="N107" s="144"/>
      <c r="O107" s="144"/>
      <c r="P107" s="144"/>
      <c r="Q107" s="144"/>
      <c r="R107" s="144"/>
      <c r="S107" s="144"/>
      <c r="T107" s="144"/>
      <c r="U107" s="144"/>
      <c r="V107" s="144"/>
      <c r="W107" s="144"/>
      <c r="X107" s="144"/>
      <c r="Y107" s="144"/>
      <c r="Z107" s="144"/>
    </row>
    <row r="108" spans="1:26" ht="18.75">
      <c r="A108" s="144"/>
      <c r="B108" s="141"/>
      <c r="C108" s="142"/>
      <c r="D108" s="143"/>
      <c r="E108" s="143"/>
      <c r="F108" s="144"/>
      <c r="G108" s="151"/>
      <c r="H108" s="151"/>
      <c r="I108" s="144"/>
      <c r="J108" s="144"/>
      <c r="K108" s="144"/>
      <c r="L108" s="144"/>
      <c r="M108" s="144"/>
      <c r="N108" s="144"/>
      <c r="O108" s="144"/>
      <c r="P108" s="144"/>
      <c r="Q108" s="144"/>
      <c r="R108" s="144"/>
      <c r="S108" s="144"/>
      <c r="T108" s="144"/>
      <c r="U108" s="144"/>
      <c r="V108" s="144"/>
      <c r="W108" s="144"/>
      <c r="X108" s="144"/>
      <c r="Y108" s="144"/>
      <c r="Z108" s="144"/>
    </row>
    <row r="109" spans="1:26" ht="18.75">
      <c r="A109" s="144"/>
      <c r="B109" s="141"/>
      <c r="C109" s="142"/>
      <c r="D109" s="143"/>
      <c r="E109" s="143"/>
      <c r="F109" s="144"/>
      <c r="G109" s="153"/>
      <c r="H109" s="153"/>
      <c r="I109" s="144"/>
      <c r="J109" s="144"/>
      <c r="K109" s="144"/>
      <c r="L109" s="144"/>
      <c r="M109" s="144"/>
      <c r="N109" s="144"/>
      <c r="O109" s="144"/>
      <c r="P109" s="144"/>
      <c r="Q109" s="144"/>
      <c r="R109" s="144"/>
      <c r="S109" s="144"/>
      <c r="T109" s="144"/>
      <c r="U109" s="144"/>
      <c r="V109" s="144"/>
      <c r="W109" s="144"/>
      <c r="X109" s="144"/>
      <c r="Y109" s="144"/>
      <c r="Z109" s="144"/>
    </row>
    <row r="110" spans="1:26" ht="18.75">
      <c r="A110" s="144"/>
      <c r="B110" s="141"/>
      <c r="C110" s="142"/>
      <c r="D110" s="143"/>
      <c r="E110" s="143"/>
      <c r="F110" s="144"/>
      <c r="G110" s="151"/>
      <c r="H110" s="151"/>
      <c r="I110" s="144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  <c r="W110" s="144"/>
      <c r="X110" s="144"/>
      <c r="Y110" s="144"/>
      <c r="Z110" s="144"/>
    </row>
    <row r="111" spans="1:26" ht="18.75">
      <c r="A111" s="144"/>
      <c r="B111" s="141"/>
      <c r="C111" s="142"/>
      <c r="D111" s="143"/>
      <c r="E111" s="143"/>
      <c r="F111" s="144"/>
      <c r="G111" s="153"/>
      <c r="H111" s="153"/>
      <c r="I111" s="144"/>
      <c r="J111" s="144"/>
      <c r="K111" s="144"/>
      <c r="L111" s="144"/>
      <c r="M111" s="144"/>
      <c r="N111" s="144"/>
      <c r="O111" s="144"/>
      <c r="P111" s="144"/>
      <c r="Q111" s="144"/>
      <c r="R111" s="144"/>
      <c r="S111" s="144"/>
      <c r="T111" s="144"/>
      <c r="U111" s="144"/>
      <c r="V111" s="144"/>
      <c r="W111" s="144"/>
      <c r="X111" s="144"/>
      <c r="Y111" s="144"/>
      <c r="Z111" s="144"/>
    </row>
    <row r="112" spans="1:26" ht="18.75">
      <c r="A112" s="144"/>
      <c r="B112" s="141"/>
      <c r="C112" s="142"/>
      <c r="D112" s="143"/>
      <c r="E112" s="143"/>
      <c r="F112" s="144"/>
      <c r="G112" s="151"/>
      <c r="H112" s="151"/>
      <c r="I112" s="144"/>
      <c r="J112" s="144"/>
      <c r="K112" s="144"/>
      <c r="L112" s="144"/>
      <c r="M112" s="144"/>
      <c r="N112" s="144"/>
      <c r="O112" s="144"/>
      <c r="P112" s="144"/>
      <c r="Q112" s="144"/>
      <c r="R112" s="144"/>
      <c r="S112" s="144"/>
      <c r="T112" s="144"/>
      <c r="U112" s="144"/>
      <c r="V112" s="144"/>
      <c r="W112" s="144"/>
      <c r="X112" s="144"/>
      <c r="Y112" s="144"/>
      <c r="Z112" s="144"/>
    </row>
    <row r="113" spans="1:26" ht="18.75">
      <c r="A113" s="144"/>
      <c r="B113" s="141"/>
      <c r="C113" s="142"/>
      <c r="D113" s="143"/>
      <c r="E113" s="143"/>
      <c r="F113" s="144"/>
      <c r="G113" s="153"/>
      <c r="H113" s="153"/>
      <c r="I113" s="144"/>
      <c r="J113" s="144"/>
      <c r="K113" s="144"/>
      <c r="L113" s="144"/>
      <c r="M113" s="144"/>
      <c r="N113" s="144"/>
      <c r="O113" s="144"/>
      <c r="P113" s="144"/>
      <c r="Q113" s="144"/>
      <c r="R113" s="144"/>
      <c r="S113" s="144"/>
      <c r="T113" s="144"/>
      <c r="U113" s="144"/>
      <c r="V113" s="144"/>
      <c r="W113" s="144"/>
      <c r="X113" s="144"/>
      <c r="Y113" s="144"/>
      <c r="Z113" s="144"/>
    </row>
    <row r="114" spans="1:26" ht="18.75">
      <c r="A114" s="144"/>
      <c r="B114" s="141"/>
      <c r="C114" s="142"/>
      <c r="D114" s="143"/>
      <c r="E114" s="143"/>
      <c r="F114" s="144"/>
      <c r="G114" s="151"/>
      <c r="H114" s="151"/>
      <c r="I114" s="144"/>
      <c r="J114" s="144"/>
      <c r="K114" s="144"/>
      <c r="L114" s="144"/>
      <c r="M114" s="144"/>
      <c r="N114" s="144"/>
      <c r="O114" s="144"/>
      <c r="P114" s="144"/>
      <c r="Q114" s="144"/>
      <c r="R114" s="144"/>
      <c r="S114" s="144"/>
      <c r="T114" s="144"/>
      <c r="U114" s="144"/>
      <c r="V114" s="144"/>
      <c r="W114" s="144"/>
      <c r="X114" s="144"/>
      <c r="Y114" s="144"/>
      <c r="Z114" s="144"/>
    </row>
    <row r="115" spans="1:26" ht="18.75">
      <c r="A115" s="144"/>
      <c r="B115" s="141"/>
      <c r="C115" s="142"/>
      <c r="D115" s="143"/>
      <c r="E115" s="143"/>
      <c r="F115" s="144"/>
      <c r="G115" s="153"/>
      <c r="H115" s="153"/>
      <c r="I115" s="144"/>
      <c r="J115" s="144"/>
      <c r="K115" s="144"/>
      <c r="L115" s="144"/>
      <c r="M115" s="144"/>
      <c r="N115" s="144"/>
      <c r="O115" s="144"/>
      <c r="P115" s="144"/>
      <c r="Q115" s="144"/>
      <c r="R115" s="144"/>
      <c r="S115" s="144"/>
      <c r="T115" s="144"/>
      <c r="U115" s="144"/>
      <c r="V115" s="144"/>
      <c r="W115" s="144"/>
      <c r="X115" s="144"/>
      <c r="Y115" s="144"/>
      <c r="Z115" s="144"/>
    </row>
    <row r="116" spans="1:26" ht="18.75">
      <c r="A116" s="144"/>
      <c r="B116" s="141"/>
      <c r="C116" s="142"/>
      <c r="D116" s="143"/>
      <c r="E116" s="143"/>
      <c r="F116" s="144"/>
      <c r="G116" s="151"/>
      <c r="H116" s="151"/>
      <c r="I116" s="144"/>
      <c r="J116" s="144"/>
      <c r="K116" s="144"/>
      <c r="L116" s="144"/>
      <c r="M116" s="144"/>
      <c r="N116" s="144"/>
      <c r="O116" s="144"/>
      <c r="P116" s="144"/>
      <c r="Q116" s="144"/>
      <c r="R116" s="144"/>
      <c r="S116" s="144"/>
      <c r="T116" s="144"/>
      <c r="U116" s="144"/>
      <c r="V116" s="144"/>
      <c r="W116" s="144"/>
      <c r="X116" s="144"/>
      <c r="Y116" s="144"/>
      <c r="Z116" s="144"/>
    </row>
    <row r="117" spans="1:26" ht="18.75">
      <c r="A117" s="144"/>
      <c r="B117" s="141"/>
      <c r="C117" s="142"/>
      <c r="D117" s="143"/>
      <c r="E117" s="143"/>
      <c r="F117" s="144"/>
      <c r="G117" s="153"/>
      <c r="H117" s="153"/>
      <c r="I117" s="144"/>
      <c r="J117" s="144"/>
      <c r="K117" s="144"/>
      <c r="L117" s="144"/>
      <c r="M117" s="144"/>
      <c r="N117" s="144"/>
      <c r="O117" s="144"/>
      <c r="P117" s="144"/>
      <c r="Q117" s="144"/>
      <c r="R117" s="144"/>
      <c r="S117" s="144"/>
      <c r="T117" s="144"/>
      <c r="U117" s="144"/>
      <c r="V117" s="144"/>
      <c r="W117" s="144"/>
      <c r="X117" s="144"/>
      <c r="Y117" s="144"/>
      <c r="Z117" s="144"/>
    </row>
    <row r="118" spans="1:26" ht="18.75">
      <c r="A118" s="144"/>
      <c r="B118" s="141"/>
      <c r="C118" s="142"/>
      <c r="D118" s="143"/>
      <c r="E118" s="143"/>
      <c r="F118" s="144"/>
      <c r="G118" s="151"/>
      <c r="H118" s="151"/>
      <c r="I118" s="144"/>
      <c r="J118" s="144"/>
      <c r="K118" s="144"/>
      <c r="L118" s="144"/>
      <c r="M118" s="144"/>
      <c r="N118" s="144"/>
      <c r="O118" s="144"/>
      <c r="P118" s="144"/>
      <c r="Q118" s="144"/>
      <c r="R118" s="144"/>
      <c r="S118" s="144"/>
      <c r="T118" s="144"/>
      <c r="U118" s="144"/>
      <c r="V118" s="144"/>
      <c r="W118" s="144"/>
      <c r="X118" s="144"/>
      <c r="Y118" s="144"/>
      <c r="Z118" s="144"/>
    </row>
    <row r="119" spans="1:26" ht="18.75">
      <c r="A119" s="144"/>
      <c r="B119" s="141"/>
      <c r="C119" s="142"/>
      <c r="D119" s="143"/>
      <c r="E119" s="143"/>
      <c r="F119" s="144"/>
      <c r="G119" s="153"/>
      <c r="H119" s="153"/>
      <c r="I119" s="144"/>
      <c r="J119" s="144"/>
      <c r="K119" s="144"/>
      <c r="L119" s="144"/>
      <c r="M119" s="144"/>
      <c r="N119" s="144"/>
      <c r="O119" s="144"/>
      <c r="P119" s="144"/>
      <c r="Q119" s="144"/>
      <c r="R119" s="144"/>
      <c r="S119" s="144"/>
      <c r="T119" s="144"/>
      <c r="U119" s="144"/>
      <c r="V119" s="144"/>
      <c r="W119" s="144"/>
      <c r="X119" s="144"/>
      <c r="Y119" s="144"/>
      <c r="Z119" s="144"/>
    </row>
    <row r="120" spans="1:26" ht="18.75">
      <c r="A120" s="144"/>
      <c r="B120" s="141"/>
      <c r="C120" s="142"/>
      <c r="D120" s="143"/>
      <c r="E120" s="143"/>
      <c r="F120" s="144"/>
      <c r="G120" s="151"/>
      <c r="H120" s="151"/>
      <c r="I120" s="144"/>
      <c r="J120" s="144"/>
      <c r="K120" s="144"/>
      <c r="L120" s="144"/>
      <c r="M120" s="144"/>
      <c r="N120" s="144"/>
      <c r="O120" s="144"/>
      <c r="P120" s="144"/>
      <c r="Q120" s="144"/>
      <c r="R120" s="144"/>
      <c r="S120" s="144"/>
      <c r="T120" s="144"/>
      <c r="U120" s="144"/>
      <c r="V120" s="144"/>
      <c r="W120" s="144"/>
      <c r="X120" s="144"/>
      <c r="Y120" s="144"/>
      <c r="Z120" s="144"/>
    </row>
    <row r="121" spans="1:26" ht="18.75">
      <c r="A121" s="144"/>
      <c r="B121" s="141"/>
      <c r="C121" s="142"/>
      <c r="D121" s="143"/>
      <c r="E121" s="143"/>
      <c r="F121" s="144"/>
      <c r="G121" s="153"/>
      <c r="H121" s="153"/>
      <c r="I121" s="144"/>
      <c r="J121" s="144"/>
      <c r="K121" s="144"/>
      <c r="L121" s="144"/>
      <c r="M121" s="144"/>
      <c r="N121" s="144"/>
      <c r="O121" s="144"/>
      <c r="P121" s="144"/>
      <c r="Q121" s="144"/>
      <c r="R121" s="144"/>
      <c r="S121" s="144"/>
      <c r="T121" s="144"/>
      <c r="U121" s="144"/>
      <c r="V121" s="144"/>
      <c r="W121" s="144"/>
      <c r="X121" s="144"/>
      <c r="Y121" s="144"/>
      <c r="Z121" s="144"/>
    </row>
    <row r="122" spans="1:26" ht="18.75">
      <c r="A122" s="144"/>
      <c r="B122" s="141"/>
      <c r="C122" s="142"/>
      <c r="D122" s="143"/>
      <c r="E122" s="143"/>
      <c r="F122" s="144"/>
      <c r="G122" s="151"/>
      <c r="H122" s="151"/>
      <c r="I122" s="144"/>
      <c r="J122" s="144"/>
      <c r="K122" s="144"/>
      <c r="L122" s="144"/>
      <c r="M122" s="144"/>
      <c r="N122" s="144"/>
      <c r="O122" s="144"/>
      <c r="P122" s="144"/>
      <c r="Q122" s="144"/>
      <c r="R122" s="144"/>
      <c r="S122" s="144"/>
      <c r="T122" s="144"/>
      <c r="U122" s="144"/>
      <c r="V122" s="144"/>
      <c r="W122" s="144"/>
      <c r="X122" s="144"/>
      <c r="Y122" s="144"/>
      <c r="Z122" s="144"/>
    </row>
    <row r="123" spans="1:26" ht="18.75">
      <c r="A123" s="144"/>
      <c r="B123" s="141"/>
      <c r="C123" s="142"/>
      <c r="D123" s="143"/>
      <c r="E123" s="143"/>
      <c r="F123" s="144"/>
      <c r="G123" s="153"/>
      <c r="H123" s="153"/>
      <c r="I123" s="144"/>
      <c r="J123" s="144"/>
      <c r="K123" s="144"/>
      <c r="L123" s="144"/>
      <c r="M123" s="144"/>
      <c r="N123" s="144"/>
      <c r="O123" s="144"/>
      <c r="P123" s="144"/>
      <c r="Q123" s="144"/>
      <c r="R123" s="144"/>
      <c r="S123" s="144"/>
      <c r="T123" s="144"/>
      <c r="U123" s="144"/>
      <c r="V123" s="144"/>
      <c r="W123" s="144"/>
      <c r="X123" s="144"/>
      <c r="Y123" s="144"/>
      <c r="Z123" s="144"/>
    </row>
    <row r="124" spans="1:26" ht="18.75">
      <c r="A124" s="144"/>
      <c r="B124" s="141"/>
      <c r="C124" s="142"/>
      <c r="D124" s="143"/>
      <c r="E124" s="143"/>
      <c r="F124" s="144"/>
      <c r="G124" s="151"/>
      <c r="H124" s="151"/>
      <c r="I124" s="144"/>
      <c r="J124" s="144"/>
      <c r="K124" s="144"/>
      <c r="L124" s="144"/>
      <c r="M124" s="144"/>
      <c r="N124" s="144"/>
      <c r="O124" s="144"/>
      <c r="P124" s="144"/>
      <c r="Q124" s="144"/>
      <c r="R124" s="144"/>
      <c r="S124" s="144"/>
      <c r="T124" s="144"/>
      <c r="U124" s="144"/>
      <c r="V124" s="144"/>
      <c r="W124" s="144"/>
      <c r="X124" s="144"/>
      <c r="Y124" s="144"/>
      <c r="Z124" s="144"/>
    </row>
    <row r="125" spans="1:26" ht="18.75">
      <c r="A125" s="144"/>
      <c r="B125" s="141"/>
      <c r="C125" s="142"/>
      <c r="D125" s="143"/>
      <c r="E125" s="143"/>
      <c r="F125" s="144"/>
      <c r="G125" s="153"/>
      <c r="H125" s="153"/>
      <c r="I125" s="144"/>
      <c r="J125" s="144"/>
      <c r="K125" s="144"/>
      <c r="L125" s="144"/>
      <c r="M125" s="144"/>
      <c r="N125" s="144"/>
      <c r="O125" s="144"/>
      <c r="P125" s="144"/>
      <c r="Q125" s="144"/>
      <c r="R125" s="144"/>
      <c r="S125" s="144"/>
      <c r="T125" s="144"/>
      <c r="U125" s="144"/>
      <c r="V125" s="144"/>
      <c r="W125" s="144"/>
      <c r="X125" s="144"/>
      <c r="Y125" s="144"/>
      <c r="Z125" s="144"/>
    </row>
    <row r="126" spans="1:26" ht="18.75">
      <c r="A126" s="144"/>
      <c r="B126" s="141"/>
      <c r="C126" s="142"/>
      <c r="D126" s="143"/>
      <c r="E126" s="143"/>
      <c r="F126" s="144"/>
      <c r="G126" s="151"/>
      <c r="H126" s="151"/>
      <c r="I126" s="144"/>
      <c r="J126" s="144"/>
      <c r="K126" s="144"/>
      <c r="L126" s="144"/>
      <c r="M126" s="144"/>
      <c r="N126" s="144"/>
      <c r="O126" s="144"/>
      <c r="P126" s="144"/>
      <c r="Q126" s="144"/>
      <c r="R126" s="144"/>
      <c r="S126" s="144"/>
      <c r="T126" s="144"/>
      <c r="U126" s="144"/>
      <c r="V126" s="144"/>
      <c r="W126" s="144"/>
      <c r="X126" s="144"/>
      <c r="Y126" s="144"/>
      <c r="Z126" s="144"/>
    </row>
    <row r="127" spans="1:26" ht="18.75">
      <c r="A127" s="144"/>
      <c r="B127" s="141"/>
      <c r="C127" s="142"/>
      <c r="D127" s="143"/>
      <c r="E127" s="143"/>
      <c r="F127" s="144"/>
      <c r="G127" s="153"/>
      <c r="H127" s="153"/>
      <c r="I127" s="144"/>
      <c r="J127" s="144"/>
      <c r="K127" s="144"/>
      <c r="L127" s="144"/>
      <c r="M127" s="144"/>
      <c r="N127" s="144"/>
      <c r="O127" s="144"/>
      <c r="P127" s="144"/>
      <c r="Q127" s="144"/>
      <c r="R127" s="144"/>
      <c r="S127" s="144"/>
      <c r="T127" s="144"/>
      <c r="U127" s="144"/>
      <c r="V127" s="144"/>
      <c r="W127" s="144"/>
      <c r="X127" s="144"/>
      <c r="Y127" s="144"/>
      <c r="Z127" s="144"/>
    </row>
    <row r="128" spans="1:26" ht="18.75">
      <c r="A128" s="144"/>
      <c r="B128" s="141"/>
      <c r="C128" s="142"/>
      <c r="D128" s="143"/>
      <c r="E128" s="143"/>
      <c r="F128" s="144"/>
      <c r="G128" s="151"/>
      <c r="H128" s="151"/>
      <c r="I128" s="144"/>
      <c r="J128" s="144"/>
      <c r="K128" s="144"/>
      <c r="L128" s="144"/>
      <c r="M128" s="144"/>
      <c r="N128" s="144"/>
      <c r="O128" s="144"/>
      <c r="P128" s="144"/>
      <c r="Q128" s="144"/>
      <c r="R128" s="144"/>
      <c r="S128" s="144"/>
      <c r="T128" s="144"/>
      <c r="U128" s="144"/>
      <c r="V128" s="144"/>
      <c r="W128" s="144"/>
      <c r="X128" s="144"/>
      <c r="Y128" s="144"/>
      <c r="Z128" s="144"/>
    </row>
    <row r="129" spans="1:26" ht="18.75">
      <c r="A129" s="144"/>
      <c r="B129" s="141"/>
      <c r="C129" s="142"/>
      <c r="D129" s="143"/>
      <c r="E129" s="143"/>
      <c r="F129" s="144"/>
      <c r="G129" s="153"/>
      <c r="H129" s="153"/>
      <c r="I129" s="144"/>
      <c r="J129" s="144"/>
      <c r="K129" s="144"/>
      <c r="L129" s="144"/>
      <c r="M129" s="144"/>
      <c r="N129" s="144"/>
      <c r="O129" s="144"/>
      <c r="P129" s="144"/>
      <c r="Q129" s="144"/>
      <c r="R129" s="144"/>
      <c r="S129" s="144"/>
      <c r="T129" s="144"/>
      <c r="U129" s="144"/>
      <c r="V129" s="144"/>
      <c r="W129" s="144"/>
      <c r="X129" s="144"/>
      <c r="Y129" s="144"/>
      <c r="Z129" s="144"/>
    </row>
    <row r="130" spans="1:26" ht="18.75">
      <c r="A130" s="144"/>
      <c r="B130" s="141"/>
      <c r="C130" s="142"/>
      <c r="D130" s="143"/>
      <c r="E130" s="143"/>
      <c r="F130" s="144"/>
      <c r="G130" s="151"/>
      <c r="H130" s="151"/>
      <c r="I130" s="144"/>
      <c r="J130" s="144"/>
      <c r="K130" s="144"/>
      <c r="L130" s="144"/>
      <c r="M130" s="144"/>
      <c r="N130" s="144"/>
      <c r="O130" s="144"/>
      <c r="P130" s="144"/>
      <c r="Q130" s="144"/>
      <c r="R130" s="144"/>
      <c r="S130" s="144"/>
      <c r="T130" s="144"/>
      <c r="U130" s="144"/>
      <c r="V130" s="144"/>
      <c r="W130" s="144"/>
      <c r="X130" s="144"/>
      <c r="Y130" s="144"/>
      <c r="Z130" s="144"/>
    </row>
    <row r="131" spans="1:26" ht="18.75">
      <c r="A131" s="144"/>
      <c r="B131" s="141"/>
      <c r="C131" s="142"/>
      <c r="D131" s="143"/>
      <c r="E131" s="143"/>
      <c r="F131" s="144"/>
      <c r="G131" s="153"/>
      <c r="H131" s="153"/>
      <c r="I131" s="144"/>
      <c r="J131" s="144"/>
      <c r="K131" s="144"/>
      <c r="L131" s="144"/>
      <c r="M131" s="144"/>
      <c r="N131" s="144"/>
      <c r="O131" s="144"/>
      <c r="P131" s="144"/>
      <c r="Q131" s="144"/>
      <c r="R131" s="144"/>
      <c r="S131" s="144"/>
      <c r="T131" s="144"/>
      <c r="U131" s="144"/>
      <c r="V131" s="144"/>
      <c r="W131" s="144"/>
      <c r="X131" s="144"/>
      <c r="Y131" s="144"/>
      <c r="Z131" s="144"/>
    </row>
    <row r="132" spans="1:26" ht="18.75">
      <c r="A132" s="144"/>
      <c r="B132" s="141"/>
      <c r="C132" s="142"/>
      <c r="D132" s="143"/>
      <c r="E132" s="143"/>
      <c r="F132" s="144"/>
      <c r="G132" s="151"/>
      <c r="H132" s="151"/>
      <c r="I132" s="144"/>
      <c r="J132" s="144"/>
      <c r="K132" s="144"/>
      <c r="L132" s="144"/>
      <c r="M132" s="144"/>
      <c r="N132" s="144"/>
      <c r="O132" s="144"/>
      <c r="P132" s="144"/>
      <c r="Q132" s="144"/>
      <c r="R132" s="144"/>
      <c r="S132" s="144"/>
      <c r="T132" s="144"/>
      <c r="U132" s="144"/>
      <c r="V132" s="144"/>
      <c r="W132" s="144"/>
      <c r="X132" s="144"/>
      <c r="Y132" s="144"/>
      <c r="Z132" s="144"/>
    </row>
    <row r="133" spans="1:26" ht="18.75">
      <c r="A133" s="144"/>
      <c r="B133" s="141"/>
      <c r="C133" s="142"/>
      <c r="D133" s="143"/>
      <c r="E133" s="143"/>
      <c r="F133" s="144"/>
      <c r="G133" s="153"/>
      <c r="H133" s="153"/>
      <c r="I133" s="144"/>
      <c r="J133" s="144"/>
      <c r="K133" s="144"/>
      <c r="L133" s="144"/>
      <c r="M133" s="144"/>
      <c r="N133" s="144"/>
      <c r="O133" s="144"/>
      <c r="P133" s="144"/>
      <c r="Q133" s="144"/>
      <c r="R133" s="144"/>
      <c r="S133" s="144"/>
      <c r="T133" s="144"/>
      <c r="U133" s="144"/>
      <c r="V133" s="144"/>
      <c r="W133" s="144"/>
      <c r="X133" s="144"/>
      <c r="Y133" s="144"/>
      <c r="Z133" s="144"/>
    </row>
    <row r="134" spans="1:26" ht="18.75">
      <c r="A134" s="144"/>
      <c r="B134" s="141"/>
      <c r="C134" s="142"/>
      <c r="D134" s="143"/>
      <c r="E134" s="143"/>
      <c r="F134" s="144"/>
      <c r="G134" s="151"/>
      <c r="H134" s="151"/>
      <c r="I134" s="144"/>
      <c r="J134" s="144"/>
      <c r="K134" s="144"/>
      <c r="L134" s="144"/>
      <c r="M134" s="144"/>
      <c r="N134" s="144"/>
      <c r="O134" s="144"/>
      <c r="P134" s="144"/>
      <c r="Q134" s="144"/>
      <c r="R134" s="144"/>
      <c r="S134" s="144"/>
      <c r="T134" s="144"/>
      <c r="U134" s="144"/>
      <c r="V134" s="144"/>
      <c r="W134" s="144"/>
      <c r="X134" s="144"/>
      <c r="Y134" s="144"/>
      <c r="Z134" s="144"/>
    </row>
    <row r="135" spans="1:26" ht="18.75">
      <c r="A135" s="144"/>
      <c r="B135" s="141"/>
      <c r="C135" s="142"/>
      <c r="D135" s="143"/>
      <c r="E135" s="143"/>
      <c r="F135" s="144"/>
      <c r="G135" s="153"/>
      <c r="H135" s="153"/>
      <c r="I135" s="144"/>
      <c r="J135" s="144"/>
      <c r="K135" s="144"/>
      <c r="L135" s="144"/>
      <c r="M135" s="144"/>
      <c r="N135" s="144"/>
      <c r="O135" s="144"/>
      <c r="P135" s="144"/>
      <c r="Q135" s="144"/>
      <c r="R135" s="144"/>
      <c r="S135" s="144"/>
      <c r="T135" s="144"/>
      <c r="U135" s="144"/>
      <c r="V135" s="144"/>
      <c r="W135" s="144"/>
      <c r="X135" s="144"/>
      <c r="Y135" s="144"/>
      <c r="Z135" s="144"/>
    </row>
    <row r="136" spans="1:26" ht="18.75">
      <c r="A136" s="144"/>
      <c r="B136" s="141"/>
      <c r="C136" s="142"/>
      <c r="D136" s="143"/>
      <c r="E136" s="143"/>
      <c r="F136" s="144"/>
      <c r="G136" s="151"/>
      <c r="H136" s="151"/>
      <c r="I136" s="144"/>
      <c r="J136" s="144"/>
      <c r="K136" s="144"/>
      <c r="L136" s="144"/>
      <c r="M136" s="144"/>
      <c r="N136" s="144"/>
      <c r="O136" s="144"/>
      <c r="P136" s="144"/>
      <c r="Q136" s="144"/>
      <c r="R136" s="144"/>
      <c r="S136" s="144"/>
      <c r="T136" s="144"/>
      <c r="U136" s="144"/>
      <c r="V136" s="144"/>
      <c r="W136" s="144"/>
      <c r="X136" s="144"/>
      <c r="Y136" s="144"/>
      <c r="Z136" s="144"/>
    </row>
    <row r="137" spans="1:26" ht="18.75">
      <c r="A137" s="144"/>
      <c r="B137" s="141"/>
      <c r="C137" s="142"/>
      <c r="D137" s="143"/>
      <c r="E137" s="143"/>
      <c r="F137" s="144"/>
      <c r="G137" s="153"/>
      <c r="H137" s="153"/>
      <c r="I137" s="144"/>
      <c r="J137" s="144"/>
      <c r="K137" s="144"/>
      <c r="L137" s="144"/>
      <c r="M137" s="144"/>
      <c r="N137" s="144"/>
      <c r="O137" s="144"/>
      <c r="P137" s="144"/>
      <c r="Q137" s="144"/>
      <c r="R137" s="144"/>
      <c r="S137" s="144"/>
      <c r="T137" s="144"/>
      <c r="U137" s="144"/>
      <c r="V137" s="144"/>
      <c r="W137" s="144"/>
      <c r="X137" s="144"/>
      <c r="Y137" s="144"/>
      <c r="Z137" s="144"/>
    </row>
    <row r="138" spans="1:26" ht="18.75">
      <c r="A138" s="144"/>
      <c r="B138" s="141"/>
      <c r="C138" s="142"/>
      <c r="D138" s="143"/>
      <c r="E138" s="143"/>
      <c r="F138" s="144"/>
      <c r="G138" s="151"/>
      <c r="H138" s="151"/>
      <c r="I138" s="144"/>
      <c r="J138" s="144"/>
      <c r="K138" s="144"/>
      <c r="L138" s="144"/>
      <c r="M138" s="144"/>
      <c r="N138" s="144"/>
      <c r="O138" s="144"/>
      <c r="P138" s="144"/>
      <c r="Q138" s="144"/>
      <c r="R138" s="144"/>
      <c r="S138" s="144"/>
      <c r="T138" s="144"/>
      <c r="U138" s="144"/>
      <c r="V138" s="144"/>
      <c r="W138" s="144"/>
      <c r="X138" s="144"/>
      <c r="Y138" s="144"/>
      <c r="Z138" s="144"/>
    </row>
    <row r="139" spans="1:26" ht="18.75">
      <c r="A139" s="144"/>
      <c r="B139" s="141"/>
      <c r="C139" s="142"/>
      <c r="D139" s="143"/>
      <c r="E139" s="143"/>
      <c r="F139" s="144"/>
      <c r="G139" s="153"/>
      <c r="H139" s="153"/>
      <c r="I139" s="144"/>
      <c r="J139" s="144"/>
      <c r="K139" s="144"/>
      <c r="L139" s="144"/>
      <c r="M139" s="144"/>
      <c r="N139" s="144"/>
      <c r="O139" s="144"/>
      <c r="P139" s="144"/>
      <c r="Q139" s="144"/>
      <c r="R139" s="144"/>
      <c r="S139" s="144"/>
      <c r="T139" s="144"/>
      <c r="U139" s="144"/>
      <c r="V139" s="144"/>
      <c r="W139" s="144"/>
      <c r="X139" s="144"/>
      <c r="Y139" s="144"/>
      <c r="Z139" s="144"/>
    </row>
    <row r="140" spans="1:26" ht="18.75">
      <c r="A140" s="144"/>
      <c r="B140" s="141"/>
      <c r="C140" s="142"/>
      <c r="D140" s="143"/>
      <c r="E140" s="143"/>
      <c r="F140" s="144"/>
      <c r="G140" s="151"/>
      <c r="H140" s="151"/>
      <c r="I140" s="144"/>
      <c r="J140" s="144"/>
      <c r="K140" s="144"/>
      <c r="L140" s="144"/>
      <c r="M140" s="144"/>
      <c r="N140" s="144"/>
      <c r="O140" s="144"/>
      <c r="P140" s="144"/>
      <c r="Q140" s="144"/>
      <c r="R140" s="144"/>
      <c r="S140" s="144"/>
      <c r="T140" s="144"/>
      <c r="U140" s="144"/>
      <c r="V140" s="144"/>
      <c r="W140" s="144"/>
      <c r="X140" s="144"/>
      <c r="Y140" s="144"/>
      <c r="Z140" s="144"/>
    </row>
    <row r="141" spans="1:26" ht="18.75">
      <c r="A141" s="144"/>
      <c r="B141" s="141"/>
      <c r="C141" s="142"/>
      <c r="D141" s="143"/>
      <c r="E141" s="143"/>
      <c r="F141" s="144"/>
      <c r="G141" s="153"/>
      <c r="H141" s="153"/>
      <c r="I141" s="144"/>
      <c r="J141" s="144"/>
      <c r="K141" s="144"/>
      <c r="L141" s="144"/>
      <c r="M141" s="144"/>
      <c r="N141" s="144"/>
      <c r="O141" s="144"/>
      <c r="P141" s="144"/>
      <c r="Q141" s="144"/>
      <c r="R141" s="144"/>
      <c r="S141" s="144"/>
      <c r="T141" s="144"/>
      <c r="U141" s="144"/>
      <c r="V141" s="144"/>
      <c r="W141" s="144"/>
      <c r="X141" s="144"/>
      <c r="Y141" s="144"/>
      <c r="Z141" s="144"/>
    </row>
    <row r="142" spans="1:26" ht="18.75">
      <c r="A142" s="144"/>
      <c r="B142" s="141"/>
      <c r="C142" s="142"/>
      <c r="D142" s="143"/>
      <c r="E142" s="143"/>
      <c r="F142" s="144"/>
      <c r="G142" s="151"/>
      <c r="H142" s="151"/>
      <c r="I142" s="144"/>
      <c r="J142" s="144"/>
      <c r="K142" s="144"/>
      <c r="L142" s="144"/>
      <c r="M142" s="144"/>
      <c r="N142" s="144"/>
      <c r="O142" s="144"/>
      <c r="P142" s="144"/>
      <c r="Q142" s="144"/>
      <c r="R142" s="144"/>
      <c r="S142" s="144"/>
      <c r="T142" s="144"/>
      <c r="U142" s="144"/>
      <c r="V142" s="144"/>
      <c r="W142" s="144"/>
      <c r="X142" s="144"/>
      <c r="Y142" s="144"/>
      <c r="Z142" s="144"/>
    </row>
    <row r="143" spans="1:26" ht="18.75">
      <c r="A143" s="144"/>
      <c r="B143" s="141"/>
      <c r="C143" s="142"/>
      <c r="D143" s="143"/>
      <c r="E143" s="143"/>
      <c r="F143" s="144"/>
      <c r="G143" s="153"/>
      <c r="H143" s="153"/>
      <c r="I143" s="144"/>
      <c r="J143" s="144"/>
      <c r="K143" s="144"/>
      <c r="L143" s="144"/>
      <c r="M143" s="144"/>
      <c r="N143" s="144"/>
      <c r="O143" s="144"/>
      <c r="P143" s="144"/>
      <c r="Q143" s="144"/>
      <c r="R143" s="144"/>
      <c r="S143" s="144"/>
      <c r="T143" s="144"/>
      <c r="U143" s="144"/>
      <c r="V143" s="144"/>
      <c r="W143" s="144"/>
      <c r="X143" s="144"/>
      <c r="Y143" s="144"/>
      <c r="Z143" s="144"/>
    </row>
    <row r="144" spans="1:26" ht="18.75">
      <c r="A144" s="144"/>
      <c r="B144" s="141"/>
      <c r="C144" s="142"/>
      <c r="D144" s="143"/>
      <c r="E144" s="143"/>
      <c r="F144" s="144"/>
      <c r="G144" s="151"/>
      <c r="H144" s="151"/>
      <c r="I144" s="144"/>
      <c r="J144" s="144"/>
      <c r="K144" s="144"/>
      <c r="L144" s="144"/>
      <c r="M144" s="144"/>
      <c r="N144" s="144"/>
      <c r="O144" s="144"/>
      <c r="P144" s="144"/>
      <c r="Q144" s="144"/>
      <c r="R144" s="144"/>
      <c r="S144" s="144"/>
      <c r="T144" s="144"/>
      <c r="U144" s="144"/>
      <c r="V144" s="144"/>
      <c r="W144" s="144"/>
      <c r="X144" s="144"/>
      <c r="Y144" s="144"/>
      <c r="Z144" s="144"/>
    </row>
    <row r="145" spans="1:26" ht="18.75">
      <c r="A145" s="144"/>
      <c r="B145" s="141"/>
      <c r="C145" s="142"/>
      <c r="D145" s="143"/>
      <c r="E145" s="143"/>
      <c r="F145" s="144"/>
      <c r="G145" s="153"/>
      <c r="H145" s="153"/>
      <c r="I145" s="144"/>
      <c r="J145" s="144"/>
      <c r="K145" s="144"/>
      <c r="L145" s="144"/>
      <c r="M145" s="144"/>
      <c r="N145" s="144"/>
      <c r="O145" s="144"/>
      <c r="P145" s="144"/>
      <c r="Q145" s="144"/>
      <c r="R145" s="144"/>
      <c r="S145" s="144"/>
      <c r="T145" s="144"/>
      <c r="U145" s="144"/>
      <c r="V145" s="144"/>
      <c r="W145" s="144"/>
      <c r="X145" s="144"/>
      <c r="Y145" s="144"/>
      <c r="Z145" s="144"/>
    </row>
    <row r="146" spans="1:26" ht="18.75">
      <c r="A146" s="144"/>
      <c r="B146" s="141"/>
      <c r="C146" s="142"/>
      <c r="D146" s="143"/>
      <c r="E146" s="143"/>
      <c r="F146" s="144"/>
      <c r="G146" s="151"/>
      <c r="H146" s="151"/>
      <c r="I146" s="144"/>
      <c r="J146" s="144"/>
      <c r="K146" s="144"/>
      <c r="L146" s="144"/>
      <c r="M146" s="144"/>
      <c r="N146" s="144"/>
      <c r="O146" s="144"/>
      <c r="P146" s="144"/>
      <c r="Q146" s="144"/>
      <c r="R146" s="144"/>
      <c r="S146" s="144"/>
      <c r="T146" s="144"/>
      <c r="U146" s="144"/>
      <c r="V146" s="144"/>
      <c r="W146" s="144"/>
      <c r="X146" s="144"/>
      <c r="Y146" s="144"/>
      <c r="Z146" s="144"/>
    </row>
    <row r="147" spans="1:26" ht="18.75">
      <c r="A147" s="144"/>
      <c r="B147" s="141"/>
      <c r="C147" s="142"/>
      <c r="D147" s="143"/>
      <c r="E147" s="143"/>
      <c r="F147" s="144"/>
      <c r="G147" s="153"/>
      <c r="H147" s="153"/>
      <c r="I147" s="144"/>
      <c r="J147" s="144"/>
      <c r="K147" s="144"/>
      <c r="L147" s="144"/>
      <c r="M147" s="144"/>
      <c r="N147" s="144"/>
      <c r="O147" s="144"/>
      <c r="P147" s="144"/>
      <c r="Q147" s="144"/>
      <c r="R147" s="144"/>
      <c r="S147" s="144"/>
      <c r="T147" s="144"/>
      <c r="U147" s="144"/>
      <c r="V147" s="144"/>
      <c r="W147" s="144"/>
      <c r="X147" s="144"/>
      <c r="Y147" s="144"/>
      <c r="Z147" s="144"/>
    </row>
    <row r="148" spans="1:26" ht="18.75">
      <c r="A148" s="144"/>
      <c r="B148" s="141"/>
      <c r="C148" s="142"/>
      <c r="D148" s="143"/>
      <c r="E148" s="143"/>
      <c r="F148" s="144"/>
      <c r="G148" s="151"/>
      <c r="H148" s="151"/>
      <c r="I148" s="144"/>
      <c r="J148" s="144"/>
      <c r="K148" s="144"/>
      <c r="L148" s="144"/>
      <c r="M148" s="144"/>
      <c r="N148" s="144"/>
      <c r="O148" s="144"/>
      <c r="P148" s="144"/>
      <c r="Q148" s="144"/>
      <c r="R148" s="144"/>
      <c r="S148" s="144"/>
      <c r="T148" s="144"/>
      <c r="U148" s="144"/>
      <c r="V148" s="144"/>
      <c r="W148" s="144"/>
      <c r="X148" s="144"/>
      <c r="Y148" s="144"/>
      <c r="Z148" s="144"/>
    </row>
    <row r="149" spans="1:26" ht="18.75">
      <c r="A149" s="144"/>
      <c r="B149" s="141"/>
      <c r="C149" s="142"/>
      <c r="D149" s="143"/>
      <c r="E149" s="143"/>
      <c r="F149" s="144"/>
      <c r="G149" s="153"/>
      <c r="H149" s="153"/>
      <c r="I149" s="144"/>
      <c r="J149" s="144"/>
      <c r="K149" s="144"/>
      <c r="L149" s="144"/>
      <c r="M149" s="144"/>
      <c r="N149" s="144"/>
      <c r="O149" s="144"/>
      <c r="P149" s="144"/>
      <c r="Q149" s="144"/>
      <c r="R149" s="144"/>
      <c r="S149" s="144"/>
      <c r="T149" s="144"/>
      <c r="U149" s="144"/>
      <c r="V149" s="144"/>
      <c r="W149" s="144"/>
      <c r="X149" s="144"/>
      <c r="Y149" s="144"/>
      <c r="Z149" s="144"/>
    </row>
    <row r="150" spans="1:26" ht="18.75">
      <c r="A150" s="144"/>
      <c r="B150" s="141"/>
      <c r="C150" s="142"/>
      <c r="D150" s="143"/>
      <c r="E150" s="143"/>
      <c r="F150" s="144"/>
      <c r="G150" s="151"/>
      <c r="H150" s="151"/>
      <c r="I150" s="144"/>
      <c r="J150" s="144"/>
      <c r="K150" s="144"/>
      <c r="L150" s="144"/>
      <c r="M150" s="144"/>
      <c r="N150" s="144"/>
      <c r="O150" s="144"/>
      <c r="P150" s="144"/>
      <c r="Q150" s="144"/>
      <c r="R150" s="144"/>
      <c r="S150" s="144"/>
      <c r="T150" s="144"/>
      <c r="U150" s="144"/>
      <c r="V150" s="144"/>
      <c r="W150" s="144"/>
      <c r="X150" s="144"/>
      <c r="Y150" s="144"/>
      <c r="Z150" s="144"/>
    </row>
    <row r="151" spans="1:26" ht="18.75">
      <c r="A151" s="144"/>
      <c r="B151" s="141"/>
      <c r="C151" s="142"/>
      <c r="D151" s="143"/>
      <c r="E151" s="143"/>
      <c r="F151" s="144"/>
      <c r="G151" s="153"/>
      <c r="H151" s="153"/>
      <c r="I151" s="144"/>
      <c r="J151" s="144"/>
      <c r="K151" s="144"/>
      <c r="L151" s="144"/>
      <c r="M151" s="144"/>
      <c r="N151" s="144"/>
      <c r="O151" s="144"/>
      <c r="P151" s="144"/>
      <c r="Q151" s="144"/>
      <c r="R151" s="144"/>
      <c r="S151" s="144"/>
      <c r="T151" s="144"/>
      <c r="U151" s="144"/>
      <c r="V151" s="144"/>
      <c r="W151" s="144"/>
      <c r="X151" s="144"/>
      <c r="Y151" s="144"/>
      <c r="Z151" s="144"/>
    </row>
    <row r="152" spans="1:26" ht="18.75">
      <c r="A152" s="144"/>
      <c r="B152" s="141"/>
      <c r="C152" s="142"/>
      <c r="D152" s="143"/>
      <c r="E152" s="143"/>
      <c r="F152" s="144"/>
      <c r="G152" s="151"/>
      <c r="H152" s="151"/>
      <c r="I152" s="144"/>
      <c r="J152" s="144"/>
      <c r="K152" s="144"/>
      <c r="L152" s="144"/>
      <c r="M152" s="144"/>
      <c r="N152" s="144"/>
      <c r="O152" s="144"/>
      <c r="P152" s="144"/>
      <c r="Q152" s="144"/>
      <c r="R152" s="144"/>
      <c r="S152" s="144"/>
      <c r="T152" s="144"/>
      <c r="U152" s="144"/>
      <c r="V152" s="144"/>
      <c r="W152" s="144"/>
      <c r="X152" s="144"/>
      <c r="Y152" s="144"/>
      <c r="Z152" s="144"/>
    </row>
    <row r="153" spans="1:26" ht="18.75">
      <c r="A153" s="144"/>
      <c r="B153" s="141"/>
      <c r="C153" s="142"/>
      <c r="D153" s="143"/>
      <c r="E153" s="143"/>
      <c r="F153" s="144"/>
      <c r="G153" s="153"/>
      <c r="H153" s="153"/>
      <c r="I153" s="144"/>
      <c r="J153" s="144"/>
      <c r="K153" s="144"/>
      <c r="L153" s="144"/>
      <c r="M153" s="144"/>
      <c r="N153" s="144"/>
      <c r="O153" s="144"/>
      <c r="P153" s="144"/>
      <c r="Q153" s="144"/>
      <c r="R153" s="144"/>
      <c r="S153" s="144"/>
      <c r="T153" s="144"/>
      <c r="U153" s="144"/>
      <c r="V153" s="144"/>
      <c r="W153" s="144"/>
      <c r="X153" s="144"/>
      <c r="Y153" s="144"/>
      <c r="Z153" s="144"/>
    </row>
    <row r="154" spans="1:26" ht="18.75">
      <c r="A154" s="144"/>
      <c r="B154" s="141"/>
      <c r="C154" s="142"/>
      <c r="D154" s="143"/>
      <c r="E154" s="143"/>
      <c r="F154" s="144"/>
      <c r="G154" s="151"/>
      <c r="H154" s="151"/>
      <c r="I154" s="144"/>
      <c r="J154" s="144"/>
      <c r="K154" s="144"/>
      <c r="L154" s="144"/>
      <c r="M154" s="144"/>
      <c r="N154" s="144"/>
      <c r="O154" s="144"/>
      <c r="P154" s="144"/>
      <c r="Q154" s="144"/>
      <c r="R154" s="144"/>
      <c r="S154" s="144"/>
      <c r="T154" s="144"/>
      <c r="U154" s="144"/>
      <c r="V154" s="144"/>
      <c r="W154" s="144"/>
      <c r="X154" s="144"/>
      <c r="Y154" s="144"/>
      <c r="Z154" s="144"/>
    </row>
    <row r="155" spans="1:26" ht="18.75">
      <c r="A155" s="144"/>
      <c r="B155" s="141"/>
      <c r="C155" s="142"/>
      <c r="D155" s="143"/>
      <c r="E155" s="143"/>
      <c r="F155" s="144"/>
      <c r="G155" s="153"/>
      <c r="H155" s="153"/>
      <c r="I155" s="144"/>
      <c r="J155" s="144"/>
      <c r="K155" s="144"/>
      <c r="L155" s="144"/>
      <c r="M155" s="144"/>
      <c r="N155" s="144"/>
      <c r="O155" s="144"/>
      <c r="P155" s="144"/>
      <c r="Q155" s="144"/>
      <c r="R155" s="144"/>
      <c r="S155" s="144"/>
      <c r="T155" s="144"/>
      <c r="U155" s="144"/>
      <c r="V155" s="144"/>
      <c r="W155" s="144"/>
      <c r="X155" s="144"/>
      <c r="Y155" s="144"/>
      <c r="Z155" s="144"/>
    </row>
    <row r="156" spans="1:26" ht="18.75">
      <c r="A156" s="144"/>
      <c r="B156" s="141"/>
      <c r="C156" s="142"/>
      <c r="D156" s="143"/>
      <c r="E156" s="143"/>
      <c r="F156" s="144"/>
      <c r="G156" s="151"/>
      <c r="H156" s="151"/>
      <c r="I156" s="144"/>
      <c r="J156" s="144"/>
      <c r="K156" s="144"/>
      <c r="L156" s="144"/>
      <c r="M156" s="144"/>
      <c r="N156" s="144"/>
      <c r="O156" s="144"/>
      <c r="P156" s="144"/>
      <c r="Q156" s="144"/>
      <c r="R156" s="144"/>
      <c r="S156" s="144"/>
      <c r="T156" s="144"/>
      <c r="U156" s="144"/>
      <c r="V156" s="144"/>
      <c r="W156" s="144"/>
      <c r="X156" s="144"/>
      <c r="Y156" s="144"/>
      <c r="Z156" s="144"/>
    </row>
    <row r="157" spans="1:26" ht="18.75">
      <c r="A157" s="144"/>
      <c r="B157" s="141"/>
      <c r="C157" s="142"/>
      <c r="D157" s="143"/>
      <c r="E157" s="143"/>
      <c r="F157" s="144"/>
      <c r="G157" s="153"/>
      <c r="H157" s="153"/>
      <c r="I157" s="144"/>
      <c r="J157" s="144"/>
      <c r="K157" s="144"/>
      <c r="L157" s="144"/>
      <c r="M157" s="144"/>
      <c r="N157" s="144"/>
      <c r="O157" s="144"/>
      <c r="P157" s="144"/>
      <c r="Q157" s="144"/>
      <c r="R157" s="144"/>
      <c r="S157" s="144"/>
      <c r="T157" s="144"/>
      <c r="U157" s="144"/>
      <c r="V157" s="144"/>
      <c r="W157" s="144"/>
      <c r="X157" s="144"/>
      <c r="Y157" s="144"/>
      <c r="Z157" s="144"/>
    </row>
    <row r="158" spans="1:26" ht="18.75">
      <c r="A158" s="144"/>
      <c r="B158" s="141"/>
      <c r="C158" s="142"/>
      <c r="D158" s="143"/>
      <c r="E158" s="143"/>
      <c r="F158" s="144"/>
      <c r="G158" s="151"/>
      <c r="H158" s="151"/>
      <c r="I158" s="144"/>
      <c r="J158" s="144"/>
      <c r="K158" s="144"/>
      <c r="L158" s="144"/>
      <c r="M158" s="144"/>
      <c r="N158" s="144"/>
      <c r="O158" s="144"/>
      <c r="P158" s="144"/>
      <c r="Q158" s="144"/>
      <c r="R158" s="144"/>
      <c r="S158" s="144"/>
      <c r="T158" s="144"/>
      <c r="U158" s="144"/>
      <c r="V158" s="144"/>
      <c r="W158" s="144"/>
      <c r="X158" s="144"/>
      <c r="Y158" s="144"/>
      <c r="Z158" s="144"/>
    </row>
    <row r="159" spans="1:26" ht="18.75">
      <c r="A159" s="144"/>
      <c r="B159" s="141"/>
      <c r="C159" s="142"/>
      <c r="D159" s="143"/>
      <c r="E159" s="143"/>
      <c r="F159" s="144"/>
      <c r="G159" s="153"/>
      <c r="H159" s="153"/>
      <c r="I159" s="144"/>
      <c r="J159" s="144"/>
      <c r="K159" s="144"/>
      <c r="L159" s="144"/>
      <c r="M159" s="144"/>
      <c r="N159" s="144"/>
      <c r="O159" s="144"/>
      <c r="P159" s="144"/>
      <c r="Q159" s="144"/>
      <c r="R159" s="144"/>
      <c r="S159" s="144"/>
      <c r="T159" s="144"/>
      <c r="U159" s="144"/>
      <c r="V159" s="144"/>
      <c r="W159" s="144"/>
      <c r="X159" s="144"/>
      <c r="Y159" s="144"/>
      <c r="Z159" s="144"/>
    </row>
    <row r="160" spans="1:26" ht="18.75">
      <c r="A160" s="144"/>
      <c r="B160" s="141"/>
      <c r="C160" s="142"/>
      <c r="D160" s="143"/>
      <c r="E160" s="143"/>
      <c r="F160" s="144"/>
      <c r="G160" s="151"/>
      <c r="H160" s="151"/>
      <c r="I160" s="144"/>
      <c r="J160" s="144"/>
      <c r="K160" s="144"/>
      <c r="L160" s="144"/>
      <c r="M160" s="144"/>
      <c r="N160" s="144"/>
      <c r="O160" s="144"/>
      <c r="P160" s="144"/>
      <c r="Q160" s="144"/>
      <c r="R160" s="144"/>
      <c r="S160" s="144"/>
      <c r="T160" s="144"/>
      <c r="U160" s="144"/>
      <c r="V160" s="144"/>
      <c r="W160" s="144"/>
      <c r="X160" s="144"/>
      <c r="Y160" s="144"/>
      <c r="Z160" s="144"/>
    </row>
    <row r="161" spans="1:26" ht="18.75">
      <c r="A161" s="144"/>
      <c r="B161" s="141"/>
      <c r="C161" s="142"/>
      <c r="D161" s="143"/>
      <c r="E161" s="143"/>
      <c r="F161" s="144"/>
      <c r="G161" s="153"/>
      <c r="H161" s="153"/>
      <c r="I161" s="144"/>
      <c r="J161" s="144"/>
      <c r="K161" s="144"/>
      <c r="L161" s="144"/>
      <c r="M161" s="144"/>
      <c r="N161" s="144"/>
      <c r="O161" s="144"/>
      <c r="P161" s="144"/>
      <c r="Q161" s="144"/>
      <c r="R161" s="144"/>
      <c r="S161" s="144"/>
      <c r="T161" s="144"/>
      <c r="U161" s="144"/>
      <c r="V161" s="144"/>
      <c r="W161" s="144"/>
      <c r="X161" s="144"/>
      <c r="Y161" s="144"/>
      <c r="Z161" s="144"/>
    </row>
    <row r="162" spans="1:26" ht="18.75">
      <c r="A162" s="144"/>
      <c r="B162" s="141"/>
      <c r="C162" s="142"/>
      <c r="D162" s="143"/>
      <c r="E162" s="143"/>
      <c r="F162" s="144"/>
      <c r="G162" s="151"/>
      <c r="H162" s="151"/>
      <c r="I162" s="144"/>
      <c r="J162" s="144"/>
      <c r="K162" s="144"/>
      <c r="L162" s="144"/>
      <c r="M162" s="144"/>
      <c r="N162" s="144"/>
      <c r="O162" s="144"/>
      <c r="P162" s="144"/>
      <c r="Q162" s="144"/>
      <c r="R162" s="144"/>
      <c r="S162" s="144"/>
      <c r="T162" s="144"/>
      <c r="U162" s="144"/>
      <c r="V162" s="144"/>
      <c r="W162" s="144"/>
      <c r="X162" s="144"/>
      <c r="Y162" s="144"/>
      <c r="Z162" s="144"/>
    </row>
    <row r="163" spans="1:26" ht="18.75">
      <c r="A163" s="144"/>
      <c r="B163" s="141"/>
      <c r="C163" s="142"/>
      <c r="D163" s="143"/>
      <c r="E163" s="143"/>
      <c r="F163" s="144"/>
      <c r="G163" s="153"/>
      <c r="H163" s="153"/>
      <c r="I163" s="144"/>
      <c r="J163" s="144"/>
      <c r="K163" s="144"/>
      <c r="L163" s="144"/>
      <c r="M163" s="144"/>
      <c r="N163" s="144"/>
      <c r="O163" s="144"/>
      <c r="P163" s="144"/>
      <c r="Q163" s="144"/>
      <c r="R163" s="144"/>
      <c r="S163" s="144"/>
      <c r="T163" s="144"/>
      <c r="U163" s="144"/>
      <c r="V163" s="144"/>
      <c r="W163" s="144"/>
      <c r="X163" s="144"/>
      <c r="Y163" s="144"/>
      <c r="Z163" s="144"/>
    </row>
    <row r="164" spans="1:26" ht="18.75">
      <c r="A164" s="144"/>
      <c r="B164" s="141"/>
      <c r="C164" s="142"/>
      <c r="D164" s="143"/>
      <c r="E164" s="143"/>
      <c r="F164" s="144"/>
      <c r="G164" s="151"/>
      <c r="H164" s="151"/>
      <c r="I164" s="144"/>
      <c r="J164" s="144"/>
      <c r="K164" s="144"/>
      <c r="L164" s="144"/>
      <c r="M164" s="144"/>
      <c r="N164" s="144"/>
      <c r="O164" s="144"/>
      <c r="P164" s="144"/>
      <c r="Q164" s="144"/>
      <c r="R164" s="144"/>
      <c r="S164" s="144"/>
      <c r="T164" s="144"/>
      <c r="U164" s="144"/>
      <c r="V164" s="144"/>
      <c r="W164" s="144"/>
      <c r="X164" s="144"/>
      <c r="Y164" s="144"/>
      <c r="Z164" s="144"/>
    </row>
    <row r="165" spans="1:26" ht="18.75">
      <c r="A165" s="144"/>
      <c r="B165" s="141"/>
      <c r="C165" s="142"/>
      <c r="D165" s="143"/>
      <c r="E165" s="143"/>
      <c r="F165" s="144"/>
      <c r="G165" s="153"/>
      <c r="H165" s="153"/>
      <c r="I165" s="144"/>
      <c r="J165" s="144"/>
      <c r="K165" s="144"/>
      <c r="L165" s="144"/>
      <c r="M165" s="144"/>
      <c r="N165" s="144"/>
      <c r="O165" s="144"/>
      <c r="P165" s="144"/>
      <c r="Q165" s="144"/>
      <c r="R165" s="144"/>
      <c r="S165" s="144"/>
      <c r="T165" s="144"/>
      <c r="U165" s="144"/>
      <c r="V165" s="144"/>
      <c r="W165" s="144"/>
      <c r="X165" s="144"/>
      <c r="Y165" s="144"/>
      <c r="Z165" s="144"/>
    </row>
    <row r="166" spans="1:26" ht="18.75">
      <c r="A166" s="144"/>
      <c r="B166" s="141"/>
      <c r="C166" s="142"/>
      <c r="D166" s="143"/>
      <c r="E166" s="143"/>
      <c r="F166" s="144"/>
      <c r="G166" s="151"/>
      <c r="H166" s="151"/>
      <c r="I166" s="144"/>
      <c r="J166" s="144"/>
      <c r="K166" s="144"/>
      <c r="L166" s="144"/>
      <c r="M166" s="144"/>
      <c r="N166" s="144"/>
      <c r="O166" s="144"/>
      <c r="P166" s="144"/>
      <c r="Q166" s="144"/>
      <c r="R166" s="144"/>
      <c r="S166" s="144"/>
      <c r="T166" s="144"/>
      <c r="U166" s="144"/>
      <c r="V166" s="144"/>
      <c r="W166" s="144"/>
      <c r="X166" s="144"/>
      <c r="Y166" s="144"/>
      <c r="Z166" s="144"/>
    </row>
    <row r="167" spans="1:26" ht="18.75">
      <c r="A167" s="144"/>
      <c r="B167" s="141"/>
      <c r="C167" s="142"/>
      <c r="D167" s="143"/>
      <c r="E167" s="143"/>
      <c r="F167" s="144"/>
      <c r="G167" s="153"/>
      <c r="H167" s="153"/>
      <c r="I167" s="144"/>
      <c r="J167" s="144"/>
      <c r="K167" s="144"/>
      <c r="L167" s="144"/>
      <c r="M167" s="144"/>
      <c r="N167" s="144"/>
      <c r="O167" s="144"/>
      <c r="P167" s="144"/>
      <c r="Q167" s="144"/>
      <c r="R167" s="144"/>
      <c r="S167" s="144"/>
      <c r="T167" s="144"/>
      <c r="U167" s="144"/>
      <c r="V167" s="144"/>
      <c r="W167" s="144"/>
      <c r="X167" s="144"/>
      <c r="Y167" s="144"/>
      <c r="Z167" s="144"/>
    </row>
    <row r="168" spans="1:26" ht="18.75">
      <c r="A168" s="144"/>
      <c r="B168" s="141"/>
      <c r="C168" s="142"/>
      <c r="D168" s="143"/>
      <c r="E168" s="143"/>
      <c r="F168" s="144"/>
      <c r="G168" s="151"/>
      <c r="H168" s="151"/>
      <c r="I168" s="144"/>
      <c r="J168" s="144"/>
      <c r="K168" s="144"/>
      <c r="L168" s="144"/>
      <c r="M168" s="144"/>
      <c r="N168" s="144"/>
      <c r="O168" s="144"/>
      <c r="P168" s="144"/>
      <c r="Q168" s="144"/>
      <c r="R168" s="144"/>
      <c r="S168" s="144"/>
      <c r="T168" s="144"/>
      <c r="U168" s="144"/>
      <c r="V168" s="144"/>
      <c r="W168" s="144"/>
      <c r="X168" s="144"/>
      <c r="Y168" s="144"/>
      <c r="Z168" s="144"/>
    </row>
    <row r="169" spans="1:26" ht="18.75">
      <c r="A169" s="144"/>
      <c r="B169" s="141"/>
      <c r="C169" s="142"/>
      <c r="D169" s="143"/>
      <c r="E169" s="143"/>
      <c r="F169" s="144"/>
      <c r="G169" s="153"/>
      <c r="H169" s="153"/>
      <c r="I169" s="144"/>
      <c r="J169" s="144"/>
      <c r="K169" s="144"/>
      <c r="L169" s="144"/>
      <c r="M169" s="144"/>
      <c r="N169" s="144"/>
      <c r="O169" s="144"/>
      <c r="P169" s="144"/>
      <c r="Q169" s="144"/>
      <c r="R169" s="144"/>
      <c r="S169" s="144"/>
      <c r="T169" s="144"/>
      <c r="U169" s="144"/>
      <c r="V169" s="144"/>
      <c r="W169" s="144"/>
      <c r="X169" s="144"/>
      <c r="Y169" s="144"/>
      <c r="Z169" s="144"/>
    </row>
    <row r="170" spans="1:26" ht="18.75">
      <c r="A170" s="144"/>
      <c r="B170" s="141"/>
      <c r="C170" s="142"/>
      <c r="D170" s="143"/>
      <c r="E170" s="143"/>
      <c r="F170" s="144"/>
      <c r="G170" s="151"/>
      <c r="H170" s="151"/>
      <c r="I170" s="144"/>
      <c r="J170" s="144"/>
      <c r="K170" s="144"/>
      <c r="L170" s="144"/>
      <c r="M170" s="144"/>
      <c r="N170" s="144"/>
      <c r="O170" s="144"/>
      <c r="P170" s="144"/>
      <c r="Q170" s="144"/>
      <c r="R170" s="144"/>
      <c r="S170" s="144"/>
      <c r="T170" s="144"/>
      <c r="U170" s="144"/>
      <c r="V170" s="144"/>
      <c r="W170" s="144"/>
      <c r="X170" s="144"/>
      <c r="Y170" s="144"/>
      <c r="Z170" s="144"/>
    </row>
    <row r="171" spans="1:26" ht="18.75">
      <c r="A171" s="144"/>
      <c r="B171" s="141"/>
      <c r="C171" s="142"/>
      <c r="D171" s="143"/>
      <c r="E171" s="143"/>
      <c r="F171" s="144"/>
      <c r="G171" s="153"/>
      <c r="H171" s="153"/>
      <c r="I171" s="144"/>
      <c r="J171" s="144"/>
      <c r="K171" s="144"/>
      <c r="L171" s="144"/>
      <c r="M171" s="144"/>
      <c r="N171" s="144"/>
      <c r="O171" s="144"/>
      <c r="P171" s="144"/>
      <c r="Q171" s="144"/>
      <c r="R171" s="144"/>
      <c r="S171" s="144"/>
      <c r="T171" s="144"/>
      <c r="U171" s="144"/>
      <c r="V171" s="144"/>
      <c r="W171" s="144"/>
      <c r="X171" s="144"/>
      <c r="Y171" s="144"/>
      <c r="Z171" s="144"/>
    </row>
    <row r="172" spans="1:26" ht="18.75">
      <c r="A172" s="144"/>
      <c r="B172" s="141"/>
      <c r="C172" s="142"/>
      <c r="D172" s="143"/>
      <c r="E172" s="143"/>
      <c r="F172" s="144"/>
      <c r="G172" s="151"/>
      <c r="H172" s="151"/>
      <c r="I172" s="144"/>
      <c r="J172" s="144"/>
      <c r="K172" s="144"/>
      <c r="L172" s="144"/>
      <c r="M172" s="144"/>
      <c r="N172" s="144"/>
      <c r="O172" s="144"/>
      <c r="P172" s="144"/>
      <c r="Q172" s="144"/>
      <c r="R172" s="144"/>
      <c r="S172" s="144"/>
      <c r="T172" s="144"/>
      <c r="U172" s="144"/>
      <c r="V172" s="144"/>
      <c r="W172" s="144"/>
      <c r="X172" s="144"/>
      <c r="Y172" s="144"/>
      <c r="Z172" s="144"/>
    </row>
    <row r="173" spans="1:26" ht="18.75">
      <c r="A173" s="144"/>
      <c r="B173" s="141"/>
      <c r="C173" s="142"/>
      <c r="D173" s="143"/>
      <c r="E173" s="143"/>
      <c r="F173" s="144"/>
      <c r="G173" s="153"/>
      <c r="H173" s="153"/>
      <c r="I173" s="144"/>
      <c r="J173" s="144"/>
      <c r="K173" s="144"/>
      <c r="L173" s="144"/>
      <c r="M173" s="144"/>
      <c r="N173" s="144"/>
      <c r="O173" s="144"/>
      <c r="P173" s="144"/>
      <c r="Q173" s="144"/>
      <c r="R173" s="144"/>
      <c r="S173" s="144"/>
      <c r="T173" s="144"/>
      <c r="U173" s="144"/>
      <c r="V173" s="144"/>
      <c r="W173" s="144"/>
      <c r="X173" s="144"/>
      <c r="Y173" s="144"/>
      <c r="Z173" s="144"/>
    </row>
    <row r="174" spans="1:26" ht="18.75">
      <c r="A174" s="144"/>
      <c r="B174" s="141"/>
      <c r="C174" s="142"/>
      <c r="D174" s="143"/>
      <c r="E174" s="143"/>
      <c r="F174" s="144"/>
      <c r="G174" s="151"/>
      <c r="H174" s="151"/>
      <c r="I174" s="144"/>
      <c r="J174" s="144"/>
      <c r="K174" s="144"/>
      <c r="L174" s="144"/>
      <c r="M174" s="144"/>
      <c r="N174" s="144"/>
      <c r="O174" s="144"/>
      <c r="P174" s="144"/>
      <c r="Q174" s="144"/>
      <c r="R174" s="144"/>
      <c r="S174" s="144"/>
      <c r="T174" s="144"/>
      <c r="U174" s="144"/>
      <c r="V174" s="144"/>
      <c r="W174" s="144"/>
      <c r="X174" s="144"/>
      <c r="Y174" s="144"/>
      <c r="Z174" s="144"/>
    </row>
    <row r="175" spans="1:26" ht="18.75">
      <c r="A175" s="144"/>
      <c r="B175" s="141"/>
      <c r="C175" s="142"/>
      <c r="D175" s="143"/>
      <c r="E175" s="143"/>
      <c r="F175" s="144"/>
      <c r="G175" s="153"/>
      <c r="H175" s="153"/>
      <c r="I175" s="144"/>
      <c r="J175" s="144"/>
      <c r="K175" s="144"/>
      <c r="L175" s="144"/>
      <c r="M175" s="144"/>
      <c r="N175" s="144"/>
      <c r="O175" s="144"/>
      <c r="P175" s="144"/>
      <c r="Q175" s="144"/>
      <c r="R175" s="144"/>
      <c r="S175" s="144"/>
      <c r="T175" s="144"/>
      <c r="U175" s="144"/>
      <c r="V175" s="144"/>
      <c r="W175" s="144"/>
      <c r="X175" s="144"/>
      <c r="Y175" s="144"/>
      <c r="Z175" s="144"/>
    </row>
    <row r="176" spans="1:26" ht="18.75">
      <c r="A176" s="144"/>
      <c r="B176" s="141"/>
      <c r="C176" s="142"/>
      <c r="D176" s="143"/>
      <c r="E176" s="143"/>
      <c r="F176" s="144"/>
      <c r="G176" s="151"/>
      <c r="H176" s="151"/>
      <c r="I176" s="144"/>
      <c r="J176" s="144"/>
      <c r="K176" s="144"/>
      <c r="L176" s="144"/>
      <c r="M176" s="144"/>
      <c r="N176" s="144"/>
      <c r="O176" s="144"/>
      <c r="P176" s="144"/>
      <c r="Q176" s="144"/>
      <c r="R176" s="144"/>
      <c r="S176" s="144"/>
      <c r="T176" s="144"/>
      <c r="U176" s="144"/>
      <c r="V176" s="144"/>
      <c r="W176" s="144"/>
      <c r="X176" s="144"/>
      <c r="Y176" s="144"/>
      <c r="Z176" s="144"/>
    </row>
    <row r="177" spans="1:26" ht="18.75">
      <c r="A177" s="144"/>
      <c r="B177" s="141"/>
      <c r="C177" s="142"/>
      <c r="D177" s="143"/>
      <c r="E177" s="143"/>
      <c r="F177" s="144"/>
      <c r="G177" s="153"/>
      <c r="H177" s="153"/>
      <c r="I177" s="144"/>
      <c r="J177" s="144"/>
      <c r="K177" s="144"/>
      <c r="L177" s="144"/>
      <c r="M177" s="144"/>
      <c r="N177" s="144"/>
      <c r="O177" s="144"/>
      <c r="P177" s="144"/>
      <c r="Q177" s="144"/>
      <c r="R177" s="144"/>
      <c r="S177" s="144"/>
      <c r="T177" s="144"/>
      <c r="U177" s="144"/>
      <c r="V177" s="144"/>
      <c r="W177" s="144"/>
      <c r="X177" s="144"/>
      <c r="Y177" s="144"/>
      <c r="Z177" s="144"/>
    </row>
    <row r="178" spans="1:26" ht="18.75">
      <c r="A178" s="144"/>
      <c r="B178" s="141"/>
      <c r="C178" s="142"/>
      <c r="D178" s="143"/>
      <c r="E178" s="143"/>
      <c r="F178" s="144"/>
      <c r="G178" s="151"/>
      <c r="H178" s="151"/>
      <c r="I178" s="144"/>
      <c r="J178" s="144"/>
      <c r="K178" s="144"/>
      <c r="L178" s="144"/>
      <c r="M178" s="144"/>
      <c r="N178" s="144"/>
      <c r="O178" s="144"/>
      <c r="P178" s="144"/>
      <c r="Q178" s="144"/>
      <c r="R178" s="144"/>
      <c r="S178" s="144"/>
      <c r="T178" s="144"/>
      <c r="U178" s="144"/>
      <c r="V178" s="144"/>
      <c r="W178" s="144"/>
      <c r="X178" s="144"/>
      <c r="Y178" s="144"/>
      <c r="Z178" s="144"/>
    </row>
    <row r="179" spans="1:26" ht="18.75">
      <c r="A179" s="144"/>
      <c r="B179" s="141"/>
      <c r="C179" s="142"/>
      <c r="D179" s="143"/>
      <c r="E179" s="143"/>
      <c r="F179" s="144"/>
      <c r="G179" s="153"/>
      <c r="H179" s="153"/>
      <c r="I179" s="144"/>
      <c r="J179" s="144"/>
      <c r="K179" s="144"/>
      <c r="L179" s="144"/>
      <c r="M179" s="144"/>
      <c r="N179" s="144"/>
      <c r="O179" s="144"/>
      <c r="P179" s="144"/>
      <c r="Q179" s="144"/>
      <c r="R179" s="144"/>
      <c r="S179" s="144"/>
      <c r="T179" s="144"/>
      <c r="U179" s="144"/>
      <c r="V179" s="144"/>
      <c r="W179" s="144"/>
      <c r="X179" s="144"/>
      <c r="Y179" s="144"/>
      <c r="Z179" s="144"/>
    </row>
    <row r="180" spans="1:26" ht="18.75">
      <c r="A180" s="144"/>
      <c r="B180" s="141"/>
      <c r="C180" s="142"/>
      <c r="D180" s="143"/>
      <c r="E180" s="143"/>
      <c r="F180" s="144"/>
      <c r="G180" s="151"/>
      <c r="H180" s="151"/>
      <c r="I180" s="144"/>
      <c r="J180" s="144"/>
      <c r="K180" s="144"/>
      <c r="L180" s="144"/>
      <c r="M180" s="144"/>
      <c r="N180" s="144"/>
      <c r="O180" s="144"/>
      <c r="P180" s="144"/>
      <c r="Q180" s="144"/>
      <c r="R180" s="144"/>
      <c r="S180" s="144"/>
      <c r="T180" s="144"/>
      <c r="U180" s="144"/>
      <c r="V180" s="144"/>
      <c r="W180" s="144"/>
      <c r="X180" s="144"/>
      <c r="Y180" s="144"/>
      <c r="Z180" s="144"/>
    </row>
    <row r="181" spans="1:26" ht="18.75">
      <c r="A181" s="144"/>
      <c r="B181" s="141"/>
      <c r="C181" s="142"/>
      <c r="D181" s="143"/>
      <c r="E181" s="143"/>
      <c r="F181" s="144"/>
      <c r="G181" s="153"/>
      <c r="H181" s="153"/>
      <c r="I181" s="144"/>
      <c r="J181" s="144"/>
      <c r="K181" s="144"/>
      <c r="L181" s="144"/>
      <c r="M181" s="144"/>
      <c r="N181" s="144"/>
      <c r="O181" s="144"/>
      <c r="P181" s="144"/>
      <c r="Q181" s="144"/>
      <c r="R181" s="144"/>
      <c r="S181" s="144"/>
      <c r="T181" s="144"/>
      <c r="U181" s="144"/>
      <c r="V181" s="144"/>
      <c r="W181" s="144"/>
      <c r="X181" s="144"/>
      <c r="Y181" s="144"/>
      <c r="Z181" s="144"/>
    </row>
    <row r="182" spans="1:26" ht="18.75">
      <c r="A182" s="144"/>
      <c r="B182" s="141"/>
      <c r="C182" s="142"/>
      <c r="D182" s="143"/>
      <c r="E182" s="143"/>
      <c r="F182" s="144"/>
      <c r="G182" s="151"/>
      <c r="H182" s="151"/>
      <c r="I182" s="144"/>
      <c r="J182" s="144"/>
      <c r="K182" s="144"/>
      <c r="L182" s="144"/>
      <c r="M182" s="144"/>
      <c r="N182" s="144"/>
      <c r="O182" s="144"/>
      <c r="P182" s="144"/>
      <c r="Q182" s="144"/>
      <c r="R182" s="144"/>
      <c r="S182" s="144"/>
      <c r="T182" s="144"/>
      <c r="U182" s="144"/>
      <c r="V182" s="144"/>
      <c r="W182" s="144"/>
      <c r="X182" s="144"/>
      <c r="Y182" s="144"/>
      <c r="Z182" s="144"/>
    </row>
    <row r="183" spans="1:26" ht="18.75">
      <c r="A183" s="144"/>
      <c r="B183" s="141"/>
      <c r="C183" s="142"/>
      <c r="D183" s="143"/>
      <c r="E183" s="143"/>
      <c r="F183" s="144"/>
      <c r="G183" s="153"/>
      <c r="H183" s="153"/>
      <c r="I183" s="144"/>
      <c r="J183" s="144"/>
      <c r="K183" s="144"/>
      <c r="L183" s="144"/>
      <c r="M183" s="144"/>
      <c r="N183" s="144"/>
      <c r="O183" s="144"/>
      <c r="P183" s="144"/>
      <c r="Q183" s="144"/>
      <c r="R183" s="144"/>
      <c r="S183" s="144"/>
      <c r="T183" s="144"/>
      <c r="U183" s="144"/>
      <c r="V183" s="144"/>
      <c r="W183" s="144"/>
      <c r="X183" s="144"/>
      <c r="Y183" s="144"/>
      <c r="Z183" s="144"/>
    </row>
    <row r="184" spans="1:26" ht="18.75">
      <c r="A184" s="144"/>
      <c r="B184" s="141"/>
      <c r="C184" s="142"/>
      <c r="D184" s="143"/>
      <c r="E184" s="143"/>
      <c r="F184" s="144"/>
      <c r="G184" s="151"/>
      <c r="H184" s="151"/>
      <c r="I184" s="144"/>
      <c r="J184" s="144"/>
      <c r="K184" s="144"/>
      <c r="L184" s="144"/>
      <c r="M184" s="144"/>
      <c r="N184" s="144"/>
      <c r="O184" s="144"/>
      <c r="P184" s="144"/>
      <c r="Q184" s="144"/>
      <c r="R184" s="144"/>
      <c r="S184" s="144"/>
      <c r="T184" s="144"/>
      <c r="U184" s="144"/>
      <c r="V184" s="144"/>
      <c r="W184" s="144"/>
      <c r="X184" s="144"/>
      <c r="Y184" s="144"/>
      <c r="Z184" s="144"/>
    </row>
    <row r="185" spans="1:26" ht="18.75">
      <c r="A185" s="144"/>
      <c r="B185" s="141"/>
      <c r="C185" s="142"/>
      <c r="D185" s="143"/>
      <c r="E185" s="143"/>
      <c r="F185" s="144"/>
      <c r="G185" s="153"/>
      <c r="H185" s="153"/>
      <c r="I185" s="144"/>
      <c r="J185" s="144"/>
      <c r="K185" s="144"/>
      <c r="L185" s="144"/>
      <c r="M185" s="144"/>
      <c r="N185" s="144"/>
      <c r="O185" s="144"/>
      <c r="P185" s="144"/>
      <c r="Q185" s="144"/>
      <c r="R185" s="144"/>
      <c r="S185" s="144"/>
      <c r="T185" s="144"/>
      <c r="U185" s="144"/>
      <c r="V185" s="144"/>
      <c r="W185" s="144"/>
      <c r="X185" s="144"/>
      <c r="Y185" s="144"/>
      <c r="Z185" s="144"/>
    </row>
    <row r="186" spans="1:26" ht="18.75">
      <c r="A186" s="144"/>
      <c r="B186" s="141"/>
      <c r="C186" s="142"/>
      <c r="D186" s="143"/>
      <c r="E186" s="143"/>
      <c r="F186" s="144"/>
      <c r="G186" s="151"/>
      <c r="H186" s="151"/>
      <c r="I186" s="144"/>
      <c r="J186" s="144"/>
      <c r="K186" s="144"/>
      <c r="L186" s="144"/>
      <c r="M186" s="144"/>
      <c r="N186" s="144"/>
      <c r="O186" s="144"/>
      <c r="P186" s="144"/>
      <c r="Q186" s="144"/>
      <c r="R186" s="144"/>
      <c r="S186" s="144"/>
      <c r="T186" s="144"/>
      <c r="U186" s="144"/>
      <c r="V186" s="144"/>
      <c r="W186" s="144"/>
      <c r="X186" s="144"/>
      <c r="Y186" s="144"/>
      <c r="Z186" s="144"/>
    </row>
    <row r="187" spans="1:26" ht="18.75">
      <c r="A187" s="144"/>
      <c r="B187" s="141"/>
      <c r="C187" s="142"/>
      <c r="D187" s="143"/>
      <c r="E187" s="143"/>
      <c r="F187" s="144"/>
      <c r="G187" s="153"/>
      <c r="H187" s="153"/>
      <c r="I187" s="144"/>
      <c r="J187" s="144"/>
      <c r="K187" s="144"/>
      <c r="L187" s="144"/>
      <c r="M187" s="144"/>
      <c r="N187" s="144"/>
      <c r="O187" s="144"/>
      <c r="P187" s="144"/>
      <c r="Q187" s="144"/>
      <c r="R187" s="144"/>
      <c r="S187" s="144"/>
      <c r="T187" s="144"/>
      <c r="U187" s="144"/>
      <c r="V187" s="144"/>
      <c r="W187" s="144"/>
      <c r="X187" s="144"/>
      <c r="Y187" s="144"/>
      <c r="Z187" s="144"/>
    </row>
    <row r="188" spans="1:26" ht="18.75">
      <c r="A188" s="144"/>
      <c r="B188" s="141"/>
      <c r="C188" s="142"/>
      <c r="D188" s="143"/>
      <c r="E188" s="143"/>
      <c r="F188" s="144"/>
      <c r="G188" s="151"/>
      <c r="H188" s="151"/>
      <c r="I188" s="144"/>
      <c r="J188" s="144"/>
      <c r="K188" s="144"/>
      <c r="L188" s="144"/>
      <c r="M188" s="144"/>
      <c r="N188" s="144"/>
      <c r="O188" s="144"/>
      <c r="P188" s="144"/>
      <c r="Q188" s="144"/>
      <c r="R188" s="144"/>
      <c r="S188" s="144"/>
      <c r="T188" s="144"/>
      <c r="U188" s="144"/>
      <c r="V188" s="144"/>
      <c r="W188" s="144"/>
      <c r="X188" s="144"/>
      <c r="Y188" s="144"/>
      <c r="Z188" s="144"/>
    </row>
    <row r="189" spans="1:26" ht="18.75">
      <c r="A189" s="144"/>
      <c r="B189" s="141"/>
      <c r="C189" s="142"/>
      <c r="D189" s="143"/>
      <c r="E189" s="143"/>
      <c r="F189" s="144"/>
      <c r="G189" s="153"/>
      <c r="H189" s="153"/>
      <c r="I189" s="144"/>
      <c r="J189" s="144"/>
      <c r="K189" s="144"/>
      <c r="L189" s="144"/>
      <c r="M189" s="144"/>
      <c r="N189" s="144"/>
      <c r="O189" s="144"/>
      <c r="P189" s="144"/>
      <c r="Q189" s="144"/>
      <c r="R189" s="144"/>
      <c r="S189" s="144"/>
      <c r="T189" s="144"/>
      <c r="U189" s="144"/>
      <c r="V189" s="144"/>
      <c r="W189" s="144"/>
      <c r="X189" s="144"/>
      <c r="Y189" s="144"/>
      <c r="Z189" s="144"/>
    </row>
    <row r="190" spans="1:26" ht="18.75">
      <c r="A190" s="144"/>
      <c r="B190" s="141"/>
      <c r="C190" s="142"/>
      <c r="D190" s="143"/>
      <c r="E190" s="143"/>
      <c r="F190" s="144"/>
      <c r="G190" s="151"/>
      <c r="H190" s="151"/>
      <c r="I190" s="144"/>
      <c r="J190" s="144"/>
      <c r="K190" s="144"/>
      <c r="L190" s="144"/>
      <c r="M190" s="144"/>
      <c r="N190" s="144"/>
      <c r="O190" s="144"/>
      <c r="P190" s="144"/>
      <c r="Q190" s="144"/>
      <c r="R190" s="144"/>
      <c r="S190" s="144"/>
      <c r="T190" s="144"/>
      <c r="U190" s="144"/>
      <c r="V190" s="144"/>
      <c r="W190" s="144"/>
      <c r="X190" s="144"/>
      <c r="Y190" s="144"/>
      <c r="Z190" s="144"/>
    </row>
    <row r="191" spans="1:26" ht="18.75">
      <c r="A191" s="144"/>
      <c r="B191" s="141"/>
      <c r="C191" s="142"/>
      <c r="D191" s="143"/>
      <c r="E191" s="143"/>
      <c r="F191" s="144"/>
      <c r="G191" s="153"/>
      <c r="H191" s="153"/>
      <c r="I191" s="144"/>
      <c r="J191" s="144"/>
      <c r="K191" s="144"/>
      <c r="L191" s="144"/>
      <c r="M191" s="144"/>
      <c r="N191" s="144"/>
      <c r="O191" s="144"/>
      <c r="P191" s="144"/>
      <c r="Q191" s="144"/>
      <c r="R191" s="144"/>
      <c r="S191" s="144"/>
      <c r="T191" s="144"/>
      <c r="U191" s="144"/>
      <c r="V191" s="144"/>
      <c r="W191" s="144"/>
      <c r="X191" s="144"/>
      <c r="Y191" s="144"/>
      <c r="Z191" s="144"/>
    </row>
    <row r="192" spans="1:26" ht="18.75">
      <c r="A192" s="144"/>
      <c r="B192" s="141"/>
      <c r="C192" s="142"/>
      <c r="D192" s="143"/>
      <c r="E192" s="143"/>
      <c r="F192" s="144"/>
      <c r="G192" s="151"/>
      <c r="H192" s="151"/>
      <c r="I192" s="144"/>
      <c r="J192" s="144"/>
      <c r="K192" s="144"/>
      <c r="L192" s="144"/>
      <c r="M192" s="144"/>
      <c r="N192" s="144"/>
      <c r="O192" s="144"/>
      <c r="P192" s="144"/>
      <c r="Q192" s="144"/>
      <c r="R192" s="144"/>
      <c r="S192" s="144"/>
      <c r="T192" s="144"/>
      <c r="U192" s="144"/>
      <c r="V192" s="144"/>
      <c r="W192" s="144"/>
      <c r="X192" s="144"/>
      <c r="Y192" s="144"/>
      <c r="Z192" s="144"/>
    </row>
    <row r="193" spans="1:26" ht="18.75">
      <c r="A193" s="144"/>
      <c r="B193" s="141"/>
      <c r="C193" s="142"/>
      <c r="D193" s="143"/>
      <c r="E193" s="143"/>
      <c r="F193" s="144"/>
      <c r="G193" s="153"/>
      <c r="H193" s="153"/>
      <c r="I193" s="144"/>
      <c r="J193" s="144"/>
      <c r="K193" s="144"/>
      <c r="L193" s="144"/>
      <c r="M193" s="144"/>
      <c r="N193" s="144"/>
      <c r="O193" s="144"/>
      <c r="P193" s="144"/>
      <c r="Q193" s="144"/>
      <c r="R193" s="144"/>
      <c r="S193" s="144"/>
      <c r="T193" s="144"/>
      <c r="U193" s="144"/>
      <c r="V193" s="144"/>
      <c r="W193" s="144"/>
      <c r="X193" s="144"/>
      <c r="Y193" s="144"/>
      <c r="Z193" s="144"/>
    </row>
    <row r="194" spans="1:26" ht="18.75">
      <c r="A194" s="144"/>
      <c r="B194" s="141"/>
      <c r="C194" s="142"/>
      <c r="D194" s="143"/>
      <c r="E194" s="143"/>
      <c r="F194" s="144"/>
      <c r="G194" s="151"/>
      <c r="H194" s="151"/>
      <c r="I194" s="144"/>
      <c r="J194" s="144"/>
      <c r="K194" s="144"/>
      <c r="L194" s="144"/>
      <c r="M194" s="144"/>
      <c r="N194" s="144"/>
      <c r="O194" s="144"/>
      <c r="P194" s="144"/>
      <c r="Q194" s="144"/>
      <c r="R194" s="144"/>
      <c r="S194" s="144"/>
      <c r="T194" s="144"/>
      <c r="U194" s="144"/>
      <c r="V194" s="144"/>
      <c r="W194" s="144"/>
      <c r="X194" s="144"/>
      <c r="Y194" s="144"/>
      <c r="Z194" s="144"/>
    </row>
    <row r="195" spans="1:26" ht="18.75">
      <c r="A195" s="144"/>
      <c r="B195" s="141"/>
      <c r="C195" s="142"/>
      <c r="D195" s="143"/>
      <c r="E195" s="143"/>
      <c r="F195" s="144"/>
      <c r="G195" s="153"/>
      <c r="H195" s="153"/>
      <c r="I195" s="144"/>
      <c r="J195" s="144"/>
      <c r="K195" s="144"/>
      <c r="L195" s="144"/>
      <c r="M195" s="144"/>
      <c r="N195" s="144"/>
      <c r="O195" s="144"/>
      <c r="P195" s="144"/>
      <c r="Q195" s="144"/>
      <c r="R195" s="144"/>
      <c r="S195" s="144"/>
      <c r="T195" s="144"/>
      <c r="U195" s="144"/>
      <c r="V195" s="144"/>
      <c r="W195" s="144"/>
      <c r="X195" s="144"/>
      <c r="Y195" s="144"/>
      <c r="Z195" s="144"/>
    </row>
    <row r="196" spans="1:26" ht="18.75">
      <c r="A196" s="144"/>
      <c r="B196" s="141"/>
      <c r="C196" s="142"/>
      <c r="D196" s="143"/>
      <c r="E196" s="143"/>
      <c r="F196" s="144"/>
      <c r="G196" s="151"/>
      <c r="H196" s="151"/>
      <c r="I196" s="144"/>
      <c r="J196" s="144"/>
      <c r="K196" s="144"/>
      <c r="L196" s="144"/>
      <c r="M196" s="144"/>
      <c r="N196" s="144"/>
      <c r="O196" s="144"/>
      <c r="P196" s="144"/>
      <c r="Q196" s="144"/>
      <c r="R196" s="144"/>
      <c r="S196" s="144"/>
      <c r="T196" s="144"/>
      <c r="U196" s="144"/>
      <c r="V196" s="144"/>
      <c r="W196" s="144"/>
      <c r="X196" s="144"/>
      <c r="Y196" s="144"/>
      <c r="Z196" s="144"/>
    </row>
    <row r="197" spans="1:26" ht="18.75">
      <c r="A197" s="144"/>
      <c r="B197" s="141"/>
      <c r="C197" s="142"/>
      <c r="D197" s="143"/>
      <c r="E197" s="143"/>
      <c r="F197" s="144"/>
      <c r="G197" s="153"/>
      <c r="H197" s="153"/>
      <c r="I197" s="144"/>
      <c r="J197" s="144"/>
      <c r="K197" s="144"/>
      <c r="L197" s="144"/>
      <c r="M197" s="144"/>
      <c r="N197" s="144"/>
      <c r="O197" s="144"/>
      <c r="P197" s="144"/>
      <c r="Q197" s="144"/>
      <c r="R197" s="144"/>
      <c r="S197" s="144"/>
      <c r="T197" s="144"/>
      <c r="U197" s="144"/>
      <c r="V197" s="144"/>
      <c r="W197" s="144"/>
      <c r="X197" s="144"/>
      <c r="Y197" s="144"/>
      <c r="Z197" s="144"/>
    </row>
    <row r="198" spans="1:26" ht="18.75">
      <c r="A198" s="144"/>
      <c r="B198" s="141"/>
      <c r="C198" s="142"/>
      <c r="D198" s="143"/>
      <c r="E198" s="143"/>
      <c r="F198" s="144"/>
      <c r="G198" s="151"/>
      <c r="H198" s="151"/>
      <c r="I198" s="144"/>
      <c r="J198" s="144"/>
      <c r="K198" s="144"/>
      <c r="L198" s="144"/>
      <c r="M198" s="144"/>
      <c r="N198" s="144"/>
      <c r="O198" s="144"/>
      <c r="P198" s="144"/>
      <c r="Q198" s="144"/>
      <c r="R198" s="144"/>
      <c r="S198" s="144"/>
      <c r="T198" s="144"/>
      <c r="U198" s="144"/>
      <c r="V198" s="144"/>
      <c r="W198" s="144"/>
      <c r="X198" s="144"/>
      <c r="Y198" s="144"/>
      <c r="Z198" s="144"/>
    </row>
    <row r="199" spans="1:26" ht="18.75">
      <c r="A199" s="144"/>
      <c r="B199" s="141"/>
      <c r="C199" s="142"/>
      <c r="D199" s="143"/>
      <c r="E199" s="143"/>
      <c r="F199" s="144"/>
      <c r="G199" s="153"/>
      <c r="H199" s="153"/>
      <c r="I199" s="144"/>
      <c r="J199" s="144"/>
      <c r="K199" s="144"/>
      <c r="L199" s="144"/>
      <c r="M199" s="144"/>
      <c r="N199" s="144"/>
      <c r="O199" s="144"/>
      <c r="P199" s="144"/>
      <c r="Q199" s="144"/>
      <c r="R199" s="144"/>
      <c r="S199" s="144"/>
      <c r="T199" s="144"/>
      <c r="U199" s="144"/>
      <c r="V199" s="144"/>
      <c r="W199" s="144"/>
      <c r="X199" s="144"/>
      <c r="Y199" s="144"/>
      <c r="Z199" s="144"/>
    </row>
    <row r="200" spans="1:26" ht="18.75">
      <c r="A200" s="144"/>
      <c r="B200" s="141"/>
      <c r="C200" s="142"/>
      <c r="D200" s="143"/>
      <c r="E200" s="143"/>
      <c r="F200" s="144"/>
      <c r="G200" s="151"/>
      <c r="H200" s="151"/>
      <c r="I200" s="144"/>
      <c r="J200" s="144"/>
      <c r="K200" s="144"/>
      <c r="L200" s="144"/>
      <c r="M200" s="144"/>
      <c r="N200" s="144"/>
      <c r="O200" s="144"/>
      <c r="P200" s="144"/>
      <c r="Q200" s="144"/>
      <c r="R200" s="144"/>
      <c r="S200" s="144"/>
      <c r="T200" s="144"/>
      <c r="U200" s="144"/>
      <c r="V200" s="144"/>
      <c r="W200" s="144"/>
      <c r="X200" s="144"/>
      <c r="Y200" s="144"/>
      <c r="Z200" s="144"/>
    </row>
    <row r="201" spans="1:26" ht="18.75">
      <c r="A201" s="144"/>
      <c r="B201" s="141"/>
      <c r="C201" s="142"/>
      <c r="D201" s="143"/>
      <c r="E201" s="143"/>
      <c r="F201" s="144"/>
      <c r="G201" s="153"/>
      <c r="H201" s="153"/>
      <c r="I201" s="144"/>
      <c r="J201" s="144"/>
      <c r="K201" s="144"/>
      <c r="L201" s="144"/>
      <c r="M201" s="144"/>
      <c r="N201" s="144"/>
      <c r="O201" s="144"/>
      <c r="P201" s="144"/>
      <c r="Q201" s="144"/>
      <c r="R201" s="144"/>
      <c r="S201" s="144"/>
      <c r="T201" s="144"/>
      <c r="U201" s="144"/>
      <c r="V201" s="144"/>
      <c r="W201" s="144"/>
      <c r="X201" s="144"/>
      <c r="Y201" s="144"/>
      <c r="Z201" s="144"/>
    </row>
    <row r="202" spans="1:26" ht="18.75">
      <c r="A202" s="144"/>
      <c r="B202" s="141"/>
      <c r="C202" s="142"/>
      <c r="D202" s="143"/>
      <c r="E202" s="143"/>
      <c r="F202" s="144"/>
      <c r="G202" s="151"/>
      <c r="H202" s="151"/>
      <c r="I202" s="144"/>
      <c r="J202" s="144"/>
      <c r="K202" s="144"/>
      <c r="L202" s="144"/>
      <c r="M202" s="144"/>
      <c r="N202" s="144"/>
      <c r="O202" s="144"/>
      <c r="P202" s="144"/>
      <c r="Q202" s="144"/>
      <c r="R202" s="144"/>
      <c r="S202" s="144"/>
      <c r="T202" s="144"/>
      <c r="U202" s="144"/>
      <c r="V202" s="144"/>
      <c r="W202" s="144"/>
      <c r="X202" s="144"/>
      <c r="Y202" s="144"/>
      <c r="Z202" s="144"/>
    </row>
    <row r="203" spans="1:26" ht="18.75">
      <c r="A203" s="144"/>
      <c r="B203" s="141"/>
      <c r="C203" s="142"/>
      <c r="D203" s="143"/>
      <c r="E203" s="143"/>
      <c r="F203" s="144"/>
      <c r="G203" s="153"/>
      <c r="H203" s="153"/>
      <c r="I203" s="144"/>
      <c r="J203" s="144"/>
      <c r="K203" s="144"/>
      <c r="L203" s="144"/>
      <c r="M203" s="144"/>
      <c r="N203" s="144"/>
      <c r="O203" s="144"/>
      <c r="P203" s="144"/>
      <c r="Q203" s="144"/>
      <c r="R203" s="144"/>
      <c r="S203" s="144"/>
      <c r="T203" s="144"/>
      <c r="U203" s="144"/>
      <c r="V203" s="144"/>
      <c r="W203" s="144"/>
      <c r="X203" s="144"/>
      <c r="Y203" s="144"/>
      <c r="Z203" s="144"/>
    </row>
    <row r="204" spans="1:26" ht="18.75">
      <c r="A204" s="144"/>
      <c r="B204" s="141"/>
      <c r="C204" s="142"/>
      <c r="D204" s="143"/>
      <c r="E204" s="143"/>
      <c r="F204" s="144"/>
      <c r="G204" s="151"/>
      <c r="H204" s="151"/>
      <c r="I204" s="144"/>
      <c r="J204" s="144"/>
      <c r="K204" s="144"/>
      <c r="L204" s="144"/>
      <c r="M204" s="144"/>
      <c r="N204" s="144"/>
      <c r="O204" s="144"/>
      <c r="P204" s="144"/>
      <c r="Q204" s="144"/>
      <c r="R204" s="144"/>
      <c r="S204" s="144"/>
      <c r="T204" s="144"/>
      <c r="U204" s="144"/>
      <c r="V204" s="144"/>
      <c r="W204" s="144"/>
      <c r="X204" s="144"/>
      <c r="Y204" s="144"/>
      <c r="Z204" s="144"/>
    </row>
    <row r="205" spans="1:26" ht="18.75">
      <c r="A205" s="144"/>
      <c r="B205" s="141"/>
      <c r="C205" s="142"/>
      <c r="D205" s="143"/>
      <c r="E205" s="143"/>
      <c r="F205" s="144"/>
      <c r="G205" s="153"/>
      <c r="H205" s="153"/>
      <c r="I205" s="144"/>
      <c r="J205" s="144"/>
      <c r="K205" s="144"/>
      <c r="L205" s="144"/>
      <c r="M205" s="144"/>
      <c r="N205" s="144"/>
      <c r="O205" s="144"/>
      <c r="P205" s="144"/>
      <c r="Q205" s="144"/>
      <c r="R205" s="144"/>
      <c r="S205" s="144"/>
      <c r="T205" s="144"/>
      <c r="U205" s="144"/>
      <c r="V205" s="144"/>
      <c r="W205" s="144"/>
      <c r="X205" s="144"/>
      <c r="Y205" s="144"/>
      <c r="Z205" s="144"/>
    </row>
    <row r="206" spans="1:26" ht="18.75">
      <c r="A206" s="144"/>
      <c r="B206" s="141"/>
      <c r="C206" s="142"/>
      <c r="D206" s="143"/>
      <c r="E206" s="143"/>
      <c r="F206" s="144"/>
      <c r="G206" s="151"/>
      <c r="H206" s="151"/>
      <c r="I206" s="144"/>
      <c r="J206" s="144"/>
      <c r="K206" s="144"/>
      <c r="L206" s="144"/>
      <c r="M206" s="144"/>
      <c r="N206" s="144"/>
      <c r="O206" s="144"/>
      <c r="P206" s="144"/>
      <c r="Q206" s="144"/>
      <c r="R206" s="144"/>
      <c r="S206" s="144"/>
      <c r="T206" s="144"/>
      <c r="U206" s="144"/>
      <c r="V206" s="144"/>
      <c r="W206" s="144"/>
      <c r="X206" s="144"/>
      <c r="Y206" s="144"/>
      <c r="Z206" s="144"/>
    </row>
    <row r="207" spans="1:26" ht="18.75">
      <c r="A207" s="144"/>
      <c r="B207" s="141"/>
      <c r="C207" s="142"/>
      <c r="D207" s="143"/>
      <c r="E207" s="143"/>
      <c r="F207" s="144"/>
      <c r="G207" s="153"/>
      <c r="H207" s="153"/>
      <c r="I207" s="144"/>
      <c r="J207" s="144"/>
      <c r="K207" s="144"/>
      <c r="L207" s="144"/>
      <c r="M207" s="144"/>
      <c r="N207" s="144"/>
      <c r="O207" s="144"/>
      <c r="P207" s="144"/>
      <c r="Q207" s="144"/>
      <c r="R207" s="144"/>
      <c r="S207" s="144"/>
      <c r="T207" s="144"/>
      <c r="U207" s="144"/>
      <c r="V207" s="144"/>
      <c r="W207" s="144"/>
      <c r="X207" s="144"/>
      <c r="Y207" s="144"/>
      <c r="Z207" s="144"/>
    </row>
    <row r="208" spans="1:26" ht="18.75">
      <c r="A208" s="144"/>
      <c r="B208" s="141"/>
      <c r="C208" s="142"/>
      <c r="D208" s="143"/>
      <c r="E208" s="143"/>
      <c r="F208" s="144"/>
      <c r="G208" s="151"/>
      <c r="H208" s="151"/>
      <c r="I208" s="144"/>
      <c r="J208" s="144"/>
      <c r="K208" s="144"/>
      <c r="L208" s="144"/>
      <c r="M208" s="144"/>
      <c r="N208" s="144"/>
      <c r="O208" s="144"/>
      <c r="P208" s="144"/>
      <c r="Q208" s="144"/>
      <c r="R208" s="144"/>
      <c r="S208" s="144"/>
      <c r="T208" s="144"/>
      <c r="U208" s="144"/>
      <c r="V208" s="144"/>
      <c r="W208" s="144"/>
      <c r="X208" s="144"/>
      <c r="Y208" s="144"/>
      <c r="Z208" s="144"/>
    </row>
    <row r="209" spans="1:26" ht="18.75">
      <c r="A209" s="144"/>
      <c r="B209" s="141"/>
      <c r="C209" s="142"/>
      <c r="D209" s="143"/>
      <c r="E209" s="143"/>
      <c r="F209" s="144"/>
      <c r="G209" s="153"/>
      <c r="H209" s="153"/>
      <c r="I209" s="144"/>
      <c r="J209" s="144"/>
      <c r="K209" s="144"/>
      <c r="L209" s="144"/>
      <c r="M209" s="144"/>
      <c r="N209" s="144"/>
      <c r="O209" s="144"/>
      <c r="P209" s="144"/>
      <c r="Q209" s="144"/>
      <c r="R209" s="144"/>
      <c r="S209" s="144"/>
      <c r="T209" s="144"/>
      <c r="U209" s="144"/>
      <c r="V209" s="144"/>
      <c r="W209" s="144"/>
      <c r="X209" s="144"/>
      <c r="Y209" s="144"/>
      <c r="Z209" s="144"/>
    </row>
    <row r="210" spans="1:26" ht="18.75">
      <c r="A210" s="144"/>
      <c r="B210" s="141"/>
      <c r="C210" s="142"/>
      <c r="D210" s="143"/>
      <c r="E210" s="143"/>
      <c r="F210" s="144"/>
      <c r="G210" s="151"/>
      <c r="H210" s="151"/>
      <c r="I210" s="144"/>
      <c r="J210" s="144"/>
      <c r="K210" s="144"/>
      <c r="L210" s="144"/>
      <c r="M210" s="144"/>
      <c r="N210" s="144"/>
      <c r="O210" s="144"/>
      <c r="P210" s="144"/>
      <c r="Q210" s="144"/>
      <c r="R210" s="144"/>
      <c r="S210" s="144"/>
      <c r="T210" s="144"/>
      <c r="U210" s="144"/>
      <c r="V210" s="144"/>
      <c r="W210" s="144"/>
      <c r="X210" s="144"/>
      <c r="Y210" s="144"/>
      <c r="Z210" s="144"/>
    </row>
    <row r="211" spans="1:26" ht="18.75">
      <c r="A211" s="144"/>
      <c r="B211" s="141"/>
      <c r="C211" s="142"/>
      <c r="D211" s="143"/>
      <c r="E211" s="143"/>
      <c r="F211" s="144"/>
      <c r="G211" s="153"/>
      <c r="H211" s="153"/>
      <c r="I211" s="144"/>
      <c r="J211" s="144"/>
      <c r="K211" s="144"/>
      <c r="L211" s="144"/>
      <c r="M211" s="144"/>
      <c r="N211" s="144"/>
      <c r="O211" s="144"/>
      <c r="P211" s="144"/>
      <c r="Q211" s="144"/>
      <c r="R211" s="144"/>
      <c r="S211" s="144"/>
      <c r="T211" s="144"/>
      <c r="U211" s="144"/>
      <c r="V211" s="144"/>
      <c r="W211" s="144"/>
      <c r="X211" s="144"/>
      <c r="Y211" s="144"/>
      <c r="Z211" s="144"/>
    </row>
    <row r="212" spans="1:26" ht="18.75">
      <c r="A212" s="144"/>
      <c r="B212" s="141"/>
      <c r="C212" s="142"/>
      <c r="D212" s="143"/>
      <c r="E212" s="143"/>
      <c r="F212" s="144"/>
      <c r="G212" s="151"/>
      <c r="H212" s="151"/>
      <c r="I212" s="144"/>
      <c r="J212" s="144"/>
      <c r="K212" s="144"/>
      <c r="L212" s="144"/>
      <c r="M212" s="144"/>
      <c r="N212" s="144"/>
      <c r="O212" s="144"/>
      <c r="P212" s="144"/>
      <c r="Q212" s="144"/>
      <c r="R212" s="144"/>
      <c r="S212" s="144"/>
      <c r="T212" s="144"/>
      <c r="U212" s="144"/>
      <c r="V212" s="144"/>
      <c r="W212" s="144"/>
      <c r="X212" s="144"/>
      <c r="Y212" s="144"/>
      <c r="Z212" s="144"/>
    </row>
    <row r="213" spans="1:26" ht="18.75">
      <c r="A213" s="144"/>
      <c r="B213" s="141"/>
      <c r="C213" s="142"/>
      <c r="D213" s="143"/>
      <c r="E213" s="143"/>
      <c r="F213" s="144"/>
      <c r="G213" s="153"/>
      <c r="H213" s="153"/>
      <c r="I213" s="144"/>
      <c r="J213" s="144"/>
      <c r="K213" s="144"/>
      <c r="L213" s="144"/>
      <c r="M213" s="144"/>
      <c r="N213" s="144"/>
      <c r="O213" s="144"/>
      <c r="P213" s="144"/>
      <c r="Q213" s="144"/>
      <c r="R213" s="144"/>
      <c r="S213" s="144"/>
      <c r="T213" s="144"/>
      <c r="U213" s="144"/>
      <c r="V213" s="144"/>
      <c r="W213" s="144"/>
      <c r="X213" s="144"/>
      <c r="Y213" s="144"/>
      <c r="Z213" s="144"/>
    </row>
    <row r="214" spans="1:26" ht="18.75">
      <c r="A214" s="144"/>
      <c r="B214" s="141"/>
      <c r="C214" s="142"/>
      <c r="D214" s="143"/>
      <c r="E214" s="143"/>
      <c r="F214" s="144"/>
      <c r="G214" s="151"/>
      <c r="H214" s="151"/>
      <c r="I214" s="144"/>
      <c r="J214" s="144"/>
      <c r="K214" s="144"/>
      <c r="L214" s="144"/>
      <c r="M214" s="144"/>
      <c r="N214" s="144"/>
      <c r="O214" s="144"/>
      <c r="P214" s="144"/>
      <c r="Q214" s="144"/>
      <c r="R214" s="144"/>
      <c r="S214" s="144"/>
      <c r="T214" s="144"/>
      <c r="U214" s="144"/>
      <c r="V214" s="144"/>
      <c r="W214" s="144"/>
      <c r="X214" s="144"/>
      <c r="Y214" s="144"/>
      <c r="Z214" s="144"/>
    </row>
    <row r="215" spans="1:26" ht="18.75">
      <c r="A215" s="144"/>
      <c r="B215" s="141"/>
      <c r="C215" s="142"/>
      <c r="D215" s="143"/>
      <c r="E215" s="143"/>
      <c r="F215" s="144"/>
      <c r="G215" s="153"/>
      <c r="H215" s="153"/>
      <c r="I215" s="144"/>
      <c r="J215" s="144"/>
      <c r="K215" s="144"/>
      <c r="L215" s="144"/>
      <c r="M215" s="144"/>
      <c r="N215" s="144"/>
      <c r="O215" s="144"/>
      <c r="P215" s="144"/>
      <c r="Q215" s="144"/>
      <c r="R215" s="144"/>
      <c r="S215" s="144"/>
      <c r="T215" s="144"/>
      <c r="U215" s="144"/>
      <c r="V215" s="144"/>
      <c r="W215" s="144"/>
      <c r="X215" s="144"/>
      <c r="Y215" s="144"/>
      <c r="Z215" s="144"/>
    </row>
    <row r="216" spans="1:26" ht="18.75">
      <c r="A216" s="144"/>
      <c r="B216" s="141"/>
      <c r="C216" s="142"/>
      <c r="D216" s="143"/>
      <c r="E216" s="143"/>
      <c r="F216" s="144"/>
      <c r="G216" s="151"/>
      <c r="H216" s="151"/>
      <c r="I216" s="144"/>
      <c r="J216" s="144"/>
      <c r="K216" s="144"/>
      <c r="L216" s="144"/>
      <c r="M216" s="144"/>
      <c r="N216" s="144"/>
      <c r="O216" s="144"/>
      <c r="P216" s="144"/>
      <c r="Q216" s="144"/>
      <c r="R216" s="144"/>
      <c r="S216" s="144"/>
      <c r="T216" s="144"/>
      <c r="U216" s="144"/>
      <c r="V216" s="144"/>
      <c r="W216" s="144"/>
      <c r="X216" s="144"/>
      <c r="Y216" s="144"/>
      <c r="Z216" s="144"/>
    </row>
    <row r="217" spans="1:26" ht="18.75">
      <c r="A217" s="144"/>
      <c r="B217" s="141"/>
      <c r="C217" s="142"/>
      <c r="D217" s="143"/>
      <c r="E217" s="143"/>
      <c r="F217" s="144"/>
      <c r="G217" s="153"/>
      <c r="H217" s="153"/>
      <c r="I217" s="144"/>
      <c r="J217" s="144"/>
      <c r="K217" s="144"/>
      <c r="L217" s="144"/>
      <c r="M217" s="144"/>
      <c r="N217" s="144"/>
      <c r="O217" s="144"/>
      <c r="P217" s="144"/>
      <c r="Q217" s="144"/>
      <c r="R217" s="144"/>
      <c r="S217" s="144"/>
      <c r="T217" s="144"/>
      <c r="U217" s="144"/>
      <c r="V217" s="144"/>
      <c r="W217" s="144"/>
      <c r="X217" s="144"/>
      <c r="Y217" s="144"/>
      <c r="Z217" s="144"/>
    </row>
    <row r="218" spans="1:26" ht="18.75">
      <c r="A218" s="144"/>
      <c r="B218" s="141"/>
      <c r="C218" s="142"/>
      <c r="D218" s="143"/>
      <c r="E218" s="143"/>
      <c r="F218" s="144"/>
      <c r="G218" s="151"/>
      <c r="H218" s="151"/>
      <c r="I218" s="144"/>
      <c r="J218" s="144"/>
      <c r="K218" s="144"/>
      <c r="L218" s="144"/>
      <c r="M218" s="144"/>
      <c r="N218" s="144"/>
      <c r="O218" s="144"/>
      <c r="P218" s="144"/>
      <c r="Q218" s="144"/>
      <c r="R218" s="144"/>
      <c r="S218" s="144"/>
      <c r="T218" s="144"/>
      <c r="U218" s="144"/>
      <c r="V218" s="144"/>
      <c r="W218" s="144"/>
      <c r="X218" s="144"/>
      <c r="Y218" s="144"/>
      <c r="Z218" s="144"/>
    </row>
    <row r="219" spans="1:26" ht="18.75">
      <c r="A219" s="144"/>
      <c r="B219" s="141"/>
      <c r="C219" s="142"/>
      <c r="D219" s="143"/>
      <c r="E219" s="143"/>
      <c r="F219" s="144"/>
      <c r="G219" s="153"/>
      <c r="H219" s="153"/>
      <c r="I219" s="144"/>
      <c r="J219" s="144"/>
      <c r="K219" s="144"/>
      <c r="L219" s="144"/>
      <c r="M219" s="144"/>
      <c r="N219" s="144"/>
      <c r="O219" s="144"/>
      <c r="P219" s="144"/>
      <c r="Q219" s="144"/>
      <c r="R219" s="144"/>
      <c r="S219" s="144"/>
      <c r="T219" s="144"/>
      <c r="U219" s="144"/>
      <c r="V219" s="144"/>
      <c r="W219" s="144"/>
      <c r="X219" s="144"/>
      <c r="Y219" s="144"/>
      <c r="Z219" s="144"/>
    </row>
    <row r="220" spans="1:26" ht="18.75">
      <c r="A220" s="144"/>
      <c r="B220" s="141"/>
      <c r="C220" s="142"/>
      <c r="D220" s="143"/>
      <c r="E220" s="143"/>
      <c r="F220" s="144"/>
      <c r="G220" s="151"/>
      <c r="H220" s="151"/>
      <c r="I220" s="144"/>
      <c r="J220" s="144"/>
      <c r="K220" s="144"/>
      <c r="L220" s="144"/>
      <c r="M220" s="144"/>
      <c r="N220" s="144"/>
      <c r="O220" s="144"/>
      <c r="P220" s="144"/>
      <c r="Q220" s="144"/>
      <c r="R220" s="144"/>
      <c r="S220" s="144"/>
      <c r="T220" s="144"/>
      <c r="U220" s="144"/>
      <c r="V220" s="144"/>
      <c r="W220" s="144"/>
      <c r="X220" s="144"/>
      <c r="Y220" s="144"/>
      <c r="Z220" s="144"/>
    </row>
    <row r="221" spans="1:26" ht="18.75">
      <c r="A221" s="144"/>
      <c r="B221" s="141"/>
      <c r="C221" s="142"/>
      <c r="D221" s="143"/>
      <c r="E221" s="143"/>
      <c r="F221" s="144"/>
      <c r="G221" s="153"/>
      <c r="H221" s="153"/>
      <c r="I221" s="144"/>
      <c r="J221" s="144"/>
      <c r="K221" s="144"/>
      <c r="L221" s="144"/>
      <c r="M221" s="144"/>
      <c r="N221" s="144"/>
      <c r="O221" s="144"/>
      <c r="P221" s="144"/>
      <c r="Q221" s="144"/>
      <c r="R221" s="144"/>
      <c r="S221" s="144"/>
      <c r="T221" s="144"/>
      <c r="U221" s="144"/>
      <c r="V221" s="144"/>
      <c r="W221" s="144"/>
      <c r="X221" s="144"/>
      <c r="Y221" s="144"/>
      <c r="Z221" s="144"/>
    </row>
    <row r="222" spans="1:26" ht="18.75">
      <c r="A222" s="144"/>
      <c r="B222" s="141"/>
      <c r="C222" s="142"/>
      <c r="D222" s="143"/>
      <c r="E222" s="143"/>
      <c r="F222" s="144"/>
      <c r="G222" s="151"/>
      <c r="H222" s="151"/>
      <c r="I222" s="144"/>
      <c r="J222" s="144"/>
      <c r="K222" s="144"/>
      <c r="L222" s="144"/>
      <c r="M222" s="144"/>
      <c r="N222" s="144"/>
      <c r="O222" s="144"/>
      <c r="P222" s="144"/>
      <c r="Q222" s="144"/>
      <c r="R222" s="144"/>
      <c r="S222" s="144"/>
      <c r="T222" s="144"/>
      <c r="U222" s="144"/>
      <c r="V222" s="144"/>
      <c r="W222" s="144"/>
      <c r="X222" s="144"/>
      <c r="Y222" s="144"/>
      <c r="Z222" s="144"/>
    </row>
    <row r="223" spans="1:26" ht="18.75">
      <c r="A223" s="144"/>
      <c r="B223" s="141"/>
      <c r="C223" s="142"/>
      <c r="D223" s="143"/>
      <c r="E223" s="143"/>
      <c r="F223" s="144"/>
      <c r="G223" s="153"/>
      <c r="H223" s="153"/>
      <c r="I223" s="144"/>
      <c r="J223" s="144"/>
      <c r="K223" s="144"/>
      <c r="L223" s="144"/>
      <c r="M223" s="144"/>
      <c r="N223" s="144"/>
      <c r="O223" s="144"/>
      <c r="P223" s="144"/>
      <c r="Q223" s="144"/>
      <c r="R223" s="144"/>
      <c r="S223" s="144"/>
      <c r="T223" s="144"/>
      <c r="U223" s="144"/>
      <c r="V223" s="144"/>
      <c r="W223" s="144"/>
      <c r="X223" s="144"/>
      <c r="Y223" s="144"/>
      <c r="Z223" s="144"/>
    </row>
    <row r="224" spans="1:26" ht="18.75">
      <c r="A224" s="144"/>
      <c r="B224" s="141"/>
      <c r="C224" s="142"/>
      <c r="D224" s="143"/>
      <c r="E224" s="143"/>
      <c r="F224" s="144"/>
      <c r="G224" s="151"/>
      <c r="H224" s="151"/>
      <c r="I224" s="144"/>
      <c r="J224" s="144"/>
      <c r="K224" s="144"/>
      <c r="L224" s="144"/>
      <c r="M224" s="144"/>
      <c r="N224" s="144"/>
      <c r="O224" s="144"/>
      <c r="P224" s="144"/>
      <c r="Q224" s="144"/>
      <c r="R224" s="144"/>
      <c r="S224" s="144"/>
      <c r="T224" s="144"/>
      <c r="U224" s="144"/>
      <c r="V224" s="144"/>
      <c r="W224" s="144"/>
      <c r="X224" s="144"/>
      <c r="Y224" s="144"/>
      <c r="Z224" s="144"/>
    </row>
    <row r="225" spans="1:26" ht="18.75">
      <c r="A225" s="144"/>
      <c r="B225" s="141"/>
      <c r="C225" s="142"/>
      <c r="D225" s="143"/>
      <c r="E225" s="143"/>
      <c r="F225" s="144"/>
      <c r="G225" s="153"/>
      <c r="H225" s="153"/>
      <c r="I225" s="144"/>
      <c r="J225" s="144"/>
      <c r="K225" s="144"/>
      <c r="L225" s="144"/>
      <c r="M225" s="144"/>
      <c r="N225" s="144"/>
      <c r="O225" s="144"/>
      <c r="P225" s="144"/>
      <c r="Q225" s="144"/>
      <c r="R225" s="144"/>
      <c r="S225" s="144"/>
      <c r="T225" s="144"/>
      <c r="U225" s="144"/>
      <c r="V225" s="144"/>
      <c r="W225" s="144"/>
      <c r="X225" s="144"/>
      <c r="Y225" s="144"/>
      <c r="Z225" s="144"/>
    </row>
    <row r="226" spans="1:26" ht="18.75">
      <c r="A226" s="144"/>
      <c r="B226" s="141"/>
      <c r="C226" s="142"/>
      <c r="D226" s="143"/>
      <c r="E226" s="143"/>
      <c r="F226" s="144"/>
      <c r="G226" s="151"/>
      <c r="H226" s="151"/>
      <c r="I226" s="144"/>
      <c r="J226" s="144"/>
      <c r="K226" s="144"/>
      <c r="L226" s="144"/>
      <c r="M226" s="144"/>
      <c r="N226" s="144"/>
      <c r="O226" s="144"/>
      <c r="P226" s="144"/>
      <c r="Q226" s="144"/>
      <c r="R226" s="144"/>
      <c r="S226" s="144"/>
      <c r="T226" s="144"/>
      <c r="U226" s="144"/>
      <c r="V226" s="144"/>
      <c r="W226" s="144"/>
      <c r="X226" s="144"/>
      <c r="Y226" s="144"/>
      <c r="Z226" s="144"/>
    </row>
    <row r="227" spans="1:26" ht="18.75">
      <c r="A227" s="144"/>
      <c r="B227" s="141"/>
      <c r="C227" s="142"/>
      <c r="D227" s="143"/>
      <c r="E227" s="143"/>
      <c r="F227" s="144"/>
      <c r="G227" s="153"/>
      <c r="H227" s="153"/>
      <c r="I227" s="144"/>
      <c r="J227" s="144"/>
      <c r="K227" s="144"/>
      <c r="L227" s="144"/>
      <c r="M227" s="144"/>
      <c r="N227" s="144"/>
      <c r="O227" s="144"/>
      <c r="P227" s="144"/>
      <c r="Q227" s="144"/>
      <c r="R227" s="144"/>
      <c r="S227" s="144"/>
      <c r="T227" s="144"/>
      <c r="U227" s="144"/>
      <c r="V227" s="144"/>
      <c r="W227" s="144"/>
      <c r="X227" s="144"/>
      <c r="Y227" s="144"/>
      <c r="Z227" s="144"/>
    </row>
    <row r="228" spans="1:26" ht="18.75">
      <c r="A228" s="144"/>
      <c r="B228" s="141"/>
      <c r="C228" s="142"/>
      <c r="D228" s="143"/>
      <c r="E228" s="143"/>
      <c r="F228" s="144"/>
      <c r="G228" s="151"/>
      <c r="H228" s="151"/>
      <c r="I228" s="144"/>
      <c r="J228" s="144"/>
      <c r="K228" s="144"/>
      <c r="L228" s="144"/>
      <c r="M228" s="144"/>
      <c r="N228" s="144"/>
      <c r="O228" s="144"/>
      <c r="P228" s="144"/>
      <c r="Q228" s="144"/>
      <c r="R228" s="144"/>
      <c r="S228" s="144"/>
      <c r="T228" s="144"/>
      <c r="U228" s="144"/>
      <c r="V228" s="144"/>
      <c r="W228" s="144"/>
      <c r="X228" s="144"/>
      <c r="Y228" s="144"/>
      <c r="Z228" s="144"/>
    </row>
    <row r="229" spans="1:26" ht="18.75">
      <c r="A229" s="144"/>
      <c r="B229" s="141"/>
      <c r="C229" s="142"/>
      <c r="D229" s="143"/>
      <c r="E229" s="143"/>
      <c r="F229" s="144"/>
      <c r="G229" s="153"/>
      <c r="H229" s="153"/>
      <c r="I229" s="144"/>
      <c r="J229" s="144"/>
      <c r="K229" s="144"/>
      <c r="L229" s="144"/>
      <c r="M229" s="144"/>
      <c r="N229" s="144"/>
      <c r="O229" s="144"/>
      <c r="P229" s="144"/>
      <c r="Q229" s="144"/>
      <c r="R229" s="144"/>
      <c r="S229" s="144"/>
      <c r="T229" s="144"/>
      <c r="U229" s="144"/>
      <c r="V229" s="144"/>
      <c r="W229" s="144"/>
      <c r="X229" s="144"/>
      <c r="Y229" s="144"/>
      <c r="Z229" s="144"/>
    </row>
    <row r="230" spans="1:26" ht="18.75">
      <c r="A230" s="144"/>
      <c r="B230" s="141"/>
      <c r="C230" s="142"/>
      <c r="D230" s="143"/>
      <c r="E230" s="143"/>
      <c r="F230" s="144"/>
      <c r="G230" s="151"/>
      <c r="H230" s="151"/>
      <c r="I230" s="144"/>
      <c r="J230" s="144"/>
      <c r="K230" s="144"/>
      <c r="L230" s="144"/>
      <c r="M230" s="144"/>
      <c r="N230" s="144"/>
      <c r="O230" s="144"/>
      <c r="P230" s="144"/>
      <c r="Q230" s="144"/>
      <c r="R230" s="144"/>
      <c r="S230" s="144"/>
      <c r="T230" s="144"/>
      <c r="U230" s="144"/>
      <c r="V230" s="144"/>
      <c r="W230" s="144"/>
      <c r="X230" s="144"/>
      <c r="Y230" s="144"/>
      <c r="Z230" s="144"/>
    </row>
    <row r="231" spans="1:26" ht="18.75">
      <c r="A231" s="144"/>
      <c r="B231" s="141"/>
      <c r="C231" s="142"/>
      <c r="D231" s="143"/>
      <c r="E231" s="143"/>
      <c r="F231" s="144"/>
      <c r="G231" s="153"/>
      <c r="H231" s="153"/>
      <c r="I231" s="144"/>
      <c r="J231" s="144"/>
      <c r="K231" s="144"/>
      <c r="L231" s="144"/>
      <c r="M231" s="144"/>
      <c r="N231" s="144"/>
      <c r="O231" s="144"/>
      <c r="P231" s="144"/>
      <c r="Q231" s="144"/>
      <c r="R231" s="144"/>
      <c r="S231" s="144"/>
      <c r="T231" s="144"/>
      <c r="U231" s="144"/>
      <c r="V231" s="144"/>
      <c r="W231" s="144"/>
      <c r="X231" s="144"/>
      <c r="Y231" s="144"/>
      <c r="Z231" s="144"/>
    </row>
    <row r="232" spans="1:26" ht="18.75">
      <c r="A232" s="144"/>
      <c r="B232" s="141"/>
      <c r="C232" s="142"/>
      <c r="D232" s="143"/>
      <c r="E232" s="143"/>
      <c r="F232" s="144"/>
      <c r="G232" s="151"/>
      <c r="H232" s="151"/>
      <c r="I232" s="144"/>
      <c r="J232" s="144"/>
      <c r="K232" s="144"/>
      <c r="L232" s="144"/>
      <c r="M232" s="144"/>
      <c r="N232" s="144"/>
      <c r="O232" s="144"/>
      <c r="P232" s="144"/>
      <c r="Q232" s="144"/>
      <c r="R232" s="144"/>
      <c r="S232" s="144"/>
      <c r="T232" s="144"/>
      <c r="U232" s="144"/>
      <c r="V232" s="144"/>
      <c r="W232" s="144"/>
      <c r="X232" s="144"/>
      <c r="Y232" s="144"/>
      <c r="Z232" s="144"/>
    </row>
    <row r="233" spans="1:26" ht="18.75">
      <c r="A233" s="144"/>
      <c r="B233" s="141"/>
      <c r="C233" s="142"/>
      <c r="D233" s="143"/>
      <c r="E233" s="143"/>
      <c r="F233" s="144"/>
      <c r="G233" s="153"/>
      <c r="H233" s="153"/>
      <c r="I233" s="144"/>
      <c r="J233" s="144"/>
      <c r="K233" s="144"/>
      <c r="L233" s="144"/>
      <c r="M233" s="144"/>
      <c r="N233" s="144"/>
      <c r="O233" s="144"/>
      <c r="P233" s="144"/>
      <c r="Q233" s="144"/>
      <c r="R233" s="144"/>
      <c r="S233" s="144"/>
      <c r="T233" s="144"/>
      <c r="U233" s="144"/>
      <c r="V233" s="144"/>
      <c r="W233" s="144"/>
      <c r="X233" s="144"/>
      <c r="Y233" s="144"/>
      <c r="Z233" s="144"/>
    </row>
    <row r="234" spans="1:26" ht="18.75">
      <c r="A234" s="144"/>
      <c r="B234" s="141"/>
      <c r="C234" s="142"/>
      <c r="D234" s="143"/>
      <c r="E234" s="143"/>
      <c r="F234" s="144"/>
      <c r="G234" s="151"/>
      <c r="H234" s="151"/>
      <c r="I234" s="144"/>
      <c r="J234" s="144"/>
      <c r="K234" s="144"/>
      <c r="L234" s="144"/>
      <c r="M234" s="144"/>
      <c r="N234" s="144"/>
      <c r="O234" s="144"/>
      <c r="P234" s="144"/>
      <c r="Q234" s="144"/>
      <c r="R234" s="144"/>
      <c r="S234" s="144"/>
      <c r="T234" s="144"/>
      <c r="U234" s="144"/>
      <c r="V234" s="144"/>
      <c r="W234" s="144"/>
      <c r="X234" s="144"/>
      <c r="Y234" s="144"/>
      <c r="Z234" s="144"/>
    </row>
    <row r="235" spans="1:26" ht="18.75">
      <c r="A235" s="144"/>
      <c r="B235" s="141"/>
      <c r="C235" s="142"/>
      <c r="D235" s="143"/>
      <c r="E235" s="143"/>
      <c r="F235" s="144"/>
      <c r="G235" s="153"/>
      <c r="H235" s="153"/>
      <c r="I235" s="144"/>
      <c r="J235" s="144"/>
      <c r="K235" s="144"/>
      <c r="L235" s="144"/>
      <c r="M235" s="144"/>
      <c r="N235" s="144"/>
      <c r="O235" s="144"/>
      <c r="P235" s="144"/>
      <c r="Q235" s="144"/>
      <c r="R235" s="144"/>
      <c r="S235" s="144"/>
      <c r="T235" s="144"/>
      <c r="U235" s="144"/>
      <c r="V235" s="144"/>
      <c r="W235" s="144"/>
      <c r="X235" s="144"/>
      <c r="Y235" s="144"/>
      <c r="Z235" s="144"/>
    </row>
    <row r="236" spans="1:26" ht="18.75">
      <c r="A236" s="144"/>
      <c r="B236" s="141"/>
      <c r="C236" s="142"/>
      <c r="D236" s="143"/>
      <c r="E236" s="143"/>
      <c r="F236" s="144"/>
      <c r="G236" s="151"/>
      <c r="H236" s="151"/>
      <c r="I236" s="144"/>
      <c r="J236" s="144"/>
      <c r="K236" s="144"/>
      <c r="L236" s="144"/>
      <c r="M236" s="144"/>
      <c r="N236" s="144"/>
      <c r="O236" s="144"/>
      <c r="P236" s="144"/>
      <c r="Q236" s="144"/>
      <c r="R236" s="144"/>
      <c r="S236" s="144"/>
      <c r="T236" s="144"/>
      <c r="U236" s="144"/>
      <c r="V236" s="144"/>
      <c r="W236" s="144"/>
      <c r="X236" s="144"/>
      <c r="Y236" s="144"/>
      <c r="Z236" s="144"/>
    </row>
    <row r="237" spans="1:26" ht="18.75">
      <c r="A237" s="144"/>
      <c r="B237" s="141"/>
      <c r="C237" s="142"/>
      <c r="D237" s="143"/>
      <c r="E237" s="143"/>
      <c r="F237" s="144"/>
      <c r="G237" s="153"/>
      <c r="H237" s="153"/>
      <c r="I237" s="144"/>
      <c r="J237" s="144"/>
      <c r="K237" s="144"/>
      <c r="L237" s="144"/>
      <c r="M237" s="144"/>
      <c r="N237" s="144"/>
      <c r="O237" s="144"/>
      <c r="P237" s="144"/>
      <c r="Q237" s="144"/>
      <c r="R237" s="144"/>
      <c r="S237" s="144"/>
      <c r="T237" s="144"/>
      <c r="U237" s="144"/>
      <c r="V237" s="144"/>
      <c r="W237" s="144"/>
      <c r="X237" s="144"/>
      <c r="Y237" s="144"/>
      <c r="Z237" s="144"/>
    </row>
    <row r="238" spans="1:26" ht="18.75">
      <c r="A238" s="144"/>
      <c r="B238" s="141"/>
      <c r="C238" s="142"/>
      <c r="D238" s="143"/>
      <c r="E238" s="143"/>
      <c r="F238" s="144"/>
      <c r="G238" s="151"/>
      <c r="H238" s="151"/>
      <c r="I238" s="144"/>
      <c r="J238" s="144"/>
      <c r="K238" s="144"/>
      <c r="L238" s="144"/>
      <c r="M238" s="144"/>
      <c r="N238" s="144"/>
      <c r="O238" s="144"/>
      <c r="P238" s="144"/>
      <c r="Q238" s="144"/>
      <c r="R238" s="144"/>
      <c r="S238" s="144"/>
      <c r="T238" s="144"/>
      <c r="U238" s="144"/>
      <c r="V238" s="144"/>
      <c r="W238" s="144"/>
      <c r="X238" s="144"/>
      <c r="Y238" s="144"/>
      <c r="Z238" s="144"/>
    </row>
    <row r="239" spans="1:26" ht="18.75">
      <c r="A239" s="144"/>
      <c r="B239" s="141"/>
      <c r="C239" s="142"/>
      <c r="D239" s="143"/>
      <c r="E239" s="143"/>
      <c r="F239" s="144"/>
      <c r="G239" s="153"/>
      <c r="H239" s="153"/>
      <c r="I239" s="144"/>
      <c r="J239" s="144"/>
      <c r="K239" s="144"/>
      <c r="L239" s="144"/>
      <c r="M239" s="144"/>
      <c r="N239" s="144"/>
      <c r="O239" s="144"/>
      <c r="P239" s="144"/>
      <c r="Q239" s="144"/>
      <c r="R239" s="144"/>
      <c r="S239" s="144"/>
      <c r="T239" s="144"/>
      <c r="U239" s="144"/>
      <c r="V239" s="144"/>
      <c r="W239" s="144"/>
      <c r="X239" s="144"/>
      <c r="Y239" s="144"/>
      <c r="Z239" s="144"/>
    </row>
    <row r="240" spans="1:26" ht="18.75">
      <c r="A240" s="144"/>
      <c r="B240" s="141"/>
      <c r="C240" s="142"/>
      <c r="D240" s="143"/>
      <c r="E240" s="143"/>
      <c r="F240" s="144"/>
      <c r="G240" s="151"/>
      <c r="H240" s="151"/>
      <c r="I240" s="144"/>
      <c r="J240" s="144"/>
      <c r="K240" s="144"/>
      <c r="L240" s="144"/>
      <c r="M240" s="144"/>
      <c r="N240" s="144"/>
      <c r="O240" s="144"/>
      <c r="P240" s="144"/>
      <c r="Q240" s="144"/>
      <c r="R240" s="144"/>
      <c r="S240" s="144"/>
      <c r="T240" s="144"/>
      <c r="U240" s="144"/>
      <c r="V240" s="144"/>
      <c r="W240" s="144"/>
      <c r="X240" s="144"/>
      <c r="Y240" s="144"/>
      <c r="Z240" s="144"/>
    </row>
    <row r="241" spans="1:26" ht="18.75">
      <c r="A241" s="144"/>
      <c r="B241" s="141"/>
      <c r="C241" s="142"/>
      <c r="D241" s="143"/>
      <c r="E241" s="143"/>
      <c r="F241" s="144"/>
      <c r="G241" s="153"/>
      <c r="H241" s="153"/>
      <c r="I241" s="144"/>
      <c r="J241" s="144"/>
      <c r="K241" s="144"/>
      <c r="L241" s="144"/>
      <c r="M241" s="144"/>
      <c r="N241" s="144"/>
      <c r="O241" s="144"/>
      <c r="P241" s="144"/>
      <c r="Q241" s="144"/>
      <c r="R241" s="144"/>
      <c r="S241" s="144"/>
      <c r="T241" s="144"/>
      <c r="U241" s="144"/>
      <c r="V241" s="144"/>
      <c r="W241" s="144"/>
      <c r="X241" s="144"/>
      <c r="Y241" s="144"/>
      <c r="Z241" s="144"/>
    </row>
    <row r="242" spans="1:26" ht="18.75">
      <c r="A242" s="144"/>
      <c r="B242" s="141"/>
      <c r="C242" s="142"/>
      <c r="D242" s="143"/>
      <c r="E242" s="143"/>
      <c r="F242" s="144"/>
      <c r="G242" s="151"/>
      <c r="H242" s="151"/>
      <c r="I242" s="144"/>
      <c r="J242" s="144"/>
      <c r="K242" s="144"/>
      <c r="L242" s="144"/>
      <c r="M242" s="144"/>
      <c r="N242" s="144"/>
      <c r="O242" s="144"/>
      <c r="P242" s="144"/>
      <c r="Q242" s="144"/>
      <c r="R242" s="144"/>
      <c r="S242" s="144"/>
      <c r="T242" s="144"/>
      <c r="U242" s="144"/>
      <c r="V242" s="144"/>
      <c r="W242" s="144"/>
      <c r="X242" s="144"/>
      <c r="Y242" s="144"/>
      <c r="Z242" s="144"/>
    </row>
    <row r="243" spans="1:26" ht="18.75">
      <c r="A243" s="144"/>
      <c r="B243" s="141"/>
      <c r="C243" s="142"/>
      <c r="D243" s="143"/>
      <c r="E243" s="143"/>
      <c r="F243" s="144"/>
      <c r="G243" s="153"/>
      <c r="H243" s="153"/>
      <c r="I243" s="144"/>
      <c r="J243" s="144"/>
      <c r="K243" s="144"/>
      <c r="L243" s="144"/>
      <c r="M243" s="144"/>
      <c r="N243" s="144"/>
      <c r="O243" s="144"/>
      <c r="P243" s="144"/>
      <c r="Q243" s="144"/>
      <c r="R243" s="144"/>
      <c r="S243" s="144"/>
      <c r="T243" s="144"/>
      <c r="U243" s="144"/>
      <c r="V243" s="144"/>
      <c r="W243" s="144"/>
      <c r="X243" s="144"/>
      <c r="Y243" s="144"/>
      <c r="Z243" s="144"/>
    </row>
    <row r="244" spans="1:26" ht="18.75">
      <c r="A244" s="144"/>
      <c r="B244" s="141"/>
      <c r="C244" s="142"/>
      <c r="D244" s="143"/>
      <c r="E244" s="143"/>
      <c r="F244" s="144"/>
      <c r="G244" s="151"/>
      <c r="H244" s="151"/>
      <c r="I244" s="144"/>
      <c r="J244" s="144"/>
      <c r="K244" s="144"/>
      <c r="L244" s="144"/>
      <c r="M244" s="144"/>
      <c r="N244" s="144"/>
      <c r="O244" s="144"/>
      <c r="P244" s="144"/>
      <c r="Q244" s="144"/>
      <c r="R244" s="144"/>
      <c r="S244" s="144"/>
      <c r="T244" s="144"/>
      <c r="U244" s="144"/>
      <c r="V244" s="144"/>
      <c r="W244" s="144"/>
      <c r="X244" s="144"/>
      <c r="Y244" s="144"/>
      <c r="Z244" s="144"/>
    </row>
    <row r="245" spans="1:26" ht="18.75">
      <c r="A245" s="144"/>
      <c r="B245" s="141"/>
      <c r="C245" s="142"/>
      <c r="D245" s="143"/>
      <c r="E245" s="143"/>
      <c r="F245" s="144"/>
      <c r="G245" s="153"/>
      <c r="H245" s="153"/>
      <c r="I245" s="144"/>
      <c r="J245" s="144"/>
      <c r="K245" s="144"/>
      <c r="L245" s="144"/>
      <c r="M245" s="144"/>
      <c r="N245" s="144"/>
      <c r="O245" s="144"/>
      <c r="P245" s="144"/>
      <c r="Q245" s="144"/>
      <c r="R245" s="144"/>
      <c r="S245" s="144"/>
      <c r="T245" s="144"/>
      <c r="U245" s="144"/>
      <c r="V245" s="144"/>
      <c r="W245" s="144"/>
      <c r="X245" s="144"/>
      <c r="Y245" s="144"/>
      <c r="Z245" s="144"/>
    </row>
    <row r="246" spans="1:26" ht="18.75">
      <c r="A246" s="144"/>
      <c r="B246" s="141"/>
      <c r="C246" s="142"/>
      <c r="D246" s="143"/>
      <c r="E246" s="143"/>
      <c r="F246" s="144"/>
      <c r="G246" s="151"/>
      <c r="H246" s="151"/>
      <c r="I246" s="144"/>
      <c r="J246" s="144"/>
      <c r="K246" s="144"/>
      <c r="L246" s="144"/>
      <c r="M246" s="144"/>
      <c r="N246" s="144"/>
      <c r="O246" s="144"/>
      <c r="P246" s="144"/>
      <c r="Q246" s="144"/>
      <c r="R246" s="144"/>
      <c r="S246" s="144"/>
      <c r="T246" s="144"/>
      <c r="U246" s="144"/>
      <c r="V246" s="144"/>
      <c r="W246" s="144"/>
      <c r="X246" s="144"/>
      <c r="Y246" s="144"/>
      <c r="Z246" s="144"/>
    </row>
    <row r="247" spans="1:26" ht="18.75">
      <c r="A247" s="144"/>
      <c r="B247" s="141"/>
      <c r="C247" s="142"/>
      <c r="D247" s="143"/>
      <c r="E247" s="143"/>
      <c r="F247" s="144"/>
      <c r="G247" s="153"/>
      <c r="H247" s="153"/>
      <c r="I247" s="144"/>
      <c r="J247" s="144"/>
      <c r="K247" s="144"/>
      <c r="L247" s="144"/>
      <c r="M247" s="144"/>
      <c r="N247" s="144"/>
      <c r="O247" s="144"/>
      <c r="P247" s="144"/>
      <c r="Q247" s="144"/>
      <c r="R247" s="144"/>
      <c r="S247" s="144"/>
      <c r="T247" s="144"/>
      <c r="U247" s="144"/>
      <c r="V247" s="144"/>
      <c r="W247" s="144"/>
      <c r="X247" s="144"/>
      <c r="Y247" s="144"/>
      <c r="Z247" s="144"/>
    </row>
    <row r="248" spans="1:26" ht="18.75">
      <c r="A248" s="144"/>
      <c r="B248" s="141"/>
      <c r="C248" s="142"/>
      <c r="D248" s="143"/>
      <c r="E248" s="143"/>
      <c r="F248" s="144"/>
      <c r="G248" s="151"/>
      <c r="H248" s="151"/>
      <c r="I248" s="144"/>
      <c r="J248" s="144"/>
      <c r="K248" s="144"/>
      <c r="L248" s="144"/>
      <c r="M248" s="144"/>
      <c r="N248" s="144"/>
      <c r="O248" s="144"/>
      <c r="P248" s="144"/>
      <c r="Q248" s="144"/>
      <c r="R248" s="144"/>
      <c r="S248" s="144"/>
      <c r="T248" s="144"/>
      <c r="U248" s="144"/>
      <c r="V248" s="144"/>
      <c r="W248" s="144"/>
      <c r="X248" s="144"/>
      <c r="Y248" s="144"/>
      <c r="Z248" s="144"/>
    </row>
    <row r="249" spans="1:26" ht="18.75">
      <c r="A249" s="144"/>
      <c r="B249" s="141"/>
      <c r="C249" s="142"/>
      <c r="D249" s="143"/>
      <c r="E249" s="143"/>
      <c r="F249" s="144"/>
      <c r="G249" s="153"/>
      <c r="H249" s="153"/>
      <c r="I249" s="144"/>
      <c r="J249" s="144"/>
      <c r="K249" s="144"/>
      <c r="L249" s="144"/>
      <c r="M249" s="144"/>
      <c r="N249" s="144"/>
      <c r="O249" s="144"/>
      <c r="P249" s="144"/>
      <c r="Q249" s="144"/>
      <c r="R249" s="144"/>
      <c r="S249" s="144"/>
      <c r="T249" s="144"/>
      <c r="U249" s="144"/>
      <c r="V249" s="144"/>
      <c r="W249" s="144"/>
      <c r="X249" s="144"/>
      <c r="Y249" s="144"/>
      <c r="Z249" s="144"/>
    </row>
    <row r="250" spans="1:26" ht="18.75">
      <c r="A250" s="144"/>
      <c r="B250" s="141"/>
      <c r="C250" s="142"/>
      <c r="D250" s="143"/>
      <c r="E250" s="143"/>
      <c r="F250" s="144"/>
      <c r="G250" s="151"/>
      <c r="H250" s="151"/>
      <c r="I250" s="144"/>
      <c r="J250" s="144"/>
      <c r="K250" s="144"/>
      <c r="L250" s="144"/>
      <c r="M250" s="144"/>
      <c r="N250" s="144"/>
      <c r="O250" s="144"/>
      <c r="P250" s="144"/>
      <c r="Q250" s="144"/>
      <c r="R250" s="144"/>
      <c r="S250" s="144"/>
      <c r="T250" s="144"/>
      <c r="U250" s="144"/>
      <c r="V250" s="144"/>
      <c r="W250" s="144"/>
      <c r="X250" s="144"/>
      <c r="Y250" s="144"/>
      <c r="Z250" s="144"/>
    </row>
    <row r="251" spans="1:26" ht="18.75">
      <c r="A251" s="144"/>
      <c r="B251" s="141"/>
      <c r="C251" s="142"/>
      <c r="D251" s="143"/>
      <c r="E251" s="143"/>
      <c r="F251" s="144"/>
      <c r="G251" s="153"/>
      <c r="H251" s="153"/>
      <c r="I251" s="144"/>
      <c r="J251" s="144"/>
      <c r="K251" s="144"/>
      <c r="L251" s="144"/>
      <c r="M251" s="144"/>
      <c r="N251" s="144"/>
      <c r="O251" s="144"/>
      <c r="P251" s="144"/>
      <c r="Q251" s="144"/>
      <c r="R251" s="144"/>
      <c r="S251" s="144"/>
      <c r="T251" s="144"/>
      <c r="U251" s="144"/>
      <c r="V251" s="144"/>
      <c r="W251" s="144"/>
      <c r="X251" s="144"/>
      <c r="Y251" s="144"/>
      <c r="Z251" s="144"/>
    </row>
    <row r="252" spans="1:26" ht="18.75">
      <c r="A252" s="144"/>
      <c r="B252" s="141"/>
      <c r="C252" s="142"/>
      <c r="D252" s="143"/>
      <c r="E252" s="143"/>
      <c r="F252" s="144"/>
      <c r="G252" s="151"/>
      <c r="H252" s="151"/>
      <c r="I252" s="144"/>
      <c r="J252" s="144"/>
      <c r="K252" s="144"/>
      <c r="L252" s="144"/>
      <c r="M252" s="144"/>
      <c r="N252" s="144"/>
      <c r="O252" s="144"/>
      <c r="P252" s="144"/>
      <c r="Q252" s="144"/>
      <c r="R252" s="144"/>
      <c r="S252" s="144"/>
      <c r="T252" s="144"/>
      <c r="U252" s="144"/>
      <c r="V252" s="144"/>
      <c r="W252" s="144"/>
      <c r="X252" s="144"/>
      <c r="Y252" s="144"/>
      <c r="Z252" s="144"/>
    </row>
    <row r="253" spans="1:26" ht="18.75">
      <c r="A253" s="144"/>
      <c r="B253" s="141"/>
      <c r="C253" s="142"/>
      <c r="D253" s="143"/>
      <c r="E253" s="143"/>
      <c r="F253" s="144"/>
      <c r="G253" s="153"/>
      <c r="H253" s="153"/>
      <c r="I253" s="144"/>
      <c r="J253" s="144"/>
      <c r="K253" s="144"/>
      <c r="L253" s="144"/>
      <c r="M253" s="144"/>
      <c r="N253" s="144"/>
      <c r="O253" s="144"/>
      <c r="P253" s="144"/>
      <c r="Q253" s="144"/>
      <c r="R253" s="144"/>
      <c r="S253" s="144"/>
      <c r="T253" s="144"/>
      <c r="U253" s="144"/>
      <c r="V253" s="144"/>
      <c r="W253" s="144"/>
      <c r="X253" s="144"/>
      <c r="Y253" s="144"/>
      <c r="Z253" s="144"/>
    </row>
    <row r="254" spans="1:26" ht="18.75">
      <c r="A254" s="144"/>
      <c r="B254" s="141"/>
      <c r="C254" s="142"/>
      <c r="D254" s="143"/>
      <c r="E254" s="143"/>
      <c r="F254" s="144"/>
      <c r="G254" s="151"/>
      <c r="H254" s="151"/>
      <c r="I254" s="144"/>
      <c r="J254" s="144"/>
      <c r="K254" s="144"/>
      <c r="L254" s="144"/>
      <c r="M254" s="144"/>
      <c r="N254" s="144"/>
      <c r="O254" s="144"/>
      <c r="P254" s="144"/>
      <c r="Q254" s="144"/>
      <c r="R254" s="144"/>
      <c r="S254" s="144"/>
      <c r="T254" s="144"/>
      <c r="U254" s="144"/>
      <c r="V254" s="144"/>
      <c r="W254" s="144"/>
      <c r="X254" s="144"/>
      <c r="Y254" s="144"/>
      <c r="Z254" s="144"/>
    </row>
    <row r="255" spans="1:26" ht="18.75">
      <c r="A255" s="144"/>
      <c r="B255" s="141"/>
      <c r="C255" s="142"/>
      <c r="D255" s="143"/>
      <c r="E255" s="143"/>
      <c r="F255" s="144"/>
      <c r="G255" s="153"/>
      <c r="H255" s="153"/>
      <c r="I255" s="144"/>
      <c r="J255" s="144"/>
      <c r="K255" s="144"/>
      <c r="L255" s="144"/>
      <c r="M255" s="144"/>
      <c r="N255" s="144"/>
      <c r="O255" s="144"/>
      <c r="P255" s="144"/>
      <c r="Q255" s="144"/>
      <c r="R255" s="144"/>
      <c r="S255" s="144"/>
      <c r="T255" s="144"/>
      <c r="U255" s="144"/>
      <c r="V255" s="144"/>
      <c r="W255" s="144"/>
      <c r="X255" s="144"/>
      <c r="Y255" s="144"/>
      <c r="Z255" s="144"/>
    </row>
    <row r="256" spans="1:26" ht="18.75">
      <c r="A256" s="144"/>
      <c r="B256" s="141"/>
      <c r="C256" s="142"/>
      <c r="D256" s="143"/>
      <c r="E256" s="143"/>
      <c r="F256" s="144"/>
      <c r="G256" s="151"/>
      <c r="H256" s="151"/>
      <c r="I256" s="144"/>
      <c r="J256" s="144"/>
      <c r="K256" s="144"/>
      <c r="L256" s="144"/>
      <c r="M256" s="144"/>
      <c r="N256" s="144"/>
      <c r="O256" s="144"/>
      <c r="P256" s="144"/>
      <c r="Q256" s="144"/>
      <c r="R256" s="144"/>
      <c r="S256" s="144"/>
      <c r="T256" s="144"/>
      <c r="U256" s="144"/>
      <c r="V256" s="144"/>
      <c r="W256" s="144"/>
      <c r="X256" s="144"/>
      <c r="Y256" s="144"/>
      <c r="Z256" s="144"/>
    </row>
    <row r="257" spans="1:26" ht="18.75">
      <c r="A257" s="144"/>
      <c r="B257" s="141"/>
      <c r="C257" s="142"/>
      <c r="D257" s="143"/>
      <c r="E257" s="143"/>
      <c r="F257" s="144"/>
      <c r="G257" s="153"/>
      <c r="H257" s="153"/>
      <c r="I257" s="144"/>
      <c r="J257" s="144"/>
      <c r="K257" s="144"/>
      <c r="L257" s="144"/>
      <c r="M257" s="144"/>
      <c r="N257" s="144"/>
      <c r="O257" s="144"/>
      <c r="P257" s="144"/>
      <c r="Q257" s="144"/>
      <c r="R257" s="144"/>
      <c r="S257" s="144"/>
      <c r="T257" s="144"/>
      <c r="U257" s="144"/>
      <c r="V257" s="144"/>
      <c r="W257" s="144"/>
      <c r="X257" s="144"/>
      <c r="Y257" s="144"/>
      <c r="Z257" s="144"/>
    </row>
    <row r="258" spans="1:26" ht="18.75">
      <c r="A258" s="144"/>
      <c r="B258" s="141"/>
      <c r="C258" s="142"/>
      <c r="D258" s="143"/>
      <c r="E258" s="143"/>
      <c r="F258" s="144"/>
      <c r="G258" s="151"/>
      <c r="H258" s="151"/>
      <c r="I258" s="144"/>
      <c r="J258" s="144"/>
      <c r="K258" s="144"/>
      <c r="L258" s="144"/>
      <c r="M258" s="144"/>
      <c r="N258" s="144"/>
      <c r="O258" s="144"/>
      <c r="P258" s="144"/>
      <c r="Q258" s="144"/>
      <c r="R258" s="144"/>
      <c r="S258" s="144"/>
      <c r="T258" s="144"/>
      <c r="U258" s="144"/>
      <c r="V258" s="144"/>
      <c r="W258" s="144"/>
      <c r="X258" s="144"/>
      <c r="Y258" s="144"/>
      <c r="Z258" s="144"/>
    </row>
    <row r="259" spans="1:26" ht="18.75">
      <c r="A259" s="144"/>
      <c r="B259" s="141"/>
      <c r="C259" s="142"/>
      <c r="D259" s="143"/>
      <c r="E259" s="143"/>
      <c r="F259" s="144"/>
      <c r="G259" s="153"/>
      <c r="H259" s="153"/>
      <c r="I259" s="144"/>
      <c r="J259" s="144"/>
      <c r="K259" s="144"/>
      <c r="L259" s="144"/>
      <c r="M259" s="144"/>
      <c r="N259" s="144"/>
      <c r="O259" s="144"/>
      <c r="P259" s="144"/>
      <c r="Q259" s="144"/>
      <c r="R259" s="144"/>
      <c r="S259" s="144"/>
      <c r="T259" s="144"/>
      <c r="U259" s="144"/>
      <c r="V259" s="144"/>
      <c r="W259" s="144"/>
      <c r="X259" s="144"/>
      <c r="Y259" s="144"/>
      <c r="Z259" s="144"/>
    </row>
    <row r="260" spans="1:26" ht="18.75">
      <c r="A260" s="144"/>
      <c r="B260" s="141"/>
      <c r="C260" s="142"/>
      <c r="D260" s="143"/>
      <c r="E260" s="143"/>
      <c r="F260" s="144"/>
      <c r="G260" s="151"/>
      <c r="H260" s="151"/>
      <c r="I260" s="144"/>
      <c r="J260" s="144"/>
      <c r="K260" s="144"/>
      <c r="L260" s="144"/>
      <c r="M260" s="144"/>
      <c r="N260" s="144"/>
      <c r="O260" s="144"/>
      <c r="P260" s="144"/>
      <c r="Q260" s="144"/>
      <c r="R260" s="144"/>
      <c r="S260" s="144"/>
      <c r="T260" s="144"/>
      <c r="U260" s="144"/>
      <c r="V260" s="144"/>
      <c r="W260" s="144"/>
      <c r="X260" s="144"/>
      <c r="Y260" s="144"/>
      <c r="Z260" s="144"/>
    </row>
    <row r="261" spans="1:26" ht="18.75">
      <c r="A261" s="144"/>
      <c r="B261" s="141"/>
      <c r="C261" s="142"/>
      <c r="D261" s="143"/>
      <c r="E261" s="143"/>
      <c r="F261" s="144"/>
      <c r="G261" s="153"/>
      <c r="H261" s="153"/>
      <c r="I261" s="144"/>
      <c r="J261" s="144"/>
      <c r="K261" s="144"/>
      <c r="L261" s="144"/>
      <c r="M261" s="144"/>
      <c r="N261" s="144"/>
      <c r="O261" s="144"/>
      <c r="P261" s="144"/>
      <c r="Q261" s="144"/>
      <c r="R261" s="144"/>
      <c r="S261" s="144"/>
      <c r="T261" s="144"/>
      <c r="U261" s="144"/>
      <c r="V261" s="144"/>
      <c r="W261" s="144"/>
      <c r="X261" s="144"/>
      <c r="Y261" s="144"/>
      <c r="Z261" s="144"/>
    </row>
    <row r="262" spans="1:26" ht="18.75">
      <c r="A262" s="144"/>
      <c r="B262" s="141"/>
      <c r="C262" s="142"/>
      <c r="D262" s="143"/>
      <c r="E262" s="143"/>
      <c r="F262" s="144"/>
      <c r="G262" s="151"/>
      <c r="H262" s="151"/>
      <c r="I262" s="144"/>
      <c r="J262" s="144"/>
      <c r="K262" s="144"/>
      <c r="L262" s="144"/>
      <c r="M262" s="144"/>
      <c r="N262" s="144"/>
      <c r="O262" s="144"/>
      <c r="P262" s="144"/>
      <c r="Q262" s="144"/>
      <c r="R262" s="144"/>
      <c r="S262" s="144"/>
      <c r="T262" s="144"/>
      <c r="U262" s="144"/>
      <c r="V262" s="144"/>
      <c r="W262" s="144"/>
      <c r="X262" s="144"/>
      <c r="Y262" s="144"/>
      <c r="Z262" s="144"/>
    </row>
    <row r="263" spans="1:26" ht="18.75">
      <c r="A263" s="144"/>
      <c r="B263" s="141"/>
      <c r="C263" s="142"/>
      <c r="D263" s="143"/>
      <c r="E263" s="143"/>
      <c r="F263" s="144"/>
      <c r="G263" s="153"/>
      <c r="H263" s="153"/>
      <c r="I263" s="144"/>
      <c r="J263" s="144"/>
      <c r="K263" s="144"/>
      <c r="L263" s="144"/>
      <c r="M263" s="144"/>
      <c r="N263" s="144"/>
      <c r="O263" s="144"/>
      <c r="P263" s="144"/>
      <c r="Q263" s="144"/>
      <c r="R263" s="144"/>
      <c r="S263" s="144"/>
      <c r="T263" s="144"/>
      <c r="U263" s="144"/>
      <c r="V263" s="144"/>
      <c r="W263" s="144"/>
      <c r="X263" s="144"/>
      <c r="Y263" s="144"/>
      <c r="Z263" s="144"/>
    </row>
    <row r="264" spans="1:26" ht="18.75">
      <c r="A264" s="144"/>
      <c r="B264" s="141"/>
      <c r="C264" s="142"/>
      <c r="D264" s="143"/>
      <c r="E264" s="143"/>
      <c r="F264" s="144"/>
      <c r="G264" s="151"/>
      <c r="H264" s="151"/>
      <c r="I264" s="144"/>
      <c r="J264" s="144"/>
      <c r="K264" s="144"/>
      <c r="L264" s="144"/>
      <c r="M264" s="144"/>
      <c r="N264" s="144"/>
      <c r="O264" s="144"/>
      <c r="P264" s="144"/>
      <c r="Q264" s="144"/>
      <c r="R264" s="144"/>
      <c r="S264" s="144"/>
      <c r="T264" s="144"/>
      <c r="U264" s="144"/>
      <c r="V264" s="144"/>
      <c r="W264" s="144"/>
      <c r="X264" s="144"/>
      <c r="Y264" s="144"/>
      <c r="Z264" s="144"/>
    </row>
    <row r="265" spans="1:26" ht="18.75">
      <c r="A265" s="144"/>
      <c r="B265" s="141"/>
      <c r="C265" s="142"/>
      <c r="D265" s="143"/>
      <c r="E265" s="143"/>
      <c r="F265" s="144"/>
      <c r="G265" s="153"/>
      <c r="H265" s="153"/>
      <c r="I265" s="144"/>
      <c r="J265" s="144"/>
      <c r="K265" s="144"/>
      <c r="L265" s="144"/>
      <c r="M265" s="144"/>
      <c r="N265" s="144"/>
      <c r="O265" s="144"/>
      <c r="P265" s="144"/>
      <c r="Q265" s="144"/>
      <c r="R265" s="144"/>
      <c r="S265" s="144"/>
      <c r="T265" s="144"/>
      <c r="U265" s="144"/>
      <c r="V265" s="144"/>
      <c r="W265" s="144"/>
      <c r="X265" s="144"/>
      <c r="Y265" s="144"/>
      <c r="Z265" s="144"/>
    </row>
    <row r="266" spans="1:26" ht="18.75">
      <c r="A266" s="144"/>
      <c r="B266" s="141"/>
      <c r="C266" s="142"/>
      <c r="D266" s="143"/>
      <c r="E266" s="143"/>
      <c r="F266" s="144"/>
      <c r="G266" s="151"/>
      <c r="H266" s="151"/>
      <c r="I266" s="144"/>
      <c r="J266" s="144"/>
      <c r="K266" s="144"/>
      <c r="L266" s="144"/>
      <c r="M266" s="144"/>
      <c r="N266" s="144"/>
      <c r="O266" s="144"/>
      <c r="P266" s="144"/>
      <c r="Q266" s="144"/>
      <c r="R266" s="144"/>
      <c r="S266" s="144"/>
      <c r="T266" s="144"/>
      <c r="U266" s="144"/>
      <c r="V266" s="144"/>
      <c r="W266" s="144"/>
      <c r="X266" s="144"/>
      <c r="Y266" s="144"/>
      <c r="Z266" s="144"/>
    </row>
    <row r="267" spans="1:26" ht="18.75">
      <c r="A267" s="144"/>
      <c r="B267" s="141"/>
      <c r="C267" s="142"/>
      <c r="D267" s="143"/>
      <c r="E267" s="143"/>
      <c r="F267" s="144"/>
      <c r="G267" s="153"/>
      <c r="H267" s="153"/>
      <c r="I267" s="144"/>
      <c r="J267" s="144"/>
      <c r="K267" s="144"/>
      <c r="L267" s="144"/>
      <c r="M267" s="144"/>
      <c r="N267" s="144"/>
      <c r="O267" s="144"/>
      <c r="P267" s="144"/>
      <c r="Q267" s="144"/>
      <c r="R267" s="144"/>
      <c r="S267" s="144"/>
      <c r="T267" s="144"/>
      <c r="U267" s="144"/>
      <c r="V267" s="144"/>
      <c r="W267" s="144"/>
      <c r="X267" s="144"/>
      <c r="Y267" s="144"/>
      <c r="Z267" s="144"/>
    </row>
    <row r="268" spans="1:26" ht="18.75">
      <c r="A268" s="144"/>
      <c r="B268" s="141"/>
      <c r="C268" s="142"/>
      <c r="D268" s="143"/>
      <c r="E268" s="143"/>
      <c r="F268" s="144"/>
      <c r="G268" s="151"/>
      <c r="H268" s="151"/>
      <c r="I268" s="144"/>
      <c r="J268" s="144"/>
      <c r="K268" s="144"/>
      <c r="L268" s="144"/>
      <c r="M268" s="144"/>
      <c r="N268" s="144"/>
      <c r="O268" s="144"/>
      <c r="P268" s="144"/>
      <c r="Q268" s="144"/>
      <c r="R268" s="144"/>
      <c r="S268" s="144"/>
      <c r="T268" s="144"/>
      <c r="U268" s="144"/>
      <c r="V268" s="144"/>
      <c r="W268" s="144"/>
      <c r="X268" s="144"/>
      <c r="Y268" s="144"/>
      <c r="Z268" s="144"/>
    </row>
    <row r="269" spans="1:26" ht="18.75">
      <c r="A269" s="144"/>
      <c r="B269" s="141"/>
      <c r="C269" s="142"/>
      <c r="D269" s="143"/>
      <c r="E269" s="143"/>
      <c r="F269" s="144"/>
      <c r="G269" s="153"/>
      <c r="H269" s="153"/>
      <c r="I269" s="144"/>
      <c r="J269" s="144"/>
      <c r="K269" s="144"/>
      <c r="L269" s="144"/>
      <c r="M269" s="144"/>
      <c r="N269" s="144"/>
      <c r="O269" s="144"/>
      <c r="P269" s="144"/>
      <c r="Q269" s="144"/>
      <c r="R269" s="144"/>
      <c r="S269" s="144"/>
      <c r="T269" s="144"/>
      <c r="U269" s="144"/>
      <c r="V269" s="144"/>
      <c r="W269" s="144"/>
      <c r="X269" s="144"/>
      <c r="Y269" s="144"/>
      <c r="Z269" s="144"/>
    </row>
    <row r="270" spans="1:26" ht="18.75">
      <c r="A270" s="144"/>
      <c r="B270" s="141"/>
      <c r="C270" s="142"/>
      <c r="D270" s="143"/>
      <c r="E270" s="143"/>
      <c r="F270" s="144"/>
      <c r="G270" s="151"/>
      <c r="H270" s="151"/>
      <c r="I270" s="144"/>
      <c r="J270" s="144"/>
      <c r="K270" s="144"/>
      <c r="L270" s="144"/>
      <c r="M270" s="144"/>
      <c r="N270" s="144"/>
      <c r="O270" s="144"/>
      <c r="P270" s="144"/>
      <c r="Q270" s="144"/>
      <c r="R270" s="144"/>
      <c r="S270" s="144"/>
      <c r="T270" s="144"/>
      <c r="U270" s="144"/>
      <c r="V270" s="144"/>
      <c r="W270" s="144"/>
      <c r="X270" s="144"/>
      <c r="Y270" s="144"/>
      <c r="Z270" s="144"/>
    </row>
    <row r="271" spans="1:26" ht="18.75">
      <c r="A271" s="144"/>
      <c r="B271" s="141"/>
      <c r="C271" s="142"/>
      <c r="D271" s="143"/>
      <c r="E271" s="143"/>
      <c r="F271" s="144"/>
      <c r="G271" s="153"/>
      <c r="H271" s="153"/>
      <c r="I271" s="144"/>
      <c r="J271" s="144"/>
      <c r="K271" s="144"/>
      <c r="L271" s="144"/>
      <c r="M271" s="144"/>
      <c r="N271" s="144"/>
      <c r="O271" s="144"/>
      <c r="P271" s="144"/>
      <c r="Q271" s="144"/>
      <c r="R271" s="144"/>
      <c r="S271" s="144"/>
      <c r="T271" s="144"/>
      <c r="U271" s="144"/>
      <c r="V271" s="144"/>
      <c r="W271" s="144"/>
      <c r="X271" s="144"/>
      <c r="Y271" s="144"/>
      <c r="Z271" s="144"/>
    </row>
    <row r="272" spans="1:26" ht="18.75">
      <c r="A272" s="144"/>
      <c r="B272" s="141"/>
      <c r="C272" s="142"/>
      <c r="D272" s="143"/>
      <c r="E272" s="143"/>
      <c r="F272" s="144"/>
      <c r="G272" s="151"/>
      <c r="H272" s="151"/>
      <c r="I272" s="144"/>
      <c r="J272" s="144"/>
      <c r="K272" s="144"/>
      <c r="L272" s="144"/>
      <c r="M272" s="144"/>
      <c r="N272" s="144"/>
      <c r="O272" s="144"/>
      <c r="P272" s="144"/>
      <c r="Q272" s="144"/>
      <c r="R272" s="144"/>
      <c r="S272" s="144"/>
      <c r="T272" s="144"/>
      <c r="U272" s="144"/>
      <c r="V272" s="144"/>
      <c r="W272" s="144"/>
      <c r="X272" s="144"/>
      <c r="Y272" s="144"/>
      <c r="Z272" s="144"/>
    </row>
    <row r="273" spans="1:26" ht="18.75">
      <c r="A273" s="144"/>
      <c r="B273" s="141"/>
      <c r="C273" s="142"/>
      <c r="D273" s="143"/>
      <c r="E273" s="143"/>
      <c r="F273" s="144"/>
      <c r="G273" s="153"/>
      <c r="H273" s="153"/>
      <c r="I273" s="144"/>
      <c r="J273" s="144"/>
      <c r="K273" s="144"/>
      <c r="L273" s="144"/>
      <c r="M273" s="144"/>
      <c r="N273" s="144"/>
      <c r="O273" s="144"/>
      <c r="P273" s="144"/>
      <c r="Q273" s="144"/>
      <c r="R273" s="144"/>
      <c r="S273" s="144"/>
      <c r="T273" s="144"/>
      <c r="U273" s="144"/>
      <c r="V273" s="144"/>
      <c r="W273" s="144"/>
      <c r="X273" s="144"/>
      <c r="Y273" s="144"/>
      <c r="Z273" s="144"/>
    </row>
    <row r="274" spans="1:26" ht="18.75">
      <c r="A274" s="144"/>
      <c r="B274" s="141"/>
      <c r="C274" s="142"/>
      <c r="D274" s="143"/>
      <c r="E274" s="143"/>
      <c r="F274" s="144"/>
      <c r="G274" s="151"/>
      <c r="H274" s="151"/>
      <c r="I274" s="144"/>
      <c r="J274" s="144"/>
      <c r="K274" s="144"/>
      <c r="L274" s="144"/>
      <c r="M274" s="144"/>
      <c r="N274" s="144"/>
      <c r="O274" s="144"/>
      <c r="P274" s="144"/>
      <c r="Q274" s="144"/>
      <c r="R274" s="144"/>
      <c r="S274" s="144"/>
      <c r="T274" s="144"/>
      <c r="U274" s="144"/>
      <c r="V274" s="144"/>
      <c r="W274" s="144"/>
      <c r="X274" s="144"/>
      <c r="Y274" s="144"/>
      <c r="Z274" s="144"/>
    </row>
    <row r="275" spans="1:26" ht="18.75">
      <c r="A275" s="144"/>
      <c r="B275" s="141"/>
      <c r="C275" s="142"/>
      <c r="D275" s="143"/>
      <c r="E275" s="143"/>
      <c r="F275" s="144"/>
      <c r="G275" s="153"/>
      <c r="H275" s="153"/>
      <c r="I275" s="144"/>
      <c r="J275" s="144"/>
      <c r="K275" s="144"/>
      <c r="L275" s="144"/>
      <c r="M275" s="144"/>
      <c r="N275" s="144"/>
      <c r="O275" s="144"/>
      <c r="P275" s="144"/>
      <c r="Q275" s="144"/>
      <c r="R275" s="144"/>
      <c r="S275" s="144"/>
      <c r="T275" s="144"/>
      <c r="U275" s="144"/>
      <c r="V275" s="144"/>
      <c r="W275" s="144"/>
      <c r="X275" s="144"/>
      <c r="Y275" s="144"/>
      <c r="Z275" s="144"/>
    </row>
    <row r="276" spans="1:26" ht="18.75">
      <c r="A276" s="144"/>
      <c r="B276" s="141"/>
      <c r="C276" s="142"/>
      <c r="D276" s="143"/>
      <c r="E276" s="143"/>
      <c r="F276" s="144"/>
      <c r="G276" s="151"/>
      <c r="H276" s="151"/>
      <c r="I276" s="144"/>
      <c r="J276" s="144"/>
      <c r="K276" s="144"/>
      <c r="L276" s="144"/>
      <c r="M276" s="144"/>
      <c r="N276" s="144"/>
      <c r="O276" s="144"/>
      <c r="P276" s="144"/>
      <c r="Q276" s="144"/>
      <c r="R276" s="144"/>
      <c r="S276" s="144"/>
      <c r="T276" s="144"/>
      <c r="U276" s="144"/>
      <c r="V276" s="144"/>
      <c r="W276" s="144"/>
      <c r="X276" s="144"/>
      <c r="Y276" s="144"/>
      <c r="Z276" s="144"/>
    </row>
    <row r="277" spans="1:26" ht="18.75">
      <c r="A277" s="144"/>
      <c r="B277" s="141"/>
      <c r="C277" s="142"/>
      <c r="D277" s="143"/>
      <c r="E277" s="143"/>
      <c r="F277" s="144"/>
      <c r="G277" s="153"/>
      <c r="H277" s="153"/>
      <c r="I277" s="144"/>
      <c r="J277" s="144"/>
      <c r="K277" s="144"/>
      <c r="L277" s="144"/>
      <c r="M277" s="144"/>
      <c r="N277" s="144"/>
      <c r="O277" s="144"/>
      <c r="P277" s="144"/>
      <c r="Q277" s="144"/>
      <c r="R277" s="144"/>
      <c r="S277" s="144"/>
      <c r="T277" s="144"/>
      <c r="U277" s="144"/>
      <c r="V277" s="144"/>
      <c r="W277" s="144"/>
      <c r="X277" s="144"/>
      <c r="Y277" s="144"/>
      <c r="Z277" s="144"/>
    </row>
    <row r="278" spans="1:26" ht="18.75">
      <c r="A278" s="144"/>
      <c r="B278" s="141"/>
      <c r="C278" s="142"/>
      <c r="D278" s="143"/>
      <c r="E278" s="143"/>
      <c r="F278" s="144"/>
      <c r="G278" s="151"/>
      <c r="H278" s="151"/>
      <c r="I278" s="144"/>
      <c r="J278" s="144"/>
      <c r="K278" s="144"/>
      <c r="L278" s="144"/>
      <c r="M278" s="144"/>
      <c r="N278" s="144"/>
      <c r="O278" s="144"/>
      <c r="P278" s="144"/>
      <c r="Q278" s="144"/>
      <c r="R278" s="144"/>
      <c r="S278" s="144"/>
      <c r="T278" s="144"/>
      <c r="U278" s="144"/>
      <c r="V278" s="144"/>
      <c r="W278" s="144"/>
      <c r="X278" s="144"/>
      <c r="Y278" s="144"/>
      <c r="Z278" s="144"/>
    </row>
    <row r="279" spans="1:26" ht="18.75">
      <c r="A279" s="144"/>
      <c r="B279" s="141"/>
      <c r="C279" s="142"/>
      <c r="D279" s="143"/>
      <c r="E279" s="143"/>
      <c r="F279" s="144"/>
      <c r="G279" s="153"/>
      <c r="H279" s="153"/>
      <c r="I279" s="144"/>
      <c r="J279" s="144"/>
      <c r="K279" s="144"/>
      <c r="L279" s="144"/>
      <c r="M279" s="144"/>
      <c r="N279" s="144"/>
      <c r="O279" s="144"/>
      <c r="P279" s="144"/>
      <c r="Q279" s="144"/>
      <c r="R279" s="144"/>
      <c r="S279" s="144"/>
      <c r="T279" s="144"/>
      <c r="U279" s="144"/>
      <c r="V279" s="144"/>
      <c r="W279" s="144"/>
      <c r="X279" s="144"/>
      <c r="Y279" s="144"/>
      <c r="Z279" s="144"/>
    </row>
    <row r="280" spans="1:26" ht="18.75">
      <c r="A280" s="144"/>
      <c r="B280" s="141"/>
      <c r="C280" s="142"/>
      <c r="D280" s="143"/>
      <c r="E280" s="143"/>
      <c r="F280" s="144"/>
      <c r="G280" s="151"/>
      <c r="H280" s="151"/>
      <c r="I280" s="144"/>
      <c r="J280" s="144"/>
      <c r="K280" s="144"/>
      <c r="L280" s="144"/>
      <c r="M280" s="144"/>
      <c r="N280" s="144"/>
      <c r="O280" s="144"/>
      <c r="P280" s="144"/>
      <c r="Q280" s="144"/>
      <c r="R280" s="144"/>
      <c r="S280" s="144"/>
      <c r="T280" s="144"/>
      <c r="U280" s="144"/>
      <c r="V280" s="144"/>
      <c r="W280" s="144"/>
      <c r="X280" s="144"/>
      <c r="Y280" s="144"/>
      <c r="Z280" s="144"/>
    </row>
    <row r="281" spans="1:26" ht="18.75">
      <c r="A281" s="144"/>
      <c r="B281" s="141"/>
      <c r="C281" s="142"/>
      <c r="D281" s="143"/>
      <c r="E281" s="143"/>
      <c r="F281" s="144"/>
      <c r="G281" s="153"/>
      <c r="H281" s="153"/>
      <c r="I281" s="144"/>
      <c r="J281" s="144"/>
      <c r="K281" s="144"/>
      <c r="L281" s="144"/>
      <c r="M281" s="144"/>
      <c r="N281" s="144"/>
      <c r="O281" s="144"/>
      <c r="P281" s="144"/>
      <c r="Q281" s="144"/>
      <c r="R281" s="144"/>
      <c r="S281" s="144"/>
      <c r="T281" s="144"/>
      <c r="U281" s="144"/>
      <c r="V281" s="144"/>
      <c r="W281" s="144"/>
      <c r="X281" s="144"/>
      <c r="Y281" s="144"/>
      <c r="Z281" s="144"/>
    </row>
    <row r="282" spans="1:26" ht="18.75">
      <c r="A282" s="144"/>
      <c r="B282" s="141"/>
      <c r="C282" s="142"/>
      <c r="D282" s="143"/>
      <c r="E282" s="143"/>
      <c r="F282" s="144"/>
      <c r="G282" s="151"/>
      <c r="H282" s="151"/>
      <c r="I282" s="144"/>
      <c r="J282" s="144"/>
      <c r="K282" s="144"/>
      <c r="L282" s="144"/>
      <c r="M282" s="144"/>
      <c r="N282" s="144"/>
      <c r="O282" s="144"/>
      <c r="P282" s="144"/>
      <c r="Q282" s="144"/>
      <c r="R282" s="144"/>
      <c r="S282" s="144"/>
      <c r="T282" s="144"/>
      <c r="U282" s="144"/>
      <c r="V282" s="144"/>
      <c r="W282" s="144"/>
      <c r="X282" s="144"/>
      <c r="Y282" s="144"/>
      <c r="Z282" s="144"/>
    </row>
    <row r="283" spans="1:26" ht="18.75">
      <c r="A283" s="144"/>
      <c r="B283" s="141"/>
      <c r="C283" s="142"/>
      <c r="D283" s="143"/>
      <c r="E283" s="143"/>
      <c r="F283" s="144"/>
      <c r="G283" s="153"/>
      <c r="H283" s="153"/>
      <c r="I283" s="144"/>
      <c r="J283" s="144"/>
      <c r="K283" s="144"/>
      <c r="L283" s="144"/>
      <c r="M283" s="144"/>
      <c r="N283" s="144"/>
      <c r="O283" s="144"/>
      <c r="P283" s="144"/>
      <c r="Q283" s="144"/>
      <c r="R283" s="144"/>
      <c r="S283" s="144"/>
      <c r="T283" s="144"/>
      <c r="U283" s="144"/>
      <c r="V283" s="144"/>
      <c r="W283" s="144"/>
      <c r="X283" s="144"/>
      <c r="Y283" s="144"/>
      <c r="Z283" s="144"/>
    </row>
    <row r="284" spans="1:26" ht="18.75">
      <c r="A284" s="144"/>
      <c r="B284" s="141"/>
      <c r="C284" s="142"/>
      <c r="D284" s="143"/>
      <c r="E284" s="143"/>
      <c r="F284" s="144"/>
      <c r="G284" s="151"/>
      <c r="H284" s="151"/>
      <c r="I284" s="144"/>
      <c r="J284" s="144"/>
      <c r="K284" s="144"/>
      <c r="L284" s="144"/>
      <c r="M284" s="144"/>
      <c r="N284" s="144"/>
      <c r="O284" s="144"/>
      <c r="P284" s="144"/>
      <c r="Q284" s="144"/>
      <c r="R284" s="144"/>
      <c r="S284" s="144"/>
      <c r="T284" s="144"/>
      <c r="U284" s="144"/>
      <c r="V284" s="144"/>
      <c r="W284" s="144"/>
      <c r="X284" s="144"/>
      <c r="Y284" s="144"/>
      <c r="Z284" s="144"/>
    </row>
    <row r="285" spans="1:26" ht="18.75">
      <c r="A285" s="144"/>
      <c r="B285" s="141"/>
      <c r="C285" s="142"/>
      <c r="D285" s="143"/>
      <c r="E285" s="143"/>
      <c r="F285" s="144"/>
      <c r="G285" s="153"/>
      <c r="H285" s="153"/>
      <c r="I285" s="144"/>
      <c r="J285" s="144"/>
      <c r="K285" s="144"/>
      <c r="L285" s="144"/>
      <c r="M285" s="144"/>
      <c r="N285" s="144"/>
      <c r="O285" s="144"/>
      <c r="P285" s="144"/>
      <c r="Q285" s="144"/>
      <c r="R285" s="144"/>
      <c r="S285" s="144"/>
      <c r="T285" s="144"/>
      <c r="U285" s="144"/>
      <c r="V285" s="144"/>
      <c r="W285" s="144"/>
      <c r="X285" s="144"/>
      <c r="Y285" s="144"/>
      <c r="Z285" s="144"/>
    </row>
    <row r="286" spans="1:26" ht="18.75">
      <c r="A286" s="144"/>
      <c r="B286" s="141"/>
      <c r="C286" s="142"/>
      <c r="D286" s="143"/>
      <c r="E286" s="143"/>
      <c r="F286" s="144"/>
      <c r="G286" s="151"/>
      <c r="H286" s="151"/>
      <c r="I286" s="144"/>
      <c r="J286" s="144"/>
      <c r="K286" s="144"/>
      <c r="L286" s="144"/>
      <c r="M286" s="144"/>
      <c r="N286" s="144"/>
      <c r="O286" s="144"/>
      <c r="P286" s="144"/>
      <c r="Q286" s="144"/>
      <c r="R286" s="144"/>
      <c r="S286" s="144"/>
      <c r="T286" s="144"/>
      <c r="U286" s="144"/>
      <c r="V286" s="144"/>
      <c r="W286" s="144"/>
      <c r="X286" s="144"/>
      <c r="Y286" s="144"/>
      <c r="Z286" s="144"/>
    </row>
    <row r="287" spans="1:26" ht="18.75">
      <c r="A287" s="144"/>
      <c r="B287" s="141"/>
      <c r="C287" s="142"/>
      <c r="D287" s="143"/>
      <c r="E287" s="143"/>
      <c r="F287" s="144"/>
      <c r="G287" s="153"/>
      <c r="H287" s="153"/>
      <c r="I287" s="144"/>
      <c r="J287" s="144"/>
      <c r="K287" s="144"/>
      <c r="L287" s="144"/>
      <c r="M287" s="144"/>
      <c r="N287" s="144"/>
      <c r="O287" s="144"/>
      <c r="P287" s="144"/>
      <c r="Q287" s="144"/>
      <c r="R287" s="144"/>
      <c r="S287" s="144"/>
      <c r="T287" s="144"/>
      <c r="U287" s="144"/>
      <c r="V287" s="144"/>
      <c r="W287" s="144"/>
      <c r="X287" s="144"/>
      <c r="Y287" s="144"/>
      <c r="Z287" s="144"/>
    </row>
    <row r="288" spans="1:26" ht="18.75">
      <c r="A288" s="144"/>
      <c r="B288" s="141"/>
      <c r="C288" s="142"/>
      <c r="D288" s="143"/>
      <c r="E288" s="143"/>
      <c r="F288" s="144"/>
      <c r="G288" s="151"/>
      <c r="H288" s="151"/>
      <c r="I288" s="144"/>
      <c r="J288" s="144"/>
      <c r="K288" s="144"/>
      <c r="L288" s="144"/>
      <c r="M288" s="144"/>
      <c r="N288" s="144"/>
      <c r="O288" s="144"/>
      <c r="P288" s="144"/>
      <c r="Q288" s="144"/>
      <c r="R288" s="144"/>
      <c r="S288" s="144"/>
      <c r="T288" s="144"/>
      <c r="U288" s="144"/>
      <c r="V288" s="144"/>
      <c r="W288" s="144"/>
      <c r="X288" s="144"/>
      <c r="Y288" s="144"/>
      <c r="Z288" s="144"/>
    </row>
    <row r="289" spans="1:26" ht="18.75">
      <c r="A289" s="144"/>
      <c r="B289" s="141"/>
      <c r="C289" s="142"/>
      <c r="D289" s="143"/>
      <c r="E289" s="143"/>
      <c r="F289" s="144"/>
      <c r="G289" s="153"/>
      <c r="H289" s="153"/>
      <c r="I289" s="144"/>
      <c r="J289" s="144"/>
      <c r="K289" s="144"/>
      <c r="L289" s="144"/>
      <c r="M289" s="144"/>
      <c r="N289" s="144"/>
      <c r="O289" s="144"/>
      <c r="P289" s="144"/>
      <c r="Q289" s="144"/>
      <c r="R289" s="144"/>
      <c r="S289" s="144"/>
      <c r="T289" s="144"/>
      <c r="U289" s="144"/>
      <c r="V289" s="144"/>
      <c r="W289" s="144"/>
      <c r="X289" s="144"/>
      <c r="Y289" s="144"/>
      <c r="Z289" s="144"/>
    </row>
    <row r="290" spans="1:26" ht="18.75">
      <c r="A290" s="144"/>
      <c r="B290" s="141"/>
      <c r="C290" s="142"/>
      <c r="D290" s="143"/>
      <c r="E290" s="143"/>
      <c r="F290" s="144"/>
      <c r="G290" s="151"/>
      <c r="H290" s="151"/>
      <c r="I290" s="144"/>
      <c r="J290" s="144"/>
      <c r="K290" s="144"/>
      <c r="L290" s="144"/>
      <c r="M290" s="144"/>
      <c r="N290" s="144"/>
      <c r="O290" s="144"/>
      <c r="P290" s="144"/>
      <c r="Q290" s="144"/>
      <c r="R290" s="144"/>
      <c r="S290" s="144"/>
      <c r="T290" s="144"/>
      <c r="U290" s="144"/>
      <c r="V290" s="144"/>
      <c r="W290" s="144"/>
      <c r="X290" s="144"/>
      <c r="Y290" s="144"/>
      <c r="Z290" s="144"/>
    </row>
    <row r="291" spans="1:26" ht="18.75">
      <c r="A291" s="144"/>
      <c r="B291" s="141"/>
      <c r="C291" s="142"/>
      <c r="D291" s="143"/>
      <c r="E291" s="143"/>
      <c r="F291" s="144"/>
      <c r="G291" s="153"/>
      <c r="H291" s="153"/>
      <c r="I291" s="144"/>
      <c r="J291" s="144"/>
      <c r="K291" s="144"/>
      <c r="L291" s="144"/>
      <c r="M291" s="144"/>
      <c r="N291" s="144"/>
      <c r="O291" s="144"/>
      <c r="P291" s="144"/>
      <c r="Q291" s="144"/>
      <c r="R291" s="144"/>
      <c r="S291" s="144"/>
      <c r="T291" s="144"/>
      <c r="U291" s="144"/>
      <c r="V291" s="144"/>
      <c r="W291" s="144"/>
      <c r="X291" s="144"/>
      <c r="Y291" s="144"/>
      <c r="Z291" s="144"/>
    </row>
    <row r="292" spans="1:26" ht="18.75">
      <c r="A292" s="144"/>
      <c r="B292" s="141"/>
      <c r="C292" s="142"/>
      <c r="D292" s="143"/>
      <c r="E292" s="143"/>
      <c r="F292" s="144"/>
      <c r="G292" s="151"/>
      <c r="H292" s="151"/>
      <c r="I292" s="144"/>
      <c r="J292" s="144"/>
      <c r="K292" s="144"/>
      <c r="L292" s="144"/>
      <c r="M292" s="144"/>
      <c r="N292" s="144"/>
      <c r="O292" s="144"/>
      <c r="P292" s="144"/>
      <c r="Q292" s="144"/>
      <c r="R292" s="144"/>
      <c r="S292" s="144"/>
      <c r="T292" s="144"/>
      <c r="U292" s="144"/>
      <c r="V292" s="144"/>
      <c r="W292" s="144"/>
      <c r="X292" s="144"/>
      <c r="Y292" s="144"/>
      <c r="Z292" s="144"/>
    </row>
    <row r="293" spans="1:26" ht="18.75">
      <c r="A293" s="144"/>
      <c r="B293" s="141"/>
      <c r="C293" s="142"/>
      <c r="D293" s="143"/>
      <c r="E293" s="143"/>
      <c r="F293" s="144"/>
      <c r="G293" s="153"/>
      <c r="H293" s="153"/>
      <c r="I293" s="144"/>
      <c r="J293" s="144"/>
      <c r="K293" s="144"/>
      <c r="L293" s="144"/>
      <c r="M293" s="144"/>
      <c r="N293" s="144"/>
      <c r="O293" s="144"/>
      <c r="P293" s="144"/>
      <c r="Q293" s="144"/>
      <c r="R293" s="144"/>
      <c r="S293" s="144"/>
      <c r="T293" s="144"/>
      <c r="U293" s="144"/>
      <c r="V293" s="144"/>
      <c r="W293" s="144"/>
      <c r="X293" s="144"/>
      <c r="Y293" s="144"/>
      <c r="Z293" s="144"/>
    </row>
    <row r="294" spans="1:26" ht="18.75">
      <c r="A294" s="144"/>
      <c r="B294" s="141"/>
      <c r="C294" s="142"/>
      <c r="D294" s="143"/>
      <c r="E294" s="143"/>
      <c r="F294" s="144"/>
      <c r="G294" s="151"/>
      <c r="H294" s="151"/>
      <c r="I294" s="144"/>
      <c r="J294" s="144"/>
      <c r="K294" s="144"/>
      <c r="L294" s="144"/>
      <c r="M294" s="144"/>
      <c r="N294" s="144"/>
      <c r="O294" s="144"/>
      <c r="P294" s="144"/>
      <c r="Q294" s="144"/>
      <c r="R294" s="144"/>
      <c r="S294" s="144"/>
      <c r="T294" s="144"/>
      <c r="U294" s="144"/>
      <c r="V294" s="144"/>
      <c r="W294" s="144"/>
      <c r="X294" s="144"/>
      <c r="Y294" s="144"/>
      <c r="Z294" s="144"/>
    </row>
    <row r="295" spans="1:26" ht="18.75">
      <c r="A295" s="144"/>
      <c r="B295" s="141"/>
      <c r="C295" s="142"/>
      <c r="D295" s="143"/>
      <c r="E295" s="143"/>
      <c r="F295" s="144"/>
      <c r="G295" s="153"/>
      <c r="H295" s="153"/>
      <c r="I295" s="144"/>
      <c r="J295" s="144"/>
      <c r="K295" s="144"/>
      <c r="L295" s="144"/>
      <c r="M295" s="144"/>
      <c r="N295" s="144"/>
      <c r="O295" s="144"/>
      <c r="P295" s="144"/>
      <c r="Q295" s="144"/>
      <c r="R295" s="144"/>
      <c r="S295" s="144"/>
      <c r="T295" s="144"/>
      <c r="U295" s="144"/>
      <c r="V295" s="144"/>
      <c r="W295" s="144"/>
      <c r="X295" s="144"/>
      <c r="Y295" s="144"/>
      <c r="Z295" s="144"/>
    </row>
    <row r="296" spans="1:26" ht="18.75">
      <c r="A296" s="144"/>
      <c r="B296" s="141"/>
      <c r="C296" s="142"/>
      <c r="D296" s="143"/>
      <c r="E296" s="143"/>
      <c r="F296" s="144"/>
      <c r="G296" s="151"/>
      <c r="H296" s="151"/>
      <c r="I296" s="144"/>
      <c r="J296" s="144"/>
      <c r="K296" s="144"/>
      <c r="L296" s="144"/>
      <c r="M296" s="144"/>
      <c r="N296" s="144"/>
      <c r="O296" s="144"/>
      <c r="P296" s="144"/>
      <c r="Q296" s="144"/>
      <c r="R296" s="144"/>
      <c r="S296" s="144"/>
      <c r="T296" s="144"/>
      <c r="U296" s="144"/>
      <c r="V296" s="144"/>
      <c r="W296" s="144"/>
      <c r="X296" s="144"/>
      <c r="Y296" s="144"/>
      <c r="Z296" s="144"/>
    </row>
    <row r="297" spans="1:26" ht="18.75">
      <c r="A297" s="144"/>
      <c r="B297" s="141"/>
      <c r="C297" s="142"/>
      <c r="D297" s="143"/>
      <c r="E297" s="143"/>
      <c r="F297" s="144"/>
      <c r="G297" s="153"/>
      <c r="H297" s="153"/>
      <c r="I297" s="144"/>
      <c r="J297" s="144"/>
      <c r="K297" s="144"/>
      <c r="L297" s="144"/>
      <c r="M297" s="144"/>
      <c r="N297" s="144"/>
      <c r="O297" s="144"/>
      <c r="P297" s="144"/>
      <c r="Q297" s="144"/>
      <c r="R297" s="144"/>
      <c r="S297" s="144"/>
      <c r="T297" s="144"/>
      <c r="U297" s="144"/>
      <c r="V297" s="144"/>
      <c r="W297" s="144"/>
      <c r="X297" s="144"/>
      <c r="Y297" s="144"/>
      <c r="Z297" s="144"/>
    </row>
    <row r="298" spans="1:26" ht="18.75">
      <c r="A298" s="144"/>
      <c r="B298" s="141"/>
      <c r="C298" s="142"/>
      <c r="D298" s="143"/>
      <c r="E298" s="143"/>
      <c r="F298" s="144"/>
      <c r="G298" s="151"/>
      <c r="H298" s="151"/>
      <c r="I298" s="144"/>
      <c r="J298" s="144"/>
      <c r="K298" s="144"/>
      <c r="L298" s="144"/>
      <c r="M298" s="144"/>
      <c r="N298" s="144"/>
      <c r="O298" s="144"/>
      <c r="P298" s="144"/>
      <c r="Q298" s="144"/>
      <c r="R298" s="144"/>
      <c r="S298" s="144"/>
      <c r="T298" s="144"/>
      <c r="U298" s="144"/>
      <c r="V298" s="144"/>
      <c r="W298" s="144"/>
      <c r="X298" s="144"/>
      <c r="Y298" s="144"/>
      <c r="Z298" s="144"/>
    </row>
    <row r="299" spans="1:26" ht="18.75">
      <c r="A299" s="144"/>
      <c r="B299" s="141"/>
      <c r="C299" s="142"/>
      <c r="D299" s="143"/>
      <c r="E299" s="143"/>
      <c r="F299" s="144"/>
      <c r="G299" s="153"/>
      <c r="H299" s="153"/>
      <c r="I299" s="144"/>
      <c r="J299" s="144"/>
      <c r="K299" s="144"/>
      <c r="L299" s="144"/>
      <c r="M299" s="144"/>
      <c r="N299" s="144"/>
      <c r="O299" s="144"/>
      <c r="P299" s="144"/>
      <c r="Q299" s="144"/>
      <c r="R299" s="144"/>
      <c r="S299" s="144"/>
      <c r="T299" s="144"/>
      <c r="U299" s="144"/>
      <c r="V299" s="144"/>
      <c r="W299" s="144"/>
      <c r="X299" s="144"/>
      <c r="Y299" s="144"/>
      <c r="Z299" s="144"/>
    </row>
    <row r="300" spans="1:26" ht="18.75">
      <c r="A300" s="144"/>
      <c r="B300" s="141"/>
      <c r="C300" s="142"/>
      <c r="D300" s="143"/>
      <c r="E300" s="143"/>
      <c r="F300" s="144"/>
      <c r="G300" s="151"/>
      <c r="H300" s="151"/>
      <c r="I300" s="144"/>
      <c r="J300" s="144"/>
      <c r="K300" s="144"/>
      <c r="L300" s="144"/>
      <c r="M300" s="144"/>
      <c r="N300" s="144"/>
      <c r="O300" s="144"/>
      <c r="P300" s="144"/>
      <c r="Q300" s="144"/>
      <c r="R300" s="144"/>
      <c r="S300" s="144"/>
      <c r="T300" s="144"/>
      <c r="U300" s="144"/>
      <c r="V300" s="144"/>
      <c r="W300" s="144"/>
      <c r="X300" s="144"/>
      <c r="Y300" s="144"/>
      <c r="Z300" s="144"/>
    </row>
    <row r="301" spans="1:26" ht="18.75">
      <c r="A301" s="144"/>
      <c r="B301" s="141"/>
      <c r="C301" s="142"/>
      <c r="D301" s="143"/>
      <c r="E301" s="143"/>
      <c r="F301" s="144"/>
      <c r="G301" s="153"/>
      <c r="H301" s="153"/>
      <c r="I301" s="144"/>
      <c r="J301" s="144"/>
      <c r="K301" s="144"/>
      <c r="L301" s="144"/>
      <c r="M301" s="144"/>
      <c r="N301" s="144"/>
      <c r="O301" s="144"/>
      <c r="P301" s="144"/>
      <c r="Q301" s="144"/>
      <c r="R301" s="144"/>
      <c r="S301" s="144"/>
      <c r="T301" s="144"/>
      <c r="U301" s="144"/>
      <c r="V301" s="144"/>
      <c r="W301" s="144"/>
      <c r="X301" s="144"/>
      <c r="Y301" s="144"/>
      <c r="Z301" s="144"/>
    </row>
    <row r="302" spans="1:26" ht="18.75">
      <c r="A302" s="144"/>
      <c r="B302" s="141"/>
      <c r="C302" s="142"/>
      <c r="D302" s="143"/>
      <c r="E302" s="143"/>
      <c r="F302" s="144"/>
      <c r="G302" s="151"/>
      <c r="H302" s="151"/>
      <c r="I302" s="144"/>
      <c r="J302" s="144"/>
      <c r="K302" s="144"/>
      <c r="L302" s="144"/>
      <c r="M302" s="144"/>
      <c r="N302" s="144"/>
      <c r="O302" s="144"/>
      <c r="P302" s="144"/>
      <c r="Q302" s="144"/>
      <c r="R302" s="144"/>
      <c r="S302" s="144"/>
      <c r="T302" s="144"/>
      <c r="U302" s="144"/>
      <c r="V302" s="144"/>
      <c r="W302" s="144"/>
      <c r="X302" s="144"/>
      <c r="Y302" s="144"/>
      <c r="Z302" s="144"/>
    </row>
    <row r="303" spans="1:26" ht="18.75">
      <c r="A303" s="144"/>
      <c r="B303" s="141"/>
      <c r="C303" s="142"/>
      <c r="D303" s="143"/>
      <c r="E303" s="143"/>
      <c r="F303" s="144"/>
      <c r="G303" s="153"/>
      <c r="H303" s="153"/>
      <c r="I303" s="144"/>
      <c r="J303" s="144"/>
      <c r="K303" s="144"/>
      <c r="L303" s="144"/>
      <c r="M303" s="144"/>
      <c r="N303" s="144"/>
      <c r="O303" s="144"/>
      <c r="P303" s="144"/>
      <c r="Q303" s="144"/>
      <c r="R303" s="144"/>
      <c r="S303" s="144"/>
      <c r="T303" s="144"/>
      <c r="U303" s="144"/>
      <c r="V303" s="144"/>
      <c r="W303" s="144"/>
      <c r="X303" s="144"/>
      <c r="Y303" s="144"/>
      <c r="Z303" s="144"/>
    </row>
    <row r="304" spans="1:26" ht="18.75">
      <c r="A304" s="144"/>
      <c r="B304" s="141"/>
      <c r="C304" s="142"/>
      <c r="D304" s="143"/>
      <c r="E304" s="143"/>
      <c r="F304" s="144"/>
      <c r="G304" s="151"/>
      <c r="H304" s="151"/>
      <c r="I304" s="144"/>
      <c r="J304" s="144"/>
      <c r="K304" s="144"/>
      <c r="L304" s="144"/>
      <c r="M304" s="144"/>
      <c r="N304" s="144"/>
      <c r="O304" s="144"/>
      <c r="P304" s="144"/>
      <c r="Q304" s="144"/>
      <c r="R304" s="144"/>
      <c r="S304" s="144"/>
      <c r="T304" s="144"/>
      <c r="U304" s="144"/>
      <c r="V304" s="144"/>
      <c r="W304" s="144"/>
      <c r="X304" s="144"/>
      <c r="Y304" s="144"/>
      <c r="Z304" s="144"/>
    </row>
    <row r="305" spans="1:26" ht="18.75">
      <c r="A305" s="144"/>
      <c r="B305" s="141"/>
      <c r="C305" s="142"/>
      <c r="D305" s="143"/>
      <c r="E305" s="143"/>
      <c r="F305" s="144"/>
      <c r="G305" s="153"/>
      <c r="H305" s="153"/>
      <c r="I305" s="144"/>
      <c r="J305" s="144"/>
      <c r="K305" s="144"/>
      <c r="L305" s="144"/>
      <c r="M305" s="144"/>
      <c r="N305" s="144"/>
      <c r="O305" s="144"/>
      <c r="P305" s="144"/>
      <c r="Q305" s="144"/>
      <c r="R305" s="144"/>
      <c r="S305" s="144"/>
      <c r="T305" s="144"/>
      <c r="U305" s="144"/>
      <c r="V305" s="144"/>
      <c r="W305" s="144"/>
      <c r="X305" s="144"/>
      <c r="Y305" s="144"/>
      <c r="Z305" s="144"/>
    </row>
    <row r="306" spans="1:26" ht="18.75">
      <c r="A306" s="144"/>
      <c r="B306" s="141"/>
      <c r="C306" s="142"/>
      <c r="D306" s="143"/>
      <c r="E306" s="143"/>
      <c r="F306" s="144"/>
      <c r="G306" s="151"/>
      <c r="H306" s="151"/>
      <c r="I306" s="144"/>
      <c r="J306" s="144"/>
      <c r="K306" s="144"/>
      <c r="L306" s="144"/>
      <c r="M306" s="144"/>
      <c r="N306" s="144"/>
      <c r="O306" s="144"/>
      <c r="P306" s="144"/>
      <c r="Q306" s="144"/>
      <c r="R306" s="144"/>
      <c r="S306" s="144"/>
      <c r="T306" s="144"/>
      <c r="U306" s="144"/>
      <c r="V306" s="144"/>
      <c r="W306" s="144"/>
      <c r="X306" s="144"/>
      <c r="Y306" s="144"/>
      <c r="Z306" s="144"/>
    </row>
    <row r="307" spans="1:26" ht="18.75">
      <c r="A307" s="144"/>
      <c r="B307" s="141"/>
      <c r="C307" s="142"/>
      <c r="D307" s="143"/>
      <c r="E307" s="143"/>
      <c r="F307" s="144"/>
      <c r="G307" s="153"/>
      <c r="H307" s="153"/>
      <c r="I307" s="144"/>
      <c r="J307" s="144"/>
      <c r="K307" s="144"/>
      <c r="L307" s="144"/>
      <c r="M307" s="144"/>
      <c r="N307" s="144"/>
      <c r="O307" s="144"/>
      <c r="P307" s="144"/>
      <c r="Q307" s="144"/>
      <c r="R307" s="144"/>
      <c r="S307" s="144"/>
      <c r="T307" s="144"/>
      <c r="U307" s="144"/>
      <c r="V307" s="144"/>
      <c r="W307" s="144"/>
      <c r="X307" s="144"/>
      <c r="Y307" s="144"/>
      <c r="Z307" s="144"/>
    </row>
    <row r="308" spans="1:26" ht="18.75">
      <c r="A308" s="144"/>
      <c r="B308" s="141"/>
      <c r="C308" s="142"/>
      <c r="D308" s="143"/>
      <c r="E308" s="143"/>
      <c r="F308" s="144"/>
      <c r="G308" s="151"/>
      <c r="H308" s="151"/>
      <c r="I308" s="144"/>
      <c r="J308" s="144"/>
      <c r="K308" s="144"/>
      <c r="L308" s="144"/>
      <c r="M308" s="144"/>
      <c r="N308" s="144"/>
      <c r="O308" s="144"/>
      <c r="P308" s="144"/>
      <c r="Q308" s="144"/>
      <c r="R308" s="144"/>
      <c r="S308" s="144"/>
      <c r="T308" s="144"/>
      <c r="U308" s="144"/>
      <c r="V308" s="144"/>
      <c r="W308" s="144"/>
      <c r="X308" s="144"/>
      <c r="Y308" s="144"/>
      <c r="Z308" s="144"/>
    </row>
    <row r="309" spans="1:26" ht="18.75">
      <c r="A309" s="144"/>
      <c r="B309" s="141"/>
      <c r="C309" s="142"/>
      <c r="D309" s="143"/>
      <c r="E309" s="143"/>
      <c r="F309" s="144"/>
      <c r="G309" s="153"/>
      <c r="H309" s="153"/>
      <c r="I309" s="144"/>
      <c r="J309" s="144"/>
      <c r="K309" s="144"/>
      <c r="L309" s="144"/>
      <c r="M309" s="144"/>
      <c r="N309" s="144"/>
      <c r="O309" s="144"/>
      <c r="P309" s="144"/>
      <c r="Q309" s="144"/>
      <c r="R309" s="144"/>
      <c r="S309" s="144"/>
      <c r="T309" s="144"/>
      <c r="U309" s="144"/>
      <c r="V309" s="144"/>
      <c r="W309" s="144"/>
      <c r="X309" s="144"/>
      <c r="Y309" s="144"/>
      <c r="Z309" s="144"/>
    </row>
    <row r="310" spans="1:26" ht="18.75">
      <c r="A310" s="144"/>
      <c r="B310" s="141"/>
      <c r="C310" s="142"/>
      <c r="D310" s="143"/>
      <c r="E310" s="143"/>
      <c r="F310" s="144"/>
      <c r="G310" s="151"/>
      <c r="H310" s="151"/>
      <c r="I310" s="144"/>
      <c r="J310" s="144"/>
      <c r="K310" s="144"/>
      <c r="L310" s="144"/>
      <c r="M310" s="144"/>
      <c r="N310" s="144"/>
      <c r="O310" s="144"/>
      <c r="P310" s="144"/>
      <c r="Q310" s="144"/>
      <c r="R310" s="144"/>
      <c r="S310" s="144"/>
      <c r="T310" s="144"/>
      <c r="U310" s="144"/>
      <c r="V310" s="144"/>
      <c r="W310" s="144"/>
      <c r="X310" s="144"/>
      <c r="Y310" s="144"/>
      <c r="Z310" s="144"/>
    </row>
    <row r="311" spans="1:26" ht="18.75">
      <c r="A311" s="144"/>
      <c r="B311" s="141"/>
      <c r="C311" s="142"/>
      <c r="D311" s="143"/>
      <c r="E311" s="143"/>
      <c r="F311" s="144"/>
      <c r="G311" s="153"/>
      <c r="H311" s="153"/>
      <c r="I311" s="144"/>
      <c r="J311" s="144"/>
      <c r="K311" s="144"/>
      <c r="L311" s="144"/>
      <c r="M311" s="144"/>
      <c r="N311" s="144"/>
      <c r="O311" s="144"/>
      <c r="P311" s="144"/>
      <c r="Q311" s="144"/>
      <c r="R311" s="144"/>
      <c r="S311" s="144"/>
      <c r="T311" s="144"/>
      <c r="U311" s="144"/>
      <c r="V311" s="144"/>
      <c r="W311" s="144"/>
      <c r="X311" s="144"/>
      <c r="Y311" s="144"/>
      <c r="Z311" s="144"/>
    </row>
    <row r="312" spans="1:26" ht="18.75">
      <c r="A312" s="144"/>
      <c r="B312" s="141"/>
      <c r="C312" s="142"/>
      <c r="D312" s="143"/>
      <c r="E312" s="143"/>
      <c r="F312" s="144"/>
      <c r="G312" s="151"/>
      <c r="H312" s="151"/>
      <c r="I312" s="144"/>
      <c r="J312" s="144"/>
      <c r="K312" s="144"/>
      <c r="L312" s="144"/>
      <c r="M312" s="144"/>
      <c r="N312" s="144"/>
      <c r="O312" s="144"/>
      <c r="P312" s="144"/>
      <c r="Q312" s="144"/>
      <c r="R312" s="144"/>
      <c r="S312" s="144"/>
      <c r="T312" s="144"/>
      <c r="U312" s="144"/>
      <c r="V312" s="144"/>
      <c r="W312" s="144"/>
      <c r="X312" s="144"/>
      <c r="Y312" s="144"/>
      <c r="Z312" s="144"/>
    </row>
    <row r="313" spans="1:26" ht="18.75">
      <c r="A313" s="144"/>
      <c r="B313" s="141"/>
      <c r="C313" s="142"/>
      <c r="D313" s="143"/>
      <c r="E313" s="143"/>
      <c r="F313" s="144"/>
      <c r="G313" s="153"/>
      <c r="H313" s="153"/>
      <c r="I313" s="144"/>
      <c r="J313" s="144"/>
      <c r="K313" s="144"/>
      <c r="L313" s="144"/>
      <c r="M313" s="144"/>
      <c r="N313" s="144"/>
      <c r="O313" s="144"/>
      <c r="P313" s="144"/>
      <c r="Q313" s="144"/>
      <c r="R313" s="144"/>
      <c r="S313" s="144"/>
      <c r="T313" s="144"/>
      <c r="U313" s="144"/>
      <c r="V313" s="144"/>
      <c r="W313" s="144"/>
      <c r="X313" s="144"/>
      <c r="Y313" s="144"/>
      <c r="Z313" s="144"/>
    </row>
    <row r="314" spans="1:26" ht="18.75">
      <c r="A314" s="144"/>
      <c r="B314" s="141"/>
      <c r="C314" s="142"/>
      <c r="D314" s="143"/>
      <c r="E314" s="143"/>
      <c r="F314" s="144"/>
      <c r="G314" s="151"/>
      <c r="H314" s="151"/>
      <c r="I314" s="144"/>
      <c r="J314" s="144"/>
      <c r="K314" s="144"/>
      <c r="L314" s="144"/>
      <c r="M314" s="144"/>
      <c r="N314" s="144"/>
      <c r="O314" s="144"/>
      <c r="P314" s="144"/>
      <c r="Q314" s="144"/>
      <c r="R314" s="144"/>
      <c r="S314" s="144"/>
      <c r="T314" s="144"/>
      <c r="U314" s="144"/>
      <c r="V314" s="144"/>
      <c r="W314" s="144"/>
      <c r="X314" s="144"/>
      <c r="Y314" s="144"/>
      <c r="Z314" s="144"/>
    </row>
    <row r="315" spans="1:26" ht="18.75">
      <c r="A315" s="144"/>
      <c r="B315" s="141"/>
      <c r="C315" s="142"/>
      <c r="D315" s="143"/>
      <c r="E315" s="143"/>
      <c r="F315" s="144"/>
      <c r="G315" s="153"/>
      <c r="H315" s="153"/>
      <c r="I315" s="144"/>
      <c r="J315" s="144"/>
      <c r="K315" s="144"/>
      <c r="L315" s="144"/>
      <c r="M315" s="144"/>
      <c r="N315" s="144"/>
      <c r="O315" s="144"/>
      <c r="P315" s="144"/>
      <c r="Q315" s="144"/>
      <c r="R315" s="144"/>
      <c r="S315" s="144"/>
      <c r="T315" s="144"/>
      <c r="U315" s="144"/>
      <c r="V315" s="144"/>
      <c r="W315" s="144"/>
      <c r="X315" s="144"/>
      <c r="Y315" s="144"/>
      <c r="Z315" s="144"/>
    </row>
    <row r="316" spans="1:26" ht="18.75">
      <c r="A316" s="144"/>
      <c r="B316" s="141"/>
      <c r="C316" s="142"/>
      <c r="D316" s="143"/>
      <c r="E316" s="143"/>
      <c r="F316" s="144"/>
      <c r="G316" s="151"/>
      <c r="H316" s="151"/>
      <c r="I316" s="144"/>
      <c r="J316" s="144"/>
      <c r="K316" s="144"/>
      <c r="L316" s="144"/>
      <c r="M316" s="144"/>
      <c r="N316" s="144"/>
      <c r="O316" s="144"/>
      <c r="P316" s="144"/>
      <c r="Q316" s="144"/>
      <c r="R316" s="144"/>
      <c r="S316" s="144"/>
      <c r="T316" s="144"/>
      <c r="U316" s="144"/>
      <c r="V316" s="144"/>
      <c r="W316" s="144"/>
      <c r="X316" s="144"/>
      <c r="Y316" s="144"/>
      <c r="Z316" s="144"/>
    </row>
    <row r="317" spans="1:26" ht="18.75">
      <c r="A317" s="144"/>
      <c r="B317" s="141"/>
      <c r="C317" s="142"/>
      <c r="D317" s="143"/>
      <c r="E317" s="143"/>
      <c r="F317" s="144"/>
      <c r="G317" s="153"/>
      <c r="H317" s="153"/>
      <c r="I317" s="144"/>
      <c r="J317" s="144"/>
      <c r="K317" s="144"/>
      <c r="L317" s="144"/>
      <c r="M317" s="144"/>
      <c r="N317" s="144"/>
      <c r="O317" s="144"/>
      <c r="P317" s="144"/>
      <c r="Q317" s="144"/>
      <c r="R317" s="144"/>
      <c r="S317" s="144"/>
      <c r="T317" s="144"/>
      <c r="U317" s="144"/>
      <c r="V317" s="144"/>
      <c r="W317" s="144"/>
      <c r="X317" s="144"/>
      <c r="Y317" s="144"/>
      <c r="Z317" s="144"/>
    </row>
    <row r="318" spans="1:26" ht="18.75">
      <c r="A318" s="144"/>
      <c r="B318" s="141"/>
      <c r="C318" s="142"/>
      <c r="D318" s="143"/>
      <c r="E318" s="143"/>
      <c r="F318" s="144"/>
      <c r="G318" s="151"/>
      <c r="H318" s="151"/>
      <c r="I318" s="144"/>
      <c r="J318" s="144"/>
      <c r="K318" s="144"/>
      <c r="L318" s="144"/>
      <c r="M318" s="144"/>
      <c r="N318" s="144"/>
      <c r="O318" s="144"/>
      <c r="P318" s="144"/>
      <c r="Q318" s="144"/>
      <c r="R318" s="144"/>
      <c r="S318" s="144"/>
      <c r="T318" s="144"/>
      <c r="U318" s="144"/>
      <c r="V318" s="144"/>
      <c r="W318" s="144"/>
      <c r="X318" s="144"/>
      <c r="Y318" s="144"/>
      <c r="Z318" s="144"/>
    </row>
    <row r="319" spans="1:26" ht="18.75">
      <c r="A319" s="144"/>
      <c r="B319" s="141"/>
      <c r="C319" s="142"/>
      <c r="D319" s="143"/>
      <c r="E319" s="143"/>
      <c r="F319" s="144"/>
      <c r="G319" s="153"/>
      <c r="H319" s="153"/>
      <c r="I319" s="144"/>
      <c r="J319" s="144"/>
      <c r="K319" s="144"/>
      <c r="L319" s="144"/>
      <c r="M319" s="144"/>
      <c r="N319" s="144"/>
      <c r="O319" s="144"/>
      <c r="P319" s="144"/>
      <c r="Q319" s="144"/>
      <c r="R319" s="144"/>
      <c r="S319" s="144"/>
      <c r="T319" s="144"/>
      <c r="U319" s="144"/>
      <c r="V319" s="144"/>
      <c r="W319" s="144"/>
      <c r="X319" s="144"/>
      <c r="Y319" s="144"/>
      <c r="Z319" s="144"/>
    </row>
    <row r="320" spans="1:26" ht="18.75">
      <c r="A320" s="144"/>
      <c r="B320" s="141"/>
      <c r="C320" s="142"/>
      <c r="D320" s="143"/>
      <c r="E320" s="143"/>
      <c r="F320" s="144"/>
      <c r="G320" s="151"/>
      <c r="H320" s="151"/>
      <c r="I320" s="144"/>
      <c r="J320" s="144"/>
      <c r="K320" s="144"/>
      <c r="L320" s="144"/>
      <c r="M320" s="144"/>
      <c r="N320" s="144"/>
      <c r="O320" s="144"/>
      <c r="P320" s="144"/>
      <c r="Q320" s="144"/>
      <c r="R320" s="144"/>
      <c r="S320" s="144"/>
      <c r="T320" s="144"/>
      <c r="U320" s="144"/>
      <c r="V320" s="144"/>
      <c r="W320" s="144"/>
      <c r="X320" s="144"/>
      <c r="Y320" s="144"/>
      <c r="Z320" s="144"/>
    </row>
    <row r="321" spans="1:26" ht="18.75">
      <c r="A321" s="144"/>
      <c r="B321" s="141"/>
      <c r="C321" s="142"/>
      <c r="D321" s="143"/>
      <c r="E321" s="143"/>
      <c r="F321" s="144"/>
      <c r="G321" s="153"/>
      <c r="H321" s="153"/>
      <c r="I321" s="144"/>
      <c r="J321" s="144"/>
      <c r="K321" s="144"/>
      <c r="L321" s="144"/>
      <c r="M321" s="144"/>
      <c r="N321" s="144"/>
      <c r="O321" s="144"/>
      <c r="P321" s="144"/>
      <c r="Q321" s="144"/>
      <c r="R321" s="144"/>
      <c r="S321" s="144"/>
      <c r="T321" s="144"/>
      <c r="U321" s="144"/>
      <c r="V321" s="144"/>
      <c r="W321" s="144"/>
      <c r="X321" s="144"/>
      <c r="Y321" s="144"/>
      <c r="Z321" s="144"/>
    </row>
    <row r="322" spans="1:26" ht="18.75">
      <c r="A322" s="144"/>
      <c r="B322" s="141"/>
      <c r="C322" s="142"/>
      <c r="D322" s="143"/>
      <c r="E322" s="143"/>
      <c r="F322" s="144"/>
      <c r="G322" s="151"/>
      <c r="H322" s="151"/>
      <c r="I322" s="144"/>
      <c r="J322" s="144"/>
      <c r="K322" s="144"/>
      <c r="L322" s="144"/>
      <c r="M322" s="144"/>
      <c r="N322" s="144"/>
      <c r="O322" s="144"/>
      <c r="P322" s="144"/>
      <c r="Q322" s="144"/>
      <c r="R322" s="144"/>
      <c r="S322" s="144"/>
      <c r="T322" s="144"/>
      <c r="U322" s="144"/>
      <c r="V322" s="144"/>
      <c r="W322" s="144"/>
      <c r="X322" s="144"/>
      <c r="Y322" s="144"/>
      <c r="Z322" s="144"/>
    </row>
    <row r="323" spans="1:26" ht="18.75">
      <c r="A323" s="144"/>
      <c r="B323" s="141"/>
      <c r="C323" s="142"/>
      <c r="D323" s="143"/>
      <c r="E323" s="143"/>
      <c r="F323" s="144"/>
      <c r="G323" s="153"/>
      <c r="H323" s="153"/>
      <c r="I323" s="144"/>
      <c r="J323" s="144"/>
      <c r="K323" s="144"/>
      <c r="L323" s="144"/>
      <c r="M323" s="144"/>
      <c r="N323" s="144"/>
      <c r="O323" s="144"/>
      <c r="P323" s="144"/>
      <c r="Q323" s="144"/>
      <c r="R323" s="144"/>
      <c r="S323" s="144"/>
      <c r="T323" s="144"/>
      <c r="U323" s="144"/>
      <c r="V323" s="144"/>
      <c r="W323" s="144"/>
      <c r="X323" s="144"/>
      <c r="Y323" s="144"/>
      <c r="Z323" s="144"/>
    </row>
    <row r="324" spans="1:26" ht="18.75">
      <c r="A324" s="144"/>
      <c r="B324" s="141"/>
      <c r="C324" s="142"/>
      <c r="D324" s="143"/>
      <c r="E324" s="143"/>
      <c r="F324" s="144"/>
      <c r="G324" s="151"/>
      <c r="H324" s="151"/>
      <c r="I324" s="144"/>
      <c r="J324" s="144"/>
      <c r="K324" s="144"/>
      <c r="L324" s="144"/>
      <c r="M324" s="144"/>
      <c r="N324" s="144"/>
      <c r="O324" s="144"/>
      <c r="P324" s="144"/>
      <c r="Q324" s="144"/>
      <c r="R324" s="144"/>
      <c r="S324" s="144"/>
      <c r="T324" s="144"/>
      <c r="U324" s="144"/>
      <c r="V324" s="144"/>
      <c r="W324" s="144"/>
      <c r="X324" s="144"/>
      <c r="Y324" s="144"/>
      <c r="Z324" s="144"/>
    </row>
    <row r="325" spans="1:26" ht="18.75">
      <c r="A325" s="144"/>
      <c r="B325" s="141"/>
      <c r="C325" s="142"/>
      <c r="D325" s="143"/>
      <c r="E325" s="143"/>
      <c r="F325" s="144"/>
      <c r="G325" s="153"/>
      <c r="H325" s="153"/>
      <c r="I325" s="144"/>
      <c r="J325" s="144"/>
      <c r="K325" s="144"/>
      <c r="L325" s="144"/>
      <c r="M325" s="144"/>
      <c r="N325" s="144"/>
      <c r="O325" s="144"/>
      <c r="P325" s="144"/>
      <c r="Q325" s="144"/>
      <c r="R325" s="144"/>
      <c r="S325" s="144"/>
      <c r="T325" s="144"/>
      <c r="U325" s="144"/>
      <c r="V325" s="144"/>
      <c r="W325" s="144"/>
      <c r="X325" s="144"/>
      <c r="Y325" s="144"/>
      <c r="Z325" s="144"/>
    </row>
    <row r="326" spans="1:26" ht="18.75">
      <c r="A326" s="144"/>
      <c r="B326" s="141"/>
      <c r="C326" s="142"/>
      <c r="D326" s="143"/>
      <c r="E326" s="143"/>
      <c r="F326" s="144"/>
      <c r="G326" s="151"/>
      <c r="H326" s="151"/>
      <c r="I326" s="144"/>
      <c r="J326" s="144"/>
      <c r="K326" s="144"/>
      <c r="L326" s="144"/>
      <c r="M326" s="144"/>
      <c r="N326" s="144"/>
      <c r="O326" s="144"/>
      <c r="P326" s="144"/>
      <c r="Q326" s="144"/>
      <c r="R326" s="144"/>
      <c r="S326" s="144"/>
      <c r="T326" s="144"/>
      <c r="U326" s="144"/>
      <c r="V326" s="144"/>
      <c r="W326" s="144"/>
      <c r="X326" s="144"/>
      <c r="Y326" s="144"/>
      <c r="Z326" s="144"/>
    </row>
    <row r="327" spans="1:26" ht="18.75">
      <c r="A327" s="144"/>
      <c r="B327" s="141"/>
      <c r="C327" s="142"/>
      <c r="D327" s="143"/>
      <c r="E327" s="143"/>
      <c r="F327" s="144"/>
      <c r="G327" s="153"/>
      <c r="H327" s="153"/>
      <c r="I327" s="144"/>
      <c r="J327" s="144"/>
      <c r="K327" s="144"/>
      <c r="L327" s="144"/>
      <c r="M327" s="144"/>
      <c r="N327" s="144"/>
      <c r="O327" s="144"/>
      <c r="P327" s="144"/>
      <c r="Q327" s="144"/>
      <c r="R327" s="144"/>
      <c r="S327" s="144"/>
      <c r="T327" s="144"/>
      <c r="U327" s="144"/>
      <c r="V327" s="144"/>
      <c r="W327" s="144"/>
      <c r="X327" s="144"/>
      <c r="Y327" s="144"/>
      <c r="Z327" s="144"/>
    </row>
    <row r="328" spans="1:26" ht="18.75">
      <c r="A328" s="144"/>
      <c r="B328" s="141"/>
      <c r="C328" s="142"/>
      <c r="D328" s="143"/>
      <c r="E328" s="143"/>
      <c r="F328" s="144"/>
      <c r="G328" s="151"/>
      <c r="H328" s="151"/>
      <c r="I328" s="144"/>
      <c r="J328" s="144"/>
      <c r="K328" s="144"/>
      <c r="L328" s="144"/>
      <c r="M328" s="144"/>
      <c r="N328" s="144"/>
      <c r="O328" s="144"/>
      <c r="P328" s="144"/>
      <c r="Q328" s="144"/>
      <c r="R328" s="144"/>
      <c r="S328" s="144"/>
      <c r="T328" s="144"/>
      <c r="U328" s="144"/>
      <c r="V328" s="144"/>
      <c r="W328" s="144"/>
      <c r="X328" s="144"/>
      <c r="Y328" s="144"/>
      <c r="Z328" s="144"/>
    </row>
    <row r="329" spans="1:26" ht="18.75">
      <c r="A329" s="144"/>
      <c r="B329" s="141"/>
      <c r="C329" s="142"/>
      <c r="D329" s="143"/>
      <c r="E329" s="143"/>
      <c r="F329" s="144"/>
      <c r="G329" s="153"/>
      <c r="H329" s="153"/>
      <c r="I329" s="144"/>
      <c r="J329" s="144"/>
      <c r="K329" s="144"/>
      <c r="L329" s="144"/>
      <c r="M329" s="144"/>
      <c r="N329" s="144"/>
      <c r="O329" s="144"/>
      <c r="P329" s="144"/>
      <c r="Q329" s="144"/>
      <c r="R329" s="144"/>
      <c r="S329" s="144"/>
      <c r="T329" s="144"/>
      <c r="U329" s="144"/>
      <c r="V329" s="144"/>
      <c r="W329" s="144"/>
      <c r="X329" s="144"/>
      <c r="Y329" s="144"/>
      <c r="Z329" s="144"/>
    </row>
    <row r="330" spans="1:26" ht="18.75">
      <c r="A330" s="144"/>
      <c r="B330" s="141"/>
      <c r="C330" s="142"/>
      <c r="D330" s="143"/>
      <c r="E330" s="143"/>
      <c r="F330" s="144"/>
      <c r="G330" s="151"/>
      <c r="H330" s="151"/>
      <c r="I330" s="144"/>
      <c r="J330" s="144"/>
      <c r="K330" s="144"/>
      <c r="L330" s="144"/>
      <c r="M330" s="144"/>
      <c r="N330" s="144"/>
      <c r="O330" s="144"/>
      <c r="P330" s="144"/>
      <c r="Q330" s="144"/>
      <c r="R330" s="144"/>
      <c r="S330" s="144"/>
      <c r="T330" s="144"/>
      <c r="U330" s="144"/>
      <c r="V330" s="144"/>
      <c r="W330" s="144"/>
      <c r="X330" s="144"/>
      <c r="Y330" s="144"/>
      <c r="Z330" s="144"/>
    </row>
    <row r="331" spans="1:26" ht="18.75">
      <c r="A331" s="144"/>
      <c r="B331" s="141"/>
      <c r="C331" s="142"/>
      <c r="D331" s="143"/>
      <c r="E331" s="143"/>
      <c r="F331" s="144"/>
      <c r="G331" s="153"/>
      <c r="H331" s="153"/>
      <c r="I331" s="144"/>
      <c r="J331" s="144"/>
      <c r="K331" s="144"/>
      <c r="L331" s="144"/>
      <c r="M331" s="144"/>
      <c r="N331" s="144"/>
      <c r="O331" s="144"/>
      <c r="P331" s="144"/>
      <c r="Q331" s="144"/>
      <c r="R331" s="144"/>
      <c r="S331" s="144"/>
      <c r="T331" s="144"/>
      <c r="U331" s="144"/>
      <c r="V331" s="144"/>
      <c r="W331" s="144"/>
      <c r="X331" s="144"/>
      <c r="Y331" s="144"/>
      <c r="Z331" s="144"/>
    </row>
    <row r="332" spans="1:26" ht="18.75">
      <c r="A332" s="144"/>
      <c r="B332" s="141"/>
      <c r="C332" s="142"/>
      <c r="D332" s="143"/>
      <c r="E332" s="143"/>
      <c r="F332" s="144"/>
      <c r="G332" s="151"/>
      <c r="H332" s="151"/>
      <c r="I332" s="144"/>
      <c r="J332" s="144"/>
      <c r="K332" s="144"/>
      <c r="L332" s="144"/>
      <c r="M332" s="144"/>
      <c r="N332" s="144"/>
      <c r="O332" s="144"/>
      <c r="P332" s="144"/>
      <c r="Q332" s="144"/>
      <c r="R332" s="144"/>
      <c r="S332" s="144"/>
      <c r="T332" s="144"/>
      <c r="U332" s="144"/>
      <c r="V332" s="144"/>
      <c r="W332" s="144"/>
      <c r="X332" s="144"/>
      <c r="Y332" s="144"/>
      <c r="Z332" s="144"/>
    </row>
    <row r="333" spans="1:26" ht="18.75">
      <c r="A333" s="144"/>
      <c r="B333" s="141"/>
      <c r="C333" s="142"/>
      <c r="D333" s="143"/>
      <c r="E333" s="143"/>
      <c r="F333" s="144"/>
      <c r="G333" s="153"/>
      <c r="H333" s="153"/>
      <c r="I333" s="144"/>
      <c r="J333" s="144"/>
      <c r="K333" s="144"/>
      <c r="L333" s="144"/>
      <c r="M333" s="144"/>
      <c r="N333" s="144"/>
      <c r="O333" s="144"/>
      <c r="P333" s="144"/>
      <c r="Q333" s="144"/>
      <c r="R333" s="144"/>
      <c r="S333" s="144"/>
      <c r="T333" s="144"/>
      <c r="U333" s="144"/>
      <c r="V333" s="144"/>
      <c r="W333" s="144"/>
      <c r="X333" s="144"/>
      <c r="Y333" s="144"/>
      <c r="Z333" s="144"/>
    </row>
    <row r="334" spans="1:26" ht="18.75">
      <c r="A334" s="144"/>
      <c r="B334" s="141"/>
      <c r="C334" s="142"/>
      <c r="D334" s="143"/>
      <c r="E334" s="143"/>
      <c r="F334" s="144"/>
      <c r="G334" s="151"/>
      <c r="H334" s="151"/>
      <c r="I334" s="144"/>
      <c r="J334" s="144"/>
      <c r="K334" s="144"/>
      <c r="L334" s="144"/>
      <c r="M334" s="144"/>
      <c r="N334" s="144"/>
      <c r="O334" s="144"/>
      <c r="P334" s="144"/>
      <c r="Q334" s="144"/>
      <c r="R334" s="144"/>
      <c r="S334" s="144"/>
      <c r="T334" s="144"/>
      <c r="U334" s="144"/>
      <c r="V334" s="144"/>
      <c r="W334" s="144"/>
      <c r="X334" s="144"/>
      <c r="Y334" s="144"/>
      <c r="Z334" s="144"/>
    </row>
    <row r="335" spans="1:26" ht="18.75">
      <c r="A335" s="144"/>
      <c r="B335" s="141"/>
      <c r="C335" s="142"/>
      <c r="D335" s="143"/>
      <c r="E335" s="143"/>
      <c r="F335" s="144"/>
      <c r="G335" s="153"/>
      <c r="H335" s="153"/>
      <c r="I335" s="144"/>
      <c r="J335" s="144"/>
      <c r="K335" s="144"/>
      <c r="L335" s="144"/>
      <c r="M335" s="144"/>
      <c r="N335" s="144"/>
      <c r="O335" s="144"/>
      <c r="P335" s="144"/>
      <c r="Q335" s="144"/>
      <c r="R335" s="144"/>
      <c r="S335" s="144"/>
      <c r="T335" s="144"/>
      <c r="U335" s="144"/>
      <c r="V335" s="144"/>
      <c r="W335" s="144"/>
      <c r="X335" s="144"/>
      <c r="Y335" s="144"/>
      <c r="Z335" s="144"/>
    </row>
    <row r="336" spans="1:26" ht="18.75">
      <c r="A336" s="144"/>
      <c r="B336" s="141"/>
      <c r="C336" s="142"/>
      <c r="D336" s="143"/>
      <c r="E336" s="143"/>
      <c r="F336" s="144"/>
      <c r="G336" s="151"/>
      <c r="H336" s="151"/>
      <c r="I336" s="144"/>
      <c r="J336" s="144"/>
      <c r="K336" s="144"/>
      <c r="L336" s="144"/>
      <c r="M336" s="144"/>
      <c r="N336" s="144"/>
      <c r="O336" s="144"/>
      <c r="P336" s="144"/>
      <c r="Q336" s="144"/>
      <c r="R336" s="144"/>
      <c r="S336" s="144"/>
      <c r="T336" s="144"/>
      <c r="U336" s="144"/>
      <c r="V336" s="144"/>
      <c r="W336" s="144"/>
      <c r="X336" s="144"/>
      <c r="Y336" s="144"/>
      <c r="Z336" s="144"/>
    </row>
    <row r="337" spans="1:26" ht="18.75">
      <c r="A337" s="144"/>
      <c r="B337" s="141"/>
      <c r="C337" s="142"/>
      <c r="D337" s="143"/>
      <c r="E337" s="143"/>
      <c r="F337" s="144"/>
      <c r="G337" s="153"/>
      <c r="H337" s="153"/>
      <c r="I337" s="144"/>
      <c r="J337" s="144"/>
      <c r="K337" s="144"/>
      <c r="L337" s="144"/>
      <c r="M337" s="144"/>
      <c r="N337" s="144"/>
      <c r="O337" s="144"/>
      <c r="P337" s="144"/>
      <c r="Q337" s="144"/>
      <c r="R337" s="144"/>
      <c r="S337" s="144"/>
      <c r="T337" s="144"/>
      <c r="U337" s="144"/>
      <c r="V337" s="144"/>
      <c r="W337" s="144"/>
      <c r="X337" s="144"/>
      <c r="Y337" s="144"/>
      <c r="Z337" s="144"/>
    </row>
    <row r="338" spans="1:26" ht="18.75">
      <c r="A338" s="144"/>
      <c r="B338" s="141"/>
      <c r="C338" s="142"/>
      <c r="D338" s="143"/>
      <c r="E338" s="143"/>
      <c r="F338" s="144"/>
      <c r="G338" s="151"/>
      <c r="H338" s="151"/>
      <c r="I338" s="144"/>
      <c r="J338" s="144"/>
      <c r="K338" s="144"/>
      <c r="L338" s="144"/>
      <c r="M338" s="144"/>
      <c r="N338" s="144"/>
      <c r="O338" s="144"/>
      <c r="P338" s="144"/>
      <c r="Q338" s="144"/>
      <c r="R338" s="144"/>
      <c r="S338" s="144"/>
      <c r="T338" s="144"/>
      <c r="U338" s="144"/>
      <c r="V338" s="144"/>
      <c r="W338" s="144"/>
      <c r="X338" s="144"/>
      <c r="Y338" s="144"/>
      <c r="Z338" s="144"/>
    </row>
    <row r="339" spans="1:26" ht="18.75">
      <c r="A339" s="144"/>
      <c r="B339" s="141"/>
      <c r="C339" s="142"/>
      <c r="D339" s="143"/>
      <c r="E339" s="143"/>
      <c r="F339" s="144"/>
      <c r="G339" s="153"/>
      <c r="H339" s="153"/>
      <c r="I339" s="144"/>
      <c r="J339" s="144"/>
      <c r="K339" s="144"/>
      <c r="L339" s="144"/>
      <c r="M339" s="144"/>
      <c r="N339" s="144"/>
      <c r="O339" s="144"/>
      <c r="P339" s="144"/>
      <c r="Q339" s="144"/>
      <c r="R339" s="144"/>
      <c r="S339" s="144"/>
      <c r="T339" s="144"/>
      <c r="U339" s="144"/>
      <c r="V339" s="144"/>
      <c r="W339" s="144"/>
      <c r="X339" s="144"/>
      <c r="Y339" s="144"/>
      <c r="Z339" s="144"/>
    </row>
    <row r="340" spans="1:26" ht="18.75">
      <c r="A340" s="144"/>
      <c r="B340" s="141"/>
      <c r="C340" s="142"/>
      <c r="D340" s="143"/>
      <c r="E340" s="143"/>
      <c r="F340" s="144"/>
      <c r="G340" s="151"/>
      <c r="H340" s="151"/>
      <c r="I340" s="144"/>
      <c r="J340" s="144"/>
      <c r="K340" s="144"/>
      <c r="L340" s="144"/>
      <c r="M340" s="144"/>
      <c r="N340" s="144"/>
      <c r="O340" s="144"/>
      <c r="P340" s="144"/>
      <c r="Q340" s="144"/>
      <c r="R340" s="144"/>
      <c r="S340" s="144"/>
      <c r="T340" s="144"/>
      <c r="U340" s="144"/>
      <c r="V340" s="144"/>
      <c r="W340" s="144"/>
      <c r="X340" s="144"/>
      <c r="Y340" s="144"/>
      <c r="Z340" s="144"/>
    </row>
    <row r="341" spans="1:26" ht="18.75">
      <c r="A341" s="144"/>
      <c r="B341" s="141"/>
      <c r="C341" s="142"/>
      <c r="D341" s="143"/>
      <c r="E341" s="143"/>
      <c r="F341" s="144"/>
      <c r="G341" s="153"/>
      <c r="H341" s="153"/>
      <c r="I341" s="144"/>
      <c r="J341" s="144"/>
      <c r="K341" s="144"/>
      <c r="L341" s="144"/>
      <c r="M341" s="144"/>
      <c r="N341" s="144"/>
      <c r="O341" s="144"/>
      <c r="P341" s="144"/>
      <c r="Q341" s="144"/>
      <c r="R341" s="144"/>
      <c r="S341" s="144"/>
      <c r="T341" s="144"/>
      <c r="U341" s="144"/>
      <c r="V341" s="144"/>
      <c r="W341" s="144"/>
      <c r="X341" s="144"/>
      <c r="Y341" s="144"/>
      <c r="Z341" s="144"/>
    </row>
    <row r="342" spans="1:26" ht="18.75">
      <c r="A342" s="144"/>
      <c r="B342" s="141"/>
      <c r="C342" s="142"/>
      <c r="D342" s="143"/>
      <c r="E342" s="143"/>
      <c r="F342" s="144"/>
      <c r="G342" s="151"/>
      <c r="H342" s="151"/>
      <c r="I342" s="144"/>
      <c r="J342" s="144"/>
      <c r="K342" s="144"/>
      <c r="L342" s="144"/>
      <c r="M342" s="144"/>
      <c r="N342" s="144"/>
      <c r="O342" s="144"/>
      <c r="P342" s="144"/>
      <c r="Q342" s="144"/>
      <c r="R342" s="144"/>
      <c r="S342" s="144"/>
      <c r="T342" s="144"/>
      <c r="U342" s="144"/>
      <c r="V342" s="144"/>
      <c r="W342" s="144"/>
      <c r="X342" s="144"/>
      <c r="Y342" s="144"/>
      <c r="Z342" s="144"/>
    </row>
    <row r="343" spans="1:26" ht="18.75">
      <c r="A343" s="144"/>
      <c r="B343" s="141"/>
      <c r="C343" s="142"/>
      <c r="D343" s="143"/>
      <c r="E343" s="143"/>
      <c r="F343" s="144"/>
      <c r="G343" s="153"/>
      <c r="H343" s="153"/>
      <c r="I343" s="144"/>
      <c r="J343" s="144"/>
      <c r="K343" s="144"/>
      <c r="L343" s="144"/>
      <c r="M343" s="144"/>
      <c r="N343" s="144"/>
      <c r="O343" s="144"/>
      <c r="P343" s="144"/>
      <c r="Q343" s="144"/>
      <c r="R343" s="144"/>
      <c r="S343" s="144"/>
      <c r="T343" s="144"/>
      <c r="U343" s="144"/>
      <c r="V343" s="144"/>
      <c r="W343" s="144"/>
      <c r="X343" s="144"/>
      <c r="Y343" s="144"/>
      <c r="Z343" s="144"/>
    </row>
    <row r="344" spans="1:26" ht="18.75">
      <c r="A344" s="144"/>
      <c r="B344" s="141"/>
      <c r="C344" s="142"/>
      <c r="D344" s="143"/>
      <c r="E344" s="143"/>
      <c r="F344" s="144"/>
      <c r="G344" s="151"/>
      <c r="H344" s="151"/>
      <c r="I344" s="144"/>
      <c r="J344" s="144"/>
      <c r="K344" s="144"/>
      <c r="L344" s="144"/>
      <c r="M344" s="144"/>
      <c r="N344" s="144"/>
      <c r="O344" s="144"/>
      <c r="P344" s="144"/>
      <c r="Q344" s="144"/>
      <c r="R344" s="144"/>
      <c r="S344" s="144"/>
      <c r="T344" s="144"/>
      <c r="U344" s="144"/>
      <c r="V344" s="144"/>
      <c r="W344" s="144"/>
      <c r="X344" s="144"/>
      <c r="Y344" s="144"/>
      <c r="Z344" s="144"/>
    </row>
    <row r="345" spans="1:26" ht="18.75">
      <c r="A345" s="144"/>
      <c r="B345" s="141"/>
      <c r="C345" s="142"/>
      <c r="D345" s="143"/>
      <c r="E345" s="143"/>
      <c r="F345" s="144"/>
      <c r="G345" s="153"/>
      <c r="H345" s="153"/>
      <c r="I345" s="144"/>
      <c r="J345" s="144"/>
      <c r="K345" s="144"/>
      <c r="L345" s="144"/>
      <c r="M345" s="144"/>
      <c r="N345" s="144"/>
      <c r="O345" s="144"/>
      <c r="P345" s="144"/>
      <c r="Q345" s="144"/>
      <c r="R345" s="144"/>
      <c r="S345" s="144"/>
      <c r="T345" s="144"/>
      <c r="U345" s="144"/>
      <c r="V345" s="144"/>
      <c r="W345" s="144"/>
      <c r="X345" s="144"/>
      <c r="Y345" s="144"/>
      <c r="Z345" s="144"/>
    </row>
    <row r="346" spans="1:26" ht="18.75">
      <c r="A346" s="144"/>
      <c r="B346" s="141"/>
      <c r="C346" s="142"/>
      <c r="D346" s="143"/>
      <c r="E346" s="143"/>
      <c r="F346" s="144"/>
      <c r="G346" s="151"/>
      <c r="H346" s="151"/>
      <c r="I346" s="144"/>
      <c r="J346" s="144"/>
      <c r="K346" s="144"/>
      <c r="L346" s="144"/>
      <c r="M346" s="144"/>
      <c r="N346" s="144"/>
      <c r="O346" s="144"/>
      <c r="P346" s="144"/>
      <c r="Q346" s="144"/>
      <c r="R346" s="144"/>
      <c r="S346" s="144"/>
      <c r="T346" s="144"/>
      <c r="U346" s="144"/>
      <c r="V346" s="144"/>
      <c r="W346" s="144"/>
      <c r="X346" s="144"/>
      <c r="Y346" s="144"/>
      <c r="Z346" s="144"/>
    </row>
    <row r="347" spans="1:26" ht="18.75">
      <c r="A347" s="144"/>
      <c r="B347" s="141"/>
      <c r="C347" s="142"/>
      <c r="D347" s="143"/>
      <c r="E347" s="143"/>
      <c r="F347" s="144"/>
      <c r="G347" s="153"/>
      <c r="H347" s="153"/>
      <c r="I347" s="144"/>
      <c r="J347" s="144"/>
      <c r="K347" s="144"/>
      <c r="L347" s="144"/>
      <c r="M347" s="144"/>
      <c r="N347" s="144"/>
      <c r="O347" s="144"/>
      <c r="P347" s="144"/>
      <c r="Q347" s="144"/>
      <c r="R347" s="144"/>
      <c r="S347" s="144"/>
      <c r="T347" s="144"/>
      <c r="U347" s="144"/>
      <c r="V347" s="144"/>
      <c r="W347" s="144"/>
      <c r="X347" s="144"/>
      <c r="Y347" s="144"/>
      <c r="Z347" s="144"/>
    </row>
    <row r="348" spans="1:26" ht="18.75">
      <c r="A348" s="144"/>
      <c r="B348" s="141"/>
      <c r="C348" s="142"/>
      <c r="D348" s="143"/>
      <c r="E348" s="143"/>
      <c r="F348" s="144"/>
      <c r="G348" s="151"/>
      <c r="H348" s="151"/>
      <c r="I348" s="144"/>
      <c r="J348" s="144"/>
      <c r="K348" s="144"/>
      <c r="L348" s="144"/>
      <c r="M348" s="144"/>
      <c r="N348" s="144"/>
      <c r="O348" s="144"/>
      <c r="P348" s="144"/>
      <c r="Q348" s="144"/>
      <c r="R348" s="144"/>
      <c r="S348" s="144"/>
      <c r="T348" s="144"/>
      <c r="U348" s="144"/>
      <c r="V348" s="144"/>
      <c r="W348" s="144"/>
      <c r="X348" s="144"/>
      <c r="Y348" s="144"/>
      <c r="Z348" s="144"/>
    </row>
    <row r="349" spans="1:26" ht="18.75">
      <c r="A349" s="144"/>
      <c r="B349" s="141"/>
      <c r="C349" s="142"/>
      <c r="D349" s="143"/>
      <c r="E349" s="143"/>
      <c r="F349" s="144"/>
      <c r="G349" s="153"/>
      <c r="H349" s="153"/>
      <c r="I349" s="144"/>
      <c r="J349" s="144"/>
      <c r="K349" s="144"/>
      <c r="L349" s="144"/>
      <c r="M349" s="144"/>
      <c r="N349" s="144"/>
      <c r="O349" s="144"/>
      <c r="P349" s="144"/>
      <c r="Q349" s="144"/>
      <c r="R349" s="144"/>
      <c r="S349" s="144"/>
      <c r="T349" s="144"/>
      <c r="U349" s="144"/>
      <c r="V349" s="144"/>
      <c r="W349" s="144"/>
      <c r="X349" s="144"/>
      <c r="Y349" s="144"/>
      <c r="Z349" s="144"/>
    </row>
    <row r="350" spans="1:26" ht="18.75">
      <c r="A350" s="144"/>
      <c r="B350" s="141"/>
      <c r="C350" s="142"/>
      <c r="D350" s="143"/>
      <c r="E350" s="143"/>
      <c r="F350" s="144"/>
      <c r="G350" s="151"/>
      <c r="H350" s="151"/>
      <c r="I350" s="144"/>
      <c r="J350" s="144"/>
      <c r="K350" s="144"/>
      <c r="L350" s="144"/>
      <c r="M350" s="144"/>
      <c r="N350" s="144"/>
      <c r="O350" s="144"/>
      <c r="P350" s="144"/>
      <c r="Q350" s="144"/>
      <c r="R350" s="144"/>
      <c r="S350" s="144"/>
      <c r="T350" s="144"/>
      <c r="U350" s="144"/>
      <c r="V350" s="144"/>
      <c r="W350" s="144"/>
      <c r="X350" s="144"/>
      <c r="Y350" s="144"/>
      <c r="Z350" s="144"/>
    </row>
    <row r="351" spans="1:26" ht="18.75">
      <c r="A351" s="144"/>
      <c r="B351" s="141"/>
      <c r="C351" s="142"/>
      <c r="D351" s="143"/>
      <c r="E351" s="143"/>
      <c r="F351" s="144"/>
      <c r="G351" s="153"/>
      <c r="H351" s="153"/>
      <c r="I351" s="144"/>
      <c r="J351" s="144"/>
      <c r="K351" s="144"/>
      <c r="L351" s="144"/>
      <c r="M351" s="144"/>
      <c r="N351" s="144"/>
      <c r="O351" s="144"/>
      <c r="P351" s="144"/>
      <c r="Q351" s="144"/>
      <c r="R351" s="144"/>
      <c r="S351" s="144"/>
      <c r="T351" s="144"/>
      <c r="U351" s="144"/>
      <c r="V351" s="144"/>
      <c r="W351" s="144"/>
      <c r="X351" s="144"/>
      <c r="Y351" s="144"/>
      <c r="Z351" s="144"/>
    </row>
    <row r="352" spans="1:26" ht="18.75">
      <c r="A352" s="144"/>
      <c r="B352" s="141"/>
      <c r="C352" s="142"/>
      <c r="D352" s="143"/>
      <c r="E352" s="143"/>
      <c r="F352" s="144"/>
      <c r="G352" s="151"/>
      <c r="H352" s="151"/>
      <c r="I352" s="144"/>
      <c r="J352" s="144"/>
      <c r="K352" s="144"/>
      <c r="L352" s="144"/>
      <c r="M352" s="144"/>
      <c r="N352" s="144"/>
      <c r="O352" s="144"/>
      <c r="P352" s="144"/>
      <c r="Q352" s="144"/>
      <c r="R352" s="144"/>
      <c r="S352" s="144"/>
      <c r="T352" s="144"/>
      <c r="U352" s="144"/>
      <c r="V352" s="144"/>
      <c r="W352" s="144"/>
      <c r="X352" s="144"/>
      <c r="Y352" s="144"/>
      <c r="Z352" s="144"/>
    </row>
    <row r="353" spans="1:26" ht="18.75">
      <c r="A353" s="144"/>
      <c r="B353" s="141"/>
      <c r="C353" s="142"/>
      <c r="D353" s="143"/>
      <c r="E353" s="143"/>
      <c r="F353" s="144"/>
      <c r="G353" s="153"/>
      <c r="H353" s="153"/>
      <c r="I353" s="144"/>
      <c r="J353" s="144"/>
      <c r="K353" s="144"/>
      <c r="L353" s="144"/>
      <c r="M353" s="144"/>
      <c r="N353" s="144"/>
      <c r="O353" s="144"/>
      <c r="P353" s="144"/>
      <c r="Q353" s="144"/>
      <c r="R353" s="144"/>
      <c r="S353" s="144"/>
      <c r="T353" s="144"/>
      <c r="U353" s="144"/>
      <c r="V353" s="144"/>
      <c r="W353" s="144"/>
      <c r="X353" s="144"/>
      <c r="Y353" s="144"/>
      <c r="Z353" s="144"/>
    </row>
    <row r="354" spans="1:26" ht="18.75">
      <c r="A354" s="144"/>
      <c r="B354" s="141"/>
      <c r="C354" s="142"/>
      <c r="D354" s="143"/>
      <c r="E354" s="143"/>
      <c r="F354" s="144"/>
      <c r="G354" s="151"/>
      <c r="H354" s="151"/>
      <c r="I354" s="144"/>
      <c r="J354" s="144"/>
      <c r="K354" s="144"/>
      <c r="L354" s="144"/>
      <c r="M354" s="144"/>
      <c r="N354" s="144"/>
      <c r="O354" s="144"/>
      <c r="P354" s="144"/>
      <c r="Q354" s="144"/>
      <c r="R354" s="144"/>
      <c r="S354" s="144"/>
      <c r="T354" s="144"/>
      <c r="U354" s="144"/>
      <c r="V354" s="144"/>
      <c r="W354" s="144"/>
      <c r="X354" s="144"/>
      <c r="Y354" s="144"/>
      <c r="Z354" s="144"/>
    </row>
    <row r="355" spans="1:26" ht="18.75">
      <c r="A355" s="144"/>
      <c r="B355" s="141"/>
      <c r="C355" s="142"/>
      <c r="D355" s="143"/>
      <c r="E355" s="143"/>
      <c r="F355" s="144"/>
      <c r="G355" s="153"/>
      <c r="H355" s="153"/>
      <c r="I355" s="144"/>
      <c r="J355" s="144"/>
      <c r="K355" s="144"/>
      <c r="L355" s="144"/>
      <c r="M355" s="144"/>
      <c r="N355" s="144"/>
      <c r="O355" s="144"/>
      <c r="P355" s="144"/>
      <c r="Q355" s="144"/>
      <c r="R355" s="144"/>
      <c r="S355" s="144"/>
      <c r="T355" s="144"/>
      <c r="U355" s="144"/>
      <c r="V355" s="144"/>
      <c r="W355" s="144"/>
      <c r="X355" s="144"/>
      <c r="Y355" s="144"/>
      <c r="Z355" s="144"/>
    </row>
    <row r="356" spans="1:26" ht="18.75">
      <c r="A356" s="144"/>
      <c r="B356" s="141"/>
      <c r="C356" s="142"/>
      <c r="D356" s="143"/>
      <c r="E356" s="143"/>
      <c r="F356" s="144"/>
      <c r="G356" s="151"/>
      <c r="H356" s="151"/>
      <c r="I356" s="144"/>
      <c r="J356" s="144"/>
      <c r="K356" s="144"/>
      <c r="L356" s="144"/>
      <c r="M356" s="144"/>
      <c r="N356" s="144"/>
      <c r="O356" s="144"/>
      <c r="P356" s="144"/>
      <c r="Q356" s="144"/>
      <c r="R356" s="144"/>
      <c r="S356" s="144"/>
      <c r="T356" s="144"/>
      <c r="U356" s="144"/>
      <c r="V356" s="144"/>
      <c r="W356" s="144"/>
      <c r="X356" s="144"/>
      <c r="Y356" s="144"/>
      <c r="Z356" s="144"/>
    </row>
    <row r="357" spans="1:26" ht="18.75">
      <c r="A357" s="144"/>
      <c r="B357" s="141"/>
      <c r="C357" s="142"/>
      <c r="D357" s="143"/>
      <c r="E357" s="143"/>
      <c r="F357" s="144"/>
      <c r="G357" s="153"/>
      <c r="H357" s="153"/>
      <c r="I357" s="144"/>
      <c r="J357" s="144"/>
      <c r="K357" s="144"/>
      <c r="L357" s="144"/>
      <c r="M357" s="144"/>
      <c r="N357" s="144"/>
      <c r="O357" s="144"/>
      <c r="P357" s="144"/>
      <c r="Q357" s="144"/>
      <c r="R357" s="144"/>
      <c r="S357" s="144"/>
      <c r="T357" s="144"/>
      <c r="U357" s="144"/>
      <c r="V357" s="144"/>
      <c r="W357" s="144"/>
      <c r="X357" s="144"/>
      <c r="Y357" s="144"/>
      <c r="Z357" s="144"/>
    </row>
    <row r="358" spans="1:26" ht="18.75">
      <c r="A358" s="144"/>
      <c r="B358" s="141"/>
      <c r="C358" s="142"/>
      <c r="D358" s="143"/>
      <c r="E358" s="143"/>
      <c r="F358" s="144"/>
      <c r="G358" s="151"/>
      <c r="H358" s="151"/>
      <c r="I358" s="144"/>
      <c r="J358" s="144"/>
      <c r="K358" s="144"/>
      <c r="L358" s="144"/>
      <c r="M358" s="144"/>
      <c r="N358" s="144"/>
      <c r="O358" s="144"/>
      <c r="P358" s="144"/>
      <c r="Q358" s="144"/>
      <c r="R358" s="144"/>
      <c r="S358" s="144"/>
      <c r="T358" s="144"/>
      <c r="U358" s="144"/>
      <c r="V358" s="144"/>
      <c r="W358" s="144"/>
      <c r="X358" s="144"/>
      <c r="Y358" s="144"/>
      <c r="Z358" s="144"/>
    </row>
    <row r="359" spans="1:26" ht="18.75">
      <c r="A359" s="144"/>
      <c r="B359" s="141"/>
      <c r="C359" s="142"/>
      <c r="D359" s="143"/>
      <c r="E359" s="143"/>
      <c r="F359" s="144"/>
      <c r="G359" s="153"/>
      <c r="H359" s="153"/>
      <c r="I359" s="144"/>
      <c r="J359" s="144"/>
      <c r="K359" s="144"/>
      <c r="L359" s="144"/>
      <c r="M359" s="144"/>
      <c r="N359" s="144"/>
      <c r="O359" s="144"/>
      <c r="P359" s="144"/>
      <c r="Q359" s="144"/>
      <c r="R359" s="144"/>
      <c r="S359" s="144"/>
      <c r="T359" s="144"/>
      <c r="U359" s="144"/>
      <c r="V359" s="144"/>
      <c r="W359" s="144"/>
      <c r="X359" s="144"/>
      <c r="Y359" s="144"/>
      <c r="Z359" s="144"/>
    </row>
    <row r="360" spans="1:26" ht="18.75">
      <c r="A360" s="144"/>
      <c r="B360" s="141"/>
      <c r="C360" s="142"/>
      <c r="D360" s="143"/>
      <c r="E360" s="143"/>
      <c r="F360" s="144"/>
      <c r="G360" s="151"/>
      <c r="H360" s="151"/>
      <c r="I360" s="144"/>
      <c r="J360" s="144"/>
      <c r="K360" s="144"/>
      <c r="L360" s="144"/>
      <c r="M360" s="144"/>
      <c r="N360" s="144"/>
      <c r="O360" s="144"/>
      <c r="P360" s="144"/>
      <c r="Q360" s="144"/>
      <c r="R360" s="144"/>
      <c r="S360" s="144"/>
      <c r="T360" s="144"/>
      <c r="U360" s="144"/>
      <c r="V360" s="144"/>
      <c r="W360" s="144"/>
      <c r="X360" s="144"/>
      <c r="Y360" s="144"/>
      <c r="Z360" s="144"/>
    </row>
    <row r="361" spans="1:26" ht="18.75">
      <c r="A361" s="144"/>
      <c r="B361" s="141"/>
      <c r="C361" s="142"/>
      <c r="D361" s="143"/>
      <c r="E361" s="143"/>
      <c r="F361" s="144"/>
      <c r="G361" s="153"/>
      <c r="H361" s="153"/>
      <c r="I361" s="144"/>
      <c r="J361" s="144"/>
      <c r="K361" s="144"/>
      <c r="L361" s="144"/>
      <c r="M361" s="144"/>
      <c r="N361" s="144"/>
      <c r="O361" s="144"/>
      <c r="P361" s="144"/>
      <c r="Q361" s="144"/>
      <c r="R361" s="144"/>
      <c r="S361" s="144"/>
      <c r="T361" s="144"/>
      <c r="U361" s="144"/>
      <c r="V361" s="144"/>
      <c r="W361" s="144"/>
      <c r="X361" s="144"/>
      <c r="Y361" s="144"/>
      <c r="Z361" s="144"/>
    </row>
    <row r="362" spans="1:26" ht="18.75">
      <c r="A362" s="144"/>
      <c r="B362" s="141"/>
      <c r="C362" s="142"/>
      <c r="D362" s="143"/>
      <c r="E362" s="143"/>
      <c r="F362" s="144"/>
      <c r="G362" s="151"/>
      <c r="H362" s="151"/>
      <c r="I362" s="144"/>
      <c r="J362" s="144"/>
      <c r="K362" s="144"/>
      <c r="L362" s="144"/>
      <c r="M362" s="144"/>
      <c r="N362" s="144"/>
      <c r="O362" s="144"/>
      <c r="P362" s="144"/>
      <c r="Q362" s="144"/>
      <c r="R362" s="144"/>
      <c r="S362" s="144"/>
      <c r="T362" s="144"/>
      <c r="U362" s="144"/>
      <c r="V362" s="144"/>
      <c r="W362" s="144"/>
      <c r="X362" s="144"/>
      <c r="Y362" s="144"/>
      <c r="Z362" s="144"/>
    </row>
    <row r="363" spans="1:26" ht="18.75">
      <c r="A363" s="144"/>
      <c r="B363" s="141"/>
      <c r="C363" s="142"/>
      <c r="D363" s="143"/>
      <c r="E363" s="143"/>
      <c r="F363" s="144"/>
      <c r="G363" s="153"/>
      <c r="H363" s="153"/>
      <c r="I363" s="144"/>
      <c r="J363" s="144"/>
      <c r="K363" s="144"/>
      <c r="L363" s="144"/>
      <c r="M363" s="144"/>
      <c r="N363" s="144"/>
      <c r="O363" s="144"/>
      <c r="P363" s="144"/>
      <c r="Q363" s="144"/>
      <c r="R363" s="144"/>
      <c r="S363" s="144"/>
      <c r="T363" s="144"/>
      <c r="U363" s="144"/>
      <c r="V363" s="144"/>
      <c r="W363" s="144"/>
      <c r="X363" s="144"/>
      <c r="Y363" s="144"/>
      <c r="Z363" s="144"/>
    </row>
    <row r="364" spans="1:26" ht="18.75">
      <c r="A364" s="144"/>
      <c r="B364" s="141"/>
      <c r="C364" s="142"/>
      <c r="D364" s="143"/>
      <c r="E364" s="143"/>
      <c r="F364" s="144"/>
      <c r="G364" s="151"/>
      <c r="H364" s="151"/>
      <c r="I364" s="144"/>
      <c r="J364" s="144"/>
      <c r="K364" s="144"/>
      <c r="L364" s="144"/>
      <c r="M364" s="144"/>
      <c r="N364" s="144"/>
      <c r="O364" s="144"/>
      <c r="P364" s="144"/>
      <c r="Q364" s="144"/>
      <c r="R364" s="144"/>
      <c r="S364" s="144"/>
      <c r="T364" s="144"/>
      <c r="U364" s="144"/>
      <c r="V364" s="144"/>
      <c r="W364" s="144"/>
      <c r="X364" s="144"/>
      <c r="Y364" s="144"/>
      <c r="Z364" s="144"/>
    </row>
    <row r="365" spans="1:26" ht="18.75">
      <c r="A365" s="144"/>
      <c r="B365" s="141"/>
      <c r="C365" s="142"/>
      <c r="D365" s="143"/>
      <c r="E365" s="143"/>
      <c r="F365" s="144"/>
      <c r="G365" s="153"/>
      <c r="H365" s="153"/>
      <c r="I365" s="144"/>
      <c r="J365" s="144"/>
      <c r="K365" s="144"/>
      <c r="L365" s="144"/>
      <c r="M365" s="144"/>
      <c r="N365" s="144"/>
      <c r="O365" s="144"/>
      <c r="P365" s="144"/>
      <c r="Q365" s="144"/>
      <c r="R365" s="144"/>
      <c r="S365" s="144"/>
      <c r="T365" s="144"/>
      <c r="U365" s="144"/>
      <c r="V365" s="144"/>
      <c r="W365" s="144"/>
      <c r="X365" s="144"/>
      <c r="Y365" s="144"/>
      <c r="Z365" s="144"/>
    </row>
    <row r="366" spans="1:26" ht="18.75">
      <c r="A366" s="144"/>
      <c r="B366" s="141"/>
      <c r="C366" s="142"/>
      <c r="D366" s="143"/>
      <c r="E366" s="143"/>
      <c r="F366" s="144"/>
      <c r="G366" s="151"/>
      <c r="H366" s="151"/>
      <c r="I366" s="144"/>
      <c r="J366" s="144"/>
      <c r="K366" s="144"/>
      <c r="L366" s="144"/>
      <c r="M366" s="144"/>
      <c r="N366" s="144"/>
      <c r="O366" s="144"/>
      <c r="P366" s="144"/>
      <c r="Q366" s="144"/>
      <c r="R366" s="144"/>
      <c r="S366" s="144"/>
      <c r="T366" s="144"/>
      <c r="U366" s="144"/>
      <c r="V366" s="144"/>
      <c r="W366" s="144"/>
      <c r="X366" s="144"/>
      <c r="Y366" s="144"/>
      <c r="Z366" s="144"/>
    </row>
    <row r="367" spans="1:26" ht="18.75">
      <c r="A367" s="144"/>
      <c r="B367" s="141"/>
      <c r="C367" s="142"/>
      <c r="D367" s="143"/>
      <c r="E367" s="143"/>
      <c r="F367" s="144"/>
      <c r="G367" s="153"/>
      <c r="H367" s="153"/>
      <c r="I367" s="144"/>
      <c r="J367" s="144"/>
      <c r="K367" s="144"/>
      <c r="L367" s="144"/>
      <c r="M367" s="144"/>
      <c r="N367" s="144"/>
      <c r="O367" s="144"/>
      <c r="P367" s="144"/>
      <c r="Q367" s="144"/>
      <c r="R367" s="144"/>
      <c r="S367" s="144"/>
      <c r="T367" s="144"/>
      <c r="U367" s="144"/>
      <c r="V367" s="144"/>
      <c r="W367" s="144"/>
      <c r="X367" s="144"/>
      <c r="Y367" s="144"/>
      <c r="Z367" s="144"/>
    </row>
    <row r="368" spans="1:26" ht="18.75">
      <c r="A368" s="144"/>
      <c r="B368" s="141"/>
      <c r="C368" s="142"/>
      <c r="D368" s="143"/>
      <c r="E368" s="143"/>
      <c r="F368" s="144"/>
      <c r="G368" s="151"/>
      <c r="H368" s="151"/>
      <c r="I368" s="144"/>
      <c r="J368" s="144"/>
      <c r="K368" s="144"/>
      <c r="L368" s="144"/>
      <c r="M368" s="144"/>
      <c r="N368" s="144"/>
      <c r="O368" s="144"/>
      <c r="P368" s="144"/>
      <c r="Q368" s="144"/>
      <c r="R368" s="144"/>
      <c r="S368" s="144"/>
      <c r="T368" s="144"/>
      <c r="U368" s="144"/>
      <c r="V368" s="144"/>
      <c r="W368" s="144"/>
      <c r="X368" s="144"/>
      <c r="Y368" s="144"/>
      <c r="Z368" s="144"/>
    </row>
    <row r="369" spans="1:26" ht="18.75">
      <c r="A369" s="144"/>
      <c r="B369" s="141"/>
      <c r="C369" s="142"/>
      <c r="D369" s="143"/>
      <c r="E369" s="143"/>
      <c r="F369" s="144"/>
      <c r="G369" s="153"/>
      <c r="H369" s="153"/>
      <c r="I369" s="144"/>
      <c r="J369" s="144"/>
      <c r="K369" s="144"/>
      <c r="L369" s="144"/>
      <c r="M369" s="144"/>
      <c r="N369" s="144"/>
      <c r="O369" s="144"/>
      <c r="P369" s="144"/>
      <c r="Q369" s="144"/>
      <c r="R369" s="144"/>
      <c r="S369" s="144"/>
      <c r="T369" s="144"/>
      <c r="U369" s="144"/>
      <c r="V369" s="144"/>
      <c r="W369" s="144"/>
      <c r="X369" s="144"/>
      <c r="Y369" s="144"/>
      <c r="Z369" s="144"/>
    </row>
    <row r="370" spans="1:26" ht="18.75">
      <c r="A370" s="144"/>
      <c r="B370" s="141"/>
      <c r="C370" s="142"/>
      <c r="D370" s="143"/>
      <c r="E370" s="143"/>
      <c r="F370" s="144"/>
      <c r="G370" s="151"/>
      <c r="H370" s="151"/>
      <c r="I370" s="144"/>
      <c r="J370" s="144"/>
      <c r="K370" s="144"/>
      <c r="L370" s="144"/>
      <c r="M370" s="144"/>
      <c r="N370" s="144"/>
      <c r="O370" s="144"/>
      <c r="P370" s="144"/>
      <c r="Q370" s="144"/>
      <c r="R370" s="144"/>
      <c r="S370" s="144"/>
      <c r="T370" s="144"/>
      <c r="U370" s="144"/>
      <c r="V370" s="144"/>
      <c r="W370" s="144"/>
      <c r="X370" s="144"/>
      <c r="Y370" s="144"/>
      <c r="Z370" s="144"/>
    </row>
    <row r="371" spans="1:26" ht="18.75">
      <c r="A371" s="144"/>
      <c r="B371" s="141"/>
      <c r="C371" s="142"/>
      <c r="D371" s="143"/>
      <c r="E371" s="143"/>
      <c r="F371" s="144"/>
      <c r="G371" s="153"/>
      <c r="H371" s="153"/>
      <c r="I371" s="144"/>
      <c r="J371" s="144"/>
      <c r="K371" s="144"/>
      <c r="L371" s="144"/>
      <c r="M371" s="144"/>
      <c r="N371" s="144"/>
      <c r="O371" s="144"/>
      <c r="P371" s="144"/>
      <c r="Q371" s="144"/>
      <c r="R371" s="144"/>
      <c r="S371" s="144"/>
      <c r="T371" s="144"/>
      <c r="U371" s="144"/>
      <c r="V371" s="144"/>
      <c r="W371" s="144"/>
      <c r="X371" s="144"/>
      <c r="Y371" s="144"/>
      <c r="Z371" s="144"/>
    </row>
    <row r="372" spans="1:26" ht="18.75">
      <c r="A372" s="144"/>
      <c r="B372" s="141"/>
      <c r="C372" s="142"/>
      <c r="D372" s="143"/>
      <c r="E372" s="143"/>
      <c r="F372" s="144"/>
      <c r="G372" s="151"/>
      <c r="H372" s="151"/>
      <c r="I372" s="144"/>
      <c r="J372" s="144"/>
      <c r="K372" s="144"/>
      <c r="L372" s="144"/>
      <c r="M372" s="144"/>
      <c r="N372" s="144"/>
      <c r="O372" s="144"/>
      <c r="P372" s="144"/>
      <c r="Q372" s="144"/>
      <c r="R372" s="144"/>
      <c r="S372" s="144"/>
      <c r="T372" s="144"/>
      <c r="U372" s="144"/>
      <c r="V372" s="144"/>
      <c r="W372" s="144"/>
      <c r="X372" s="144"/>
      <c r="Y372" s="144"/>
      <c r="Z372" s="144"/>
    </row>
    <row r="373" spans="1:26" ht="18.75">
      <c r="A373" s="144"/>
      <c r="B373" s="141"/>
      <c r="C373" s="142"/>
      <c r="D373" s="143"/>
      <c r="E373" s="143"/>
      <c r="F373" s="144"/>
      <c r="G373" s="153"/>
      <c r="H373" s="153"/>
      <c r="I373" s="144"/>
      <c r="J373" s="144"/>
      <c r="K373" s="144"/>
      <c r="L373" s="144"/>
      <c r="M373" s="144"/>
      <c r="N373" s="144"/>
      <c r="O373" s="144"/>
      <c r="P373" s="144"/>
      <c r="Q373" s="144"/>
      <c r="R373" s="144"/>
      <c r="S373" s="144"/>
      <c r="T373" s="144"/>
      <c r="U373" s="144"/>
      <c r="V373" s="144"/>
      <c r="W373" s="144"/>
      <c r="X373" s="144"/>
      <c r="Y373" s="144"/>
      <c r="Z373" s="144"/>
    </row>
    <row r="374" spans="1:26" ht="18.75">
      <c r="A374" s="144"/>
      <c r="B374" s="141"/>
      <c r="C374" s="142"/>
      <c r="D374" s="143"/>
      <c r="E374" s="143"/>
      <c r="F374" s="144"/>
      <c r="G374" s="151"/>
      <c r="H374" s="151"/>
      <c r="I374" s="144"/>
      <c r="J374" s="144"/>
      <c r="K374" s="144"/>
      <c r="L374" s="144"/>
      <c r="M374" s="144"/>
      <c r="N374" s="144"/>
      <c r="O374" s="144"/>
      <c r="P374" s="144"/>
      <c r="Q374" s="144"/>
      <c r="R374" s="144"/>
      <c r="S374" s="144"/>
      <c r="T374" s="144"/>
      <c r="U374" s="144"/>
      <c r="V374" s="144"/>
      <c r="W374" s="144"/>
      <c r="X374" s="144"/>
      <c r="Y374" s="144"/>
      <c r="Z374" s="144"/>
    </row>
    <row r="375" spans="1:26" ht="18.75">
      <c r="A375" s="144"/>
      <c r="B375" s="141"/>
      <c r="C375" s="142"/>
      <c r="D375" s="143"/>
      <c r="E375" s="143"/>
      <c r="F375" s="144"/>
      <c r="G375" s="153"/>
      <c r="H375" s="153"/>
      <c r="I375" s="144"/>
      <c r="J375" s="144"/>
      <c r="K375" s="144"/>
      <c r="L375" s="144"/>
      <c r="M375" s="144"/>
      <c r="N375" s="144"/>
      <c r="O375" s="144"/>
      <c r="P375" s="144"/>
      <c r="Q375" s="144"/>
      <c r="R375" s="144"/>
      <c r="S375" s="144"/>
      <c r="T375" s="144"/>
      <c r="U375" s="144"/>
      <c r="V375" s="144"/>
      <c r="W375" s="144"/>
      <c r="X375" s="144"/>
      <c r="Y375" s="144"/>
      <c r="Z375" s="144"/>
    </row>
    <row r="376" spans="1:26" ht="18.75">
      <c r="A376" s="144"/>
      <c r="B376" s="141"/>
      <c r="C376" s="142"/>
      <c r="D376" s="143"/>
      <c r="E376" s="143"/>
      <c r="F376" s="144"/>
      <c r="G376" s="151"/>
      <c r="H376" s="151"/>
      <c r="I376" s="144"/>
      <c r="J376" s="144"/>
      <c r="K376" s="144"/>
      <c r="L376" s="144"/>
      <c r="M376" s="144"/>
      <c r="N376" s="144"/>
      <c r="O376" s="144"/>
      <c r="P376" s="144"/>
      <c r="Q376" s="144"/>
      <c r="R376" s="144"/>
      <c r="S376" s="144"/>
      <c r="T376" s="144"/>
      <c r="U376" s="144"/>
      <c r="V376" s="144"/>
      <c r="W376" s="144"/>
      <c r="X376" s="144"/>
      <c r="Y376" s="144"/>
      <c r="Z376" s="144"/>
    </row>
    <row r="377" spans="1:26" ht="18.75">
      <c r="A377" s="144"/>
      <c r="B377" s="141"/>
      <c r="C377" s="142"/>
      <c r="D377" s="143"/>
      <c r="E377" s="143"/>
      <c r="F377" s="144"/>
      <c r="G377" s="153"/>
      <c r="H377" s="153"/>
      <c r="I377" s="144"/>
      <c r="J377" s="144"/>
      <c r="K377" s="144"/>
      <c r="L377" s="144"/>
      <c r="M377" s="144"/>
      <c r="N377" s="144"/>
      <c r="O377" s="144"/>
      <c r="P377" s="144"/>
      <c r="Q377" s="144"/>
      <c r="R377" s="144"/>
      <c r="S377" s="144"/>
      <c r="T377" s="144"/>
      <c r="U377" s="144"/>
      <c r="V377" s="144"/>
      <c r="W377" s="144"/>
      <c r="X377" s="144"/>
      <c r="Y377" s="144"/>
      <c r="Z377" s="144"/>
    </row>
    <row r="378" spans="1:26" ht="18.75">
      <c r="A378" s="144"/>
      <c r="B378" s="141"/>
      <c r="C378" s="142"/>
      <c r="D378" s="143"/>
      <c r="E378" s="143"/>
      <c r="F378" s="144"/>
      <c r="G378" s="151"/>
      <c r="H378" s="151"/>
      <c r="I378" s="144"/>
      <c r="J378" s="144"/>
      <c r="K378" s="144"/>
      <c r="L378" s="144"/>
      <c r="M378" s="144"/>
      <c r="N378" s="144"/>
      <c r="O378" s="144"/>
      <c r="P378" s="144"/>
      <c r="Q378" s="144"/>
      <c r="R378" s="144"/>
      <c r="S378" s="144"/>
      <c r="T378" s="144"/>
      <c r="U378" s="144"/>
      <c r="V378" s="144"/>
      <c r="W378" s="144"/>
      <c r="X378" s="144"/>
      <c r="Y378" s="144"/>
      <c r="Z378" s="144"/>
    </row>
    <row r="379" spans="1:26" ht="18.75">
      <c r="A379" s="144"/>
      <c r="B379" s="141"/>
      <c r="C379" s="142"/>
      <c r="D379" s="143"/>
      <c r="E379" s="143"/>
      <c r="F379" s="144"/>
      <c r="G379" s="153"/>
      <c r="H379" s="153"/>
      <c r="I379" s="144"/>
      <c r="J379" s="144"/>
      <c r="K379" s="144"/>
      <c r="L379" s="144"/>
      <c r="M379" s="144"/>
      <c r="N379" s="144"/>
      <c r="O379" s="144"/>
      <c r="P379" s="144"/>
      <c r="Q379" s="144"/>
      <c r="R379" s="144"/>
      <c r="S379" s="144"/>
      <c r="T379" s="144"/>
      <c r="U379" s="144"/>
      <c r="V379" s="144"/>
      <c r="W379" s="144"/>
      <c r="X379" s="144"/>
      <c r="Y379" s="144"/>
      <c r="Z379" s="144"/>
    </row>
    <row r="380" spans="1:26" ht="18.75">
      <c r="A380" s="144"/>
      <c r="B380" s="141"/>
      <c r="C380" s="142"/>
      <c r="D380" s="143"/>
      <c r="E380" s="143"/>
      <c r="F380" s="144"/>
      <c r="G380" s="151"/>
      <c r="H380" s="151"/>
      <c r="I380" s="144"/>
      <c r="J380" s="144"/>
      <c r="K380" s="144"/>
      <c r="L380" s="144"/>
      <c r="M380" s="144"/>
      <c r="N380" s="144"/>
      <c r="O380" s="144"/>
      <c r="P380" s="144"/>
      <c r="Q380" s="144"/>
      <c r="R380" s="144"/>
      <c r="S380" s="144"/>
      <c r="T380" s="144"/>
      <c r="U380" s="144"/>
      <c r="V380" s="144"/>
      <c r="W380" s="144"/>
      <c r="X380" s="144"/>
      <c r="Y380" s="144"/>
      <c r="Z380" s="144"/>
    </row>
    <row r="381" spans="1:26" ht="18.75">
      <c r="A381" s="144"/>
      <c r="B381" s="141"/>
      <c r="C381" s="142"/>
      <c r="D381" s="143"/>
      <c r="E381" s="143"/>
      <c r="F381" s="144"/>
      <c r="G381" s="153"/>
      <c r="H381" s="153"/>
      <c r="I381" s="144"/>
      <c r="J381" s="144"/>
      <c r="K381" s="144"/>
      <c r="L381" s="144"/>
      <c r="M381" s="144"/>
      <c r="N381" s="144"/>
      <c r="O381" s="144"/>
      <c r="P381" s="144"/>
      <c r="Q381" s="144"/>
      <c r="R381" s="144"/>
      <c r="S381" s="144"/>
      <c r="T381" s="144"/>
      <c r="U381" s="144"/>
      <c r="V381" s="144"/>
      <c r="W381" s="144"/>
      <c r="X381" s="144"/>
      <c r="Y381" s="144"/>
      <c r="Z381" s="144"/>
    </row>
    <row r="382" spans="1:26" ht="18.75">
      <c r="A382" s="144"/>
      <c r="B382" s="141"/>
      <c r="C382" s="142"/>
      <c r="D382" s="143"/>
      <c r="E382" s="143"/>
      <c r="F382" s="144"/>
      <c r="G382" s="151"/>
      <c r="H382" s="151"/>
      <c r="I382" s="144"/>
      <c r="J382" s="144"/>
      <c r="K382" s="144"/>
      <c r="L382" s="144"/>
      <c r="M382" s="144"/>
      <c r="N382" s="144"/>
      <c r="O382" s="144"/>
      <c r="P382" s="144"/>
      <c r="Q382" s="144"/>
      <c r="R382" s="144"/>
      <c r="S382" s="144"/>
      <c r="T382" s="144"/>
      <c r="U382" s="144"/>
      <c r="V382" s="144"/>
      <c r="W382" s="144"/>
      <c r="X382" s="144"/>
      <c r="Y382" s="144"/>
      <c r="Z382" s="144"/>
    </row>
    <row r="383" spans="1:26" ht="18.75">
      <c r="A383" s="144"/>
      <c r="B383" s="141"/>
      <c r="C383" s="142"/>
      <c r="D383" s="143"/>
      <c r="E383" s="143"/>
      <c r="F383" s="144"/>
      <c r="G383" s="153"/>
      <c r="H383" s="153"/>
      <c r="I383" s="144"/>
      <c r="J383" s="144"/>
      <c r="K383" s="144"/>
      <c r="L383" s="144"/>
      <c r="M383" s="144"/>
      <c r="N383" s="144"/>
      <c r="O383" s="144"/>
      <c r="P383" s="144"/>
      <c r="Q383" s="144"/>
      <c r="R383" s="144"/>
      <c r="S383" s="144"/>
      <c r="T383" s="144"/>
      <c r="U383" s="144"/>
      <c r="V383" s="144"/>
      <c r="W383" s="144"/>
      <c r="X383" s="144"/>
      <c r="Y383" s="144"/>
      <c r="Z383" s="144"/>
    </row>
    <row r="384" spans="1:26" ht="18.75">
      <c r="A384" s="144"/>
      <c r="B384" s="141"/>
      <c r="C384" s="142"/>
      <c r="D384" s="143"/>
      <c r="E384" s="143"/>
      <c r="F384" s="144"/>
      <c r="G384" s="151"/>
      <c r="H384" s="151"/>
      <c r="I384" s="144"/>
      <c r="J384" s="144"/>
      <c r="K384" s="144"/>
      <c r="L384" s="144"/>
      <c r="M384" s="144"/>
      <c r="N384" s="144"/>
      <c r="O384" s="144"/>
      <c r="P384" s="144"/>
      <c r="Q384" s="144"/>
      <c r="R384" s="144"/>
      <c r="S384" s="144"/>
      <c r="T384" s="144"/>
      <c r="U384" s="144"/>
      <c r="V384" s="144"/>
      <c r="W384" s="144"/>
      <c r="X384" s="144"/>
      <c r="Y384" s="144"/>
      <c r="Z384" s="144"/>
    </row>
    <row r="385" spans="1:26" ht="18.75">
      <c r="A385" s="144"/>
      <c r="B385" s="141"/>
      <c r="C385" s="142"/>
      <c r="D385" s="143"/>
      <c r="E385" s="143"/>
      <c r="F385" s="144"/>
      <c r="G385" s="153"/>
      <c r="H385" s="153"/>
      <c r="I385" s="144"/>
      <c r="J385" s="144"/>
      <c r="K385" s="144"/>
      <c r="L385" s="144"/>
      <c r="M385" s="144"/>
      <c r="N385" s="144"/>
      <c r="O385" s="144"/>
      <c r="P385" s="144"/>
      <c r="Q385" s="144"/>
      <c r="R385" s="144"/>
      <c r="S385" s="144"/>
      <c r="T385" s="144"/>
      <c r="U385" s="144"/>
      <c r="V385" s="144"/>
      <c r="W385" s="144"/>
      <c r="X385" s="144"/>
      <c r="Y385" s="144"/>
      <c r="Z385" s="144"/>
    </row>
    <row r="386" spans="1:26" ht="18.75">
      <c r="A386" s="144"/>
      <c r="B386" s="141"/>
      <c r="C386" s="142"/>
      <c r="D386" s="143"/>
      <c r="E386" s="143"/>
      <c r="F386" s="144"/>
      <c r="G386" s="151"/>
      <c r="H386" s="151"/>
      <c r="I386" s="144"/>
      <c r="J386" s="144"/>
      <c r="K386" s="144"/>
      <c r="L386" s="144"/>
      <c r="M386" s="144"/>
      <c r="N386" s="144"/>
      <c r="O386" s="144"/>
      <c r="P386" s="144"/>
      <c r="Q386" s="144"/>
      <c r="R386" s="144"/>
      <c r="S386" s="144"/>
      <c r="T386" s="144"/>
      <c r="U386" s="144"/>
      <c r="V386" s="144"/>
      <c r="W386" s="144"/>
      <c r="X386" s="144"/>
      <c r="Y386" s="144"/>
      <c r="Z386" s="144"/>
    </row>
    <row r="387" spans="1:26" ht="18.75">
      <c r="A387" s="144"/>
      <c r="B387" s="141"/>
      <c r="C387" s="142"/>
      <c r="D387" s="143"/>
      <c r="E387" s="143"/>
      <c r="F387" s="144"/>
      <c r="G387" s="153"/>
      <c r="H387" s="153"/>
      <c r="I387" s="144"/>
      <c r="J387" s="144"/>
      <c r="K387" s="144"/>
      <c r="L387" s="144"/>
      <c r="M387" s="144"/>
      <c r="N387" s="144"/>
      <c r="O387" s="144"/>
      <c r="P387" s="144"/>
      <c r="Q387" s="144"/>
      <c r="R387" s="144"/>
      <c r="S387" s="144"/>
      <c r="T387" s="144"/>
      <c r="U387" s="144"/>
      <c r="V387" s="144"/>
      <c r="W387" s="144"/>
      <c r="X387" s="144"/>
      <c r="Y387" s="144"/>
      <c r="Z387" s="144"/>
    </row>
    <row r="388" spans="1:26" ht="18.75">
      <c r="A388" s="144"/>
      <c r="B388" s="141"/>
      <c r="C388" s="142"/>
      <c r="D388" s="143"/>
      <c r="E388" s="143"/>
      <c r="F388" s="144"/>
      <c r="G388" s="151"/>
      <c r="H388" s="151"/>
      <c r="I388" s="144"/>
      <c r="J388" s="144"/>
      <c r="K388" s="144"/>
      <c r="L388" s="144"/>
      <c r="M388" s="144"/>
      <c r="N388" s="144"/>
      <c r="O388" s="144"/>
      <c r="P388" s="144"/>
      <c r="Q388" s="144"/>
      <c r="R388" s="144"/>
      <c r="S388" s="144"/>
      <c r="T388" s="144"/>
      <c r="U388" s="144"/>
      <c r="V388" s="144"/>
      <c r="W388" s="144"/>
      <c r="X388" s="144"/>
      <c r="Y388" s="144"/>
      <c r="Z388" s="144"/>
    </row>
    <row r="389" spans="1:26" ht="18.75">
      <c r="A389" s="144"/>
      <c r="B389" s="141"/>
      <c r="C389" s="142"/>
      <c r="D389" s="143"/>
      <c r="E389" s="143"/>
      <c r="F389" s="144"/>
      <c r="G389" s="153"/>
      <c r="H389" s="153"/>
      <c r="I389" s="144"/>
      <c r="J389" s="144"/>
      <c r="K389" s="144"/>
      <c r="L389" s="144"/>
      <c r="M389" s="144"/>
      <c r="N389" s="144"/>
      <c r="O389" s="144"/>
      <c r="P389" s="144"/>
      <c r="Q389" s="144"/>
      <c r="R389" s="144"/>
      <c r="S389" s="144"/>
      <c r="T389" s="144"/>
      <c r="U389" s="144"/>
      <c r="V389" s="144"/>
      <c r="W389" s="144"/>
      <c r="X389" s="144"/>
      <c r="Y389" s="144"/>
      <c r="Z389" s="144"/>
    </row>
    <row r="390" spans="1:26" ht="18.75">
      <c r="A390" s="144"/>
      <c r="B390" s="141"/>
      <c r="C390" s="142"/>
      <c r="D390" s="143"/>
      <c r="E390" s="143"/>
      <c r="F390" s="144"/>
      <c r="G390" s="151"/>
      <c r="H390" s="151"/>
      <c r="I390" s="144"/>
      <c r="J390" s="144"/>
      <c r="K390" s="144"/>
      <c r="L390" s="144"/>
      <c r="M390" s="144"/>
      <c r="N390" s="144"/>
      <c r="O390" s="144"/>
      <c r="P390" s="144"/>
      <c r="Q390" s="144"/>
      <c r="R390" s="144"/>
      <c r="S390" s="144"/>
      <c r="T390" s="144"/>
      <c r="U390" s="144"/>
      <c r="V390" s="144"/>
      <c r="W390" s="144"/>
      <c r="X390" s="144"/>
      <c r="Y390" s="144"/>
      <c r="Z390" s="144"/>
    </row>
    <row r="391" spans="1:26" ht="18.75">
      <c r="A391" s="144"/>
      <c r="B391" s="141"/>
      <c r="C391" s="142"/>
      <c r="D391" s="143"/>
      <c r="E391" s="143"/>
      <c r="F391" s="144"/>
      <c r="G391" s="153"/>
      <c r="H391" s="153"/>
      <c r="I391" s="144"/>
      <c r="J391" s="144"/>
      <c r="K391" s="144"/>
      <c r="L391" s="144"/>
      <c r="M391" s="144"/>
      <c r="N391" s="144"/>
      <c r="O391" s="144"/>
      <c r="P391" s="144"/>
      <c r="Q391" s="144"/>
      <c r="R391" s="144"/>
      <c r="S391" s="144"/>
      <c r="T391" s="144"/>
      <c r="U391" s="144"/>
      <c r="V391" s="144"/>
      <c r="W391" s="144"/>
      <c r="X391" s="144"/>
      <c r="Y391" s="144"/>
      <c r="Z391" s="144"/>
    </row>
    <row r="392" spans="1:26" ht="18.75">
      <c r="A392" s="144"/>
      <c r="B392" s="141"/>
      <c r="C392" s="142"/>
      <c r="D392" s="143"/>
      <c r="E392" s="143"/>
      <c r="F392" s="144"/>
      <c r="G392" s="151"/>
      <c r="H392" s="151"/>
      <c r="I392" s="144"/>
      <c r="J392" s="144"/>
      <c r="K392" s="144"/>
      <c r="L392" s="144"/>
      <c r="M392" s="144"/>
      <c r="N392" s="144"/>
      <c r="O392" s="144"/>
      <c r="P392" s="144"/>
      <c r="Q392" s="144"/>
      <c r="R392" s="144"/>
      <c r="S392" s="144"/>
      <c r="T392" s="144"/>
      <c r="U392" s="144"/>
      <c r="V392" s="144"/>
      <c r="W392" s="144"/>
      <c r="X392" s="144"/>
      <c r="Y392" s="144"/>
      <c r="Z392" s="144"/>
    </row>
    <row r="393" spans="1:26" ht="18.75">
      <c r="A393" s="144"/>
      <c r="B393" s="141"/>
      <c r="C393" s="142"/>
      <c r="D393" s="143"/>
      <c r="E393" s="143"/>
      <c r="F393" s="144"/>
      <c r="G393" s="153"/>
      <c r="H393" s="153"/>
      <c r="I393" s="144"/>
      <c r="J393" s="144"/>
      <c r="K393" s="144"/>
      <c r="L393" s="144"/>
      <c r="M393" s="144"/>
      <c r="N393" s="144"/>
      <c r="O393" s="144"/>
      <c r="P393" s="144"/>
      <c r="Q393" s="144"/>
      <c r="R393" s="144"/>
      <c r="S393" s="144"/>
      <c r="T393" s="144"/>
      <c r="U393" s="144"/>
      <c r="V393" s="144"/>
      <c r="W393" s="144"/>
      <c r="X393" s="144"/>
      <c r="Y393" s="144"/>
      <c r="Z393" s="144"/>
    </row>
    <row r="394" spans="1:26" ht="18.75">
      <c r="A394" s="144"/>
      <c r="B394" s="141"/>
      <c r="C394" s="142"/>
      <c r="D394" s="143"/>
      <c r="E394" s="143"/>
      <c r="F394" s="144"/>
      <c r="G394" s="151"/>
      <c r="H394" s="151"/>
      <c r="I394" s="144"/>
      <c r="J394" s="144"/>
      <c r="K394" s="144"/>
      <c r="L394" s="144"/>
      <c r="M394" s="144"/>
      <c r="N394" s="144"/>
      <c r="O394" s="144"/>
      <c r="P394" s="144"/>
      <c r="Q394" s="144"/>
      <c r="R394" s="144"/>
      <c r="S394" s="144"/>
      <c r="T394" s="144"/>
      <c r="U394" s="144"/>
      <c r="V394" s="144"/>
      <c r="W394" s="144"/>
      <c r="X394" s="144"/>
      <c r="Y394" s="144"/>
      <c r="Z394" s="144"/>
    </row>
    <row r="395" spans="1:26" ht="18.75">
      <c r="A395" s="144"/>
      <c r="B395" s="141"/>
      <c r="C395" s="142"/>
      <c r="D395" s="143"/>
      <c r="E395" s="143"/>
      <c r="F395" s="144"/>
      <c r="G395" s="153"/>
      <c r="H395" s="153"/>
      <c r="I395" s="144"/>
      <c r="J395" s="144"/>
      <c r="K395" s="144"/>
      <c r="L395" s="144"/>
      <c r="M395" s="144"/>
      <c r="N395" s="144"/>
      <c r="O395" s="144"/>
      <c r="P395" s="144"/>
      <c r="Q395" s="144"/>
      <c r="R395" s="144"/>
      <c r="S395" s="144"/>
      <c r="T395" s="144"/>
      <c r="U395" s="144"/>
      <c r="V395" s="144"/>
      <c r="W395" s="144"/>
      <c r="X395" s="144"/>
      <c r="Y395" s="144"/>
      <c r="Z395" s="144"/>
    </row>
    <row r="396" spans="1:26" ht="18.75">
      <c r="A396" s="144"/>
      <c r="B396" s="141"/>
      <c r="C396" s="142"/>
      <c r="D396" s="143"/>
      <c r="E396" s="143"/>
      <c r="F396" s="144"/>
      <c r="G396" s="151"/>
      <c r="H396" s="151"/>
      <c r="I396" s="144"/>
      <c r="J396" s="144"/>
      <c r="K396" s="144"/>
      <c r="L396" s="144"/>
      <c r="M396" s="144"/>
      <c r="N396" s="144"/>
      <c r="O396" s="144"/>
      <c r="P396" s="144"/>
      <c r="Q396" s="144"/>
      <c r="R396" s="144"/>
      <c r="S396" s="144"/>
      <c r="T396" s="144"/>
      <c r="U396" s="144"/>
      <c r="V396" s="144"/>
      <c r="W396" s="144"/>
      <c r="X396" s="144"/>
      <c r="Y396" s="144"/>
      <c r="Z396" s="144"/>
    </row>
    <row r="397" spans="1:26" ht="18.75">
      <c r="A397" s="144"/>
      <c r="B397" s="141"/>
      <c r="C397" s="142"/>
      <c r="D397" s="143"/>
      <c r="E397" s="143"/>
      <c r="F397" s="144"/>
      <c r="G397" s="153"/>
      <c r="H397" s="153"/>
      <c r="I397" s="144"/>
      <c r="J397" s="144"/>
      <c r="K397" s="144"/>
      <c r="L397" s="144"/>
      <c r="M397" s="144"/>
      <c r="N397" s="144"/>
      <c r="O397" s="144"/>
      <c r="P397" s="144"/>
      <c r="Q397" s="144"/>
      <c r="R397" s="144"/>
      <c r="S397" s="144"/>
      <c r="T397" s="144"/>
      <c r="U397" s="144"/>
      <c r="V397" s="144"/>
      <c r="W397" s="144"/>
      <c r="X397" s="144"/>
      <c r="Y397" s="144"/>
      <c r="Z397" s="144"/>
    </row>
    <row r="398" spans="1:26" ht="18.75">
      <c r="A398" s="144"/>
      <c r="B398" s="141"/>
      <c r="C398" s="142"/>
      <c r="D398" s="143"/>
      <c r="E398" s="143"/>
      <c r="F398" s="144"/>
      <c r="G398" s="151"/>
      <c r="H398" s="151"/>
      <c r="I398" s="144"/>
      <c r="J398" s="144"/>
      <c r="K398" s="144"/>
      <c r="L398" s="144"/>
      <c r="M398" s="144"/>
      <c r="N398" s="144"/>
      <c r="O398" s="144"/>
      <c r="P398" s="144"/>
      <c r="Q398" s="144"/>
      <c r="R398" s="144"/>
      <c r="S398" s="144"/>
      <c r="T398" s="144"/>
      <c r="U398" s="144"/>
      <c r="V398" s="144"/>
      <c r="W398" s="144"/>
      <c r="X398" s="144"/>
      <c r="Y398" s="144"/>
      <c r="Z398" s="144"/>
    </row>
    <row r="399" spans="1:26" ht="18.75">
      <c r="A399" s="144"/>
      <c r="B399" s="141"/>
      <c r="C399" s="142"/>
      <c r="D399" s="143"/>
      <c r="E399" s="143"/>
      <c r="F399" s="144"/>
      <c r="G399" s="153"/>
      <c r="H399" s="153"/>
      <c r="I399" s="144"/>
      <c r="J399" s="144"/>
      <c r="K399" s="144"/>
      <c r="L399" s="144"/>
      <c r="M399" s="144"/>
      <c r="N399" s="144"/>
      <c r="O399" s="144"/>
      <c r="P399" s="144"/>
      <c r="Q399" s="144"/>
      <c r="R399" s="144"/>
      <c r="S399" s="144"/>
      <c r="T399" s="144"/>
      <c r="U399" s="144"/>
      <c r="V399" s="144"/>
      <c r="W399" s="144"/>
      <c r="X399" s="144"/>
      <c r="Y399" s="144"/>
      <c r="Z399" s="144"/>
    </row>
    <row r="400" spans="1:26" ht="18.75">
      <c r="A400" s="144"/>
      <c r="B400" s="141"/>
      <c r="C400" s="142"/>
      <c r="D400" s="143"/>
      <c r="E400" s="143"/>
      <c r="F400" s="144"/>
      <c r="G400" s="151"/>
      <c r="H400" s="151"/>
      <c r="I400" s="144"/>
      <c r="J400" s="144"/>
      <c r="K400" s="144"/>
      <c r="L400" s="144"/>
      <c r="M400" s="144"/>
      <c r="N400" s="144"/>
      <c r="O400" s="144"/>
      <c r="P400" s="144"/>
      <c r="Q400" s="144"/>
      <c r="R400" s="144"/>
      <c r="S400" s="144"/>
      <c r="T400" s="144"/>
      <c r="U400" s="144"/>
      <c r="V400" s="144"/>
      <c r="W400" s="144"/>
      <c r="X400" s="144"/>
      <c r="Y400" s="144"/>
      <c r="Z400" s="144"/>
    </row>
    <row r="401" spans="1:26" ht="18.75">
      <c r="A401" s="144"/>
      <c r="B401" s="141"/>
      <c r="C401" s="142"/>
      <c r="D401" s="143"/>
      <c r="E401" s="143"/>
      <c r="F401" s="144"/>
      <c r="G401" s="153"/>
      <c r="H401" s="153"/>
      <c r="I401" s="144"/>
      <c r="J401" s="144"/>
      <c r="K401" s="144"/>
      <c r="L401" s="144"/>
      <c r="M401" s="144"/>
      <c r="N401" s="144"/>
      <c r="O401" s="144"/>
      <c r="P401" s="144"/>
      <c r="Q401" s="144"/>
      <c r="R401" s="144"/>
      <c r="S401" s="144"/>
      <c r="T401" s="144"/>
      <c r="U401" s="144"/>
      <c r="V401" s="144"/>
      <c r="W401" s="144"/>
      <c r="X401" s="144"/>
      <c r="Y401" s="144"/>
      <c r="Z401" s="144"/>
    </row>
    <row r="402" spans="1:26" ht="18.75">
      <c r="A402" s="144"/>
      <c r="B402" s="141"/>
      <c r="C402" s="142"/>
      <c r="D402" s="143"/>
      <c r="E402" s="143"/>
      <c r="F402" s="144"/>
      <c r="G402" s="151"/>
      <c r="H402" s="151"/>
      <c r="I402" s="144"/>
      <c r="J402" s="144"/>
      <c r="K402" s="144"/>
      <c r="L402" s="144"/>
      <c r="M402" s="144"/>
      <c r="N402" s="144"/>
      <c r="O402" s="144"/>
      <c r="P402" s="144"/>
      <c r="Q402" s="144"/>
      <c r="R402" s="144"/>
      <c r="S402" s="144"/>
      <c r="T402" s="144"/>
      <c r="U402" s="144"/>
      <c r="V402" s="144"/>
      <c r="W402" s="144"/>
      <c r="X402" s="144"/>
      <c r="Y402" s="144"/>
      <c r="Z402" s="144"/>
    </row>
    <row r="403" spans="1:26" ht="18.75">
      <c r="A403" s="144"/>
      <c r="B403" s="141"/>
      <c r="C403" s="142"/>
      <c r="D403" s="143"/>
      <c r="E403" s="143"/>
      <c r="F403" s="144"/>
      <c r="G403" s="153"/>
      <c r="H403" s="153"/>
      <c r="I403" s="144"/>
      <c r="J403" s="144"/>
      <c r="K403" s="144"/>
      <c r="L403" s="144"/>
      <c r="M403" s="144"/>
      <c r="N403" s="144"/>
      <c r="O403" s="144"/>
      <c r="P403" s="144"/>
      <c r="Q403" s="144"/>
      <c r="R403" s="144"/>
      <c r="S403" s="144"/>
      <c r="T403" s="144"/>
      <c r="U403" s="144"/>
      <c r="V403" s="144"/>
      <c r="W403" s="144"/>
      <c r="X403" s="144"/>
      <c r="Y403" s="144"/>
      <c r="Z403" s="144"/>
    </row>
    <row r="404" spans="1:26" ht="18.75">
      <c r="A404" s="144"/>
      <c r="B404" s="141"/>
      <c r="C404" s="142"/>
      <c r="D404" s="143"/>
      <c r="E404" s="143"/>
      <c r="F404" s="144"/>
      <c r="G404" s="151"/>
      <c r="H404" s="151"/>
      <c r="I404" s="144"/>
      <c r="J404" s="144"/>
      <c r="K404" s="144"/>
      <c r="L404" s="144"/>
      <c r="M404" s="144"/>
      <c r="N404" s="144"/>
      <c r="O404" s="144"/>
      <c r="P404" s="144"/>
      <c r="Q404" s="144"/>
      <c r="R404" s="144"/>
      <c r="S404" s="144"/>
      <c r="T404" s="144"/>
      <c r="U404" s="144"/>
      <c r="V404" s="144"/>
      <c r="W404" s="144"/>
      <c r="X404" s="144"/>
      <c r="Y404" s="144"/>
      <c r="Z404" s="144"/>
    </row>
    <row r="405" spans="1:26" ht="18.75">
      <c r="A405" s="144"/>
      <c r="B405" s="141"/>
      <c r="C405" s="142"/>
      <c r="D405" s="143"/>
      <c r="E405" s="143"/>
      <c r="F405" s="144"/>
      <c r="G405" s="153"/>
      <c r="H405" s="153"/>
      <c r="I405" s="144"/>
      <c r="J405" s="144"/>
      <c r="K405" s="144"/>
      <c r="L405" s="144"/>
      <c r="M405" s="144"/>
      <c r="N405" s="144"/>
      <c r="O405" s="144"/>
      <c r="P405" s="144"/>
      <c r="Q405" s="144"/>
      <c r="R405" s="144"/>
      <c r="S405" s="144"/>
      <c r="T405" s="144"/>
      <c r="U405" s="144"/>
      <c r="V405" s="144"/>
      <c r="W405" s="144"/>
      <c r="X405" s="144"/>
      <c r="Y405" s="144"/>
      <c r="Z405" s="144"/>
    </row>
    <row r="406" spans="1:26" ht="18.75">
      <c r="A406" s="144"/>
      <c r="B406" s="141"/>
      <c r="C406" s="142"/>
      <c r="D406" s="143"/>
      <c r="E406" s="143"/>
      <c r="F406" s="144"/>
      <c r="G406" s="151"/>
      <c r="H406" s="151"/>
      <c r="I406" s="144"/>
      <c r="J406" s="144"/>
      <c r="K406" s="144"/>
      <c r="L406" s="144"/>
      <c r="M406" s="144"/>
      <c r="N406" s="144"/>
      <c r="O406" s="144"/>
      <c r="P406" s="144"/>
      <c r="Q406" s="144"/>
      <c r="R406" s="144"/>
      <c r="S406" s="144"/>
      <c r="T406" s="144"/>
      <c r="U406" s="144"/>
      <c r="V406" s="144"/>
      <c r="W406" s="144"/>
      <c r="X406" s="144"/>
      <c r="Y406" s="144"/>
      <c r="Z406" s="144"/>
    </row>
    <row r="407" spans="1:26" ht="18.75">
      <c r="A407" s="144"/>
      <c r="B407" s="141"/>
      <c r="C407" s="142"/>
      <c r="D407" s="143"/>
      <c r="E407" s="143"/>
      <c r="F407" s="144"/>
      <c r="G407" s="153"/>
      <c r="H407" s="153"/>
      <c r="I407" s="144"/>
      <c r="J407" s="144"/>
      <c r="K407" s="144"/>
      <c r="L407" s="144"/>
      <c r="M407" s="144"/>
      <c r="N407" s="144"/>
      <c r="O407" s="144"/>
      <c r="P407" s="144"/>
      <c r="Q407" s="144"/>
      <c r="R407" s="144"/>
      <c r="S407" s="144"/>
      <c r="T407" s="144"/>
      <c r="U407" s="144"/>
      <c r="V407" s="144"/>
      <c r="W407" s="144"/>
      <c r="X407" s="144"/>
      <c r="Y407" s="144"/>
      <c r="Z407" s="144"/>
    </row>
    <row r="408" spans="1:26" ht="18.75">
      <c r="A408" s="144"/>
      <c r="B408" s="141"/>
      <c r="C408" s="142"/>
      <c r="D408" s="143"/>
      <c r="E408" s="143"/>
      <c r="F408" s="144"/>
      <c r="G408" s="151"/>
      <c r="H408" s="151"/>
      <c r="I408" s="144"/>
      <c r="J408" s="144"/>
      <c r="K408" s="144"/>
      <c r="L408" s="144"/>
      <c r="M408" s="144"/>
      <c r="N408" s="144"/>
      <c r="O408" s="144"/>
      <c r="P408" s="144"/>
      <c r="Q408" s="144"/>
      <c r="R408" s="144"/>
      <c r="S408" s="144"/>
      <c r="T408" s="144"/>
      <c r="U408" s="144"/>
      <c r="V408" s="144"/>
      <c r="W408" s="144"/>
      <c r="X408" s="144"/>
      <c r="Y408" s="144"/>
      <c r="Z408" s="144"/>
    </row>
    <row r="409" spans="1:26" ht="18.75">
      <c r="A409" s="144"/>
      <c r="B409" s="141"/>
      <c r="C409" s="142"/>
      <c r="D409" s="143"/>
      <c r="E409" s="143"/>
      <c r="F409" s="144"/>
      <c r="G409" s="153"/>
      <c r="H409" s="153"/>
      <c r="I409" s="144"/>
      <c r="J409" s="144"/>
      <c r="K409" s="144"/>
      <c r="L409" s="144"/>
      <c r="M409" s="144"/>
      <c r="N409" s="144"/>
      <c r="O409" s="144"/>
      <c r="P409" s="144"/>
      <c r="Q409" s="144"/>
      <c r="R409" s="144"/>
      <c r="S409" s="144"/>
      <c r="T409" s="144"/>
      <c r="U409" s="144"/>
      <c r="V409" s="144"/>
      <c r="W409" s="144"/>
      <c r="X409" s="144"/>
      <c r="Y409" s="144"/>
      <c r="Z409" s="144"/>
    </row>
    <row r="410" spans="1:26" ht="18.75">
      <c r="A410" s="144"/>
      <c r="B410" s="141"/>
      <c r="C410" s="142"/>
      <c r="D410" s="143"/>
      <c r="E410" s="143"/>
      <c r="F410" s="144"/>
      <c r="G410" s="151"/>
      <c r="H410" s="151"/>
      <c r="I410" s="144"/>
      <c r="J410" s="144"/>
      <c r="K410" s="144"/>
      <c r="L410" s="144"/>
      <c r="M410" s="144"/>
      <c r="N410" s="144"/>
      <c r="O410" s="144"/>
      <c r="P410" s="144"/>
      <c r="Q410" s="144"/>
      <c r="R410" s="144"/>
      <c r="S410" s="144"/>
      <c r="T410" s="144"/>
      <c r="U410" s="144"/>
      <c r="V410" s="144"/>
      <c r="W410" s="144"/>
      <c r="X410" s="144"/>
      <c r="Y410" s="144"/>
      <c r="Z410" s="144"/>
    </row>
    <row r="411" spans="1:26" ht="18.75">
      <c r="A411" s="144"/>
      <c r="B411" s="141"/>
      <c r="C411" s="142"/>
      <c r="D411" s="143"/>
      <c r="E411" s="143"/>
      <c r="F411" s="144"/>
      <c r="G411" s="153"/>
      <c r="H411" s="153"/>
      <c r="I411" s="144"/>
      <c r="J411" s="144"/>
      <c r="K411" s="144"/>
      <c r="L411" s="144"/>
      <c r="M411" s="144"/>
      <c r="N411" s="144"/>
      <c r="O411" s="144"/>
      <c r="P411" s="144"/>
      <c r="Q411" s="144"/>
      <c r="R411" s="144"/>
      <c r="S411" s="144"/>
      <c r="T411" s="144"/>
      <c r="U411" s="144"/>
      <c r="V411" s="144"/>
      <c r="W411" s="144"/>
      <c r="X411" s="144"/>
      <c r="Y411" s="144"/>
      <c r="Z411" s="144"/>
    </row>
    <row r="412" spans="1:26" ht="18.75">
      <c r="A412" s="144"/>
      <c r="B412" s="141"/>
      <c r="C412" s="142"/>
      <c r="D412" s="143"/>
      <c r="E412" s="143"/>
      <c r="F412" s="144"/>
      <c r="G412" s="151"/>
      <c r="H412" s="151"/>
      <c r="I412" s="144"/>
      <c r="J412" s="144"/>
      <c r="K412" s="144"/>
      <c r="L412" s="144"/>
      <c r="M412" s="144"/>
      <c r="N412" s="144"/>
      <c r="O412" s="144"/>
      <c r="P412" s="144"/>
      <c r="Q412" s="144"/>
      <c r="R412" s="144"/>
      <c r="S412" s="144"/>
      <c r="T412" s="144"/>
      <c r="U412" s="144"/>
      <c r="V412" s="144"/>
      <c r="W412" s="144"/>
      <c r="X412" s="144"/>
      <c r="Y412" s="144"/>
      <c r="Z412" s="144"/>
    </row>
    <row r="413" spans="1:26" ht="18.75">
      <c r="A413" s="144"/>
      <c r="B413" s="141"/>
      <c r="C413" s="142"/>
      <c r="D413" s="143"/>
      <c r="E413" s="143"/>
      <c r="F413" s="144"/>
      <c r="G413" s="153"/>
      <c r="H413" s="153"/>
      <c r="I413" s="144"/>
      <c r="J413" s="144"/>
      <c r="K413" s="144"/>
      <c r="L413" s="144"/>
      <c r="M413" s="144"/>
      <c r="N413" s="144"/>
      <c r="O413" s="144"/>
      <c r="P413" s="144"/>
      <c r="Q413" s="144"/>
      <c r="R413" s="144"/>
      <c r="S413" s="144"/>
      <c r="T413" s="144"/>
      <c r="U413" s="144"/>
      <c r="V413" s="144"/>
      <c r="W413" s="144"/>
      <c r="X413" s="144"/>
      <c r="Y413" s="144"/>
      <c r="Z413" s="144"/>
    </row>
    <row r="414" spans="1:26" ht="18.75">
      <c r="A414" s="144"/>
      <c r="B414" s="141"/>
      <c r="C414" s="142"/>
      <c r="D414" s="143"/>
      <c r="E414" s="143"/>
      <c r="F414" s="144"/>
      <c r="G414" s="151"/>
      <c r="H414" s="151"/>
      <c r="I414" s="144"/>
      <c r="J414" s="144"/>
      <c r="K414" s="144"/>
      <c r="L414" s="144"/>
      <c r="M414" s="144"/>
      <c r="N414" s="144"/>
      <c r="O414" s="144"/>
      <c r="P414" s="144"/>
      <c r="Q414" s="144"/>
      <c r="R414" s="144"/>
      <c r="S414" s="144"/>
      <c r="T414" s="144"/>
      <c r="U414" s="144"/>
      <c r="V414" s="144"/>
      <c r="W414" s="144"/>
      <c r="X414" s="144"/>
      <c r="Y414" s="144"/>
      <c r="Z414" s="144"/>
    </row>
    <row r="415" spans="1:26" ht="18.75">
      <c r="A415" s="144"/>
      <c r="B415" s="141"/>
      <c r="C415" s="142"/>
      <c r="D415" s="143"/>
      <c r="E415" s="143"/>
      <c r="F415" s="144"/>
      <c r="G415" s="153"/>
      <c r="H415" s="153"/>
      <c r="I415" s="144"/>
      <c r="J415" s="144"/>
      <c r="K415" s="144"/>
      <c r="L415" s="144"/>
      <c r="M415" s="144"/>
      <c r="N415" s="144"/>
      <c r="O415" s="144"/>
      <c r="P415" s="144"/>
      <c r="Q415" s="144"/>
      <c r="R415" s="144"/>
      <c r="S415" s="144"/>
      <c r="T415" s="144"/>
      <c r="U415" s="144"/>
      <c r="V415" s="144"/>
      <c r="W415" s="144"/>
      <c r="X415" s="144"/>
      <c r="Y415" s="144"/>
      <c r="Z415" s="144"/>
    </row>
    <row r="416" spans="1:26" ht="18.75">
      <c r="A416" s="144"/>
      <c r="B416" s="141"/>
      <c r="C416" s="142"/>
      <c r="D416" s="143"/>
      <c r="E416" s="143"/>
      <c r="F416" s="144"/>
      <c r="G416" s="151"/>
      <c r="H416" s="151"/>
      <c r="I416" s="144"/>
      <c r="J416" s="144"/>
      <c r="K416" s="144"/>
      <c r="L416" s="144"/>
      <c r="M416" s="144"/>
      <c r="N416" s="144"/>
      <c r="O416" s="144"/>
      <c r="P416" s="144"/>
      <c r="Q416" s="144"/>
      <c r="R416" s="144"/>
      <c r="S416" s="144"/>
      <c r="T416" s="144"/>
      <c r="U416" s="144"/>
      <c r="V416" s="144"/>
      <c r="W416" s="144"/>
      <c r="X416" s="144"/>
      <c r="Y416" s="144"/>
      <c r="Z416" s="144"/>
    </row>
    <row r="417" spans="1:26" ht="18.75">
      <c r="A417" s="144"/>
      <c r="B417" s="141"/>
      <c r="C417" s="142"/>
      <c r="D417" s="143"/>
      <c r="E417" s="143"/>
      <c r="F417" s="144"/>
      <c r="G417" s="153"/>
      <c r="H417" s="153"/>
      <c r="I417" s="144"/>
      <c r="J417" s="144"/>
      <c r="K417" s="144"/>
      <c r="L417" s="144"/>
      <c r="M417" s="144"/>
      <c r="N417" s="144"/>
      <c r="O417" s="144"/>
      <c r="P417" s="144"/>
      <c r="Q417" s="144"/>
      <c r="R417" s="144"/>
      <c r="S417" s="144"/>
      <c r="T417" s="144"/>
      <c r="U417" s="144"/>
      <c r="V417" s="144"/>
      <c r="W417" s="144"/>
      <c r="X417" s="144"/>
      <c r="Y417" s="144"/>
      <c r="Z417" s="144"/>
    </row>
    <row r="418" spans="1:26" ht="18.75">
      <c r="A418" s="144"/>
      <c r="B418" s="141"/>
      <c r="C418" s="142"/>
      <c r="D418" s="143"/>
      <c r="E418" s="143"/>
      <c r="F418" s="144"/>
      <c r="G418" s="151"/>
      <c r="H418" s="151"/>
      <c r="I418" s="144"/>
      <c r="J418" s="144"/>
      <c r="K418" s="144"/>
      <c r="L418" s="144"/>
      <c r="M418" s="144"/>
      <c r="N418" s="144"/>
      <c r="O418" s="144"/>
      <c r="P418" s="144"/>
      <c r="Q418" s="144"/>
      <c r="R418" s="144"/>
      <c r="S418" s="144"/>
      <c r="T418" s="144"/>
      <c r="U418" s="144"/>
      <c r="V418" s="144"/>
      <c r="W418" s="144"/>
      <c r="X418" s="144"/>
      <c r="Y418" s="144"/>
      <c r="Z418" s="144"/>
    </row>
    <row r="419" spans="1:26" ht="18.75">
      <c r="A419" s="144"/>
      <c r="B419" s="141"/>
      <c r="C419" s="142"/>
      <c r="D419" s="143"/>
      <c r="E419" s="143"/>
      <c r="F419" s="144"/>
      <c r="G419" s="153"/>
      <c r="H419" s="153"/>
      <c r="I419" s="144"/>
      <c r="J419" s="144"/>
      <c r="K419" s="144"/>
      <c r="L419" s="144"/>
      <c r="M419" s="144"/>
      <c r="N419" s="144"/>
      <c r="O419" s="144"/>
      <c r="P419" s="144"/>
      <c r="Q419" s="144"/>
      <c r="R419" s="144"/>
      <c r="S419" s="144"/>
      <c r="T419" s="144"/>
      <c r="U419" s="144"/>
      <c r="V419" s="144"/>
      <c r="W419" s="144"/>
      <c r="X419" s="144"/>
      <c r="Y419" s="144"/>
      <c r="Z419" s="144"/>
    </row>
    <row r="420" spans="1:26" ht="18.75">
      <c r="A420" s="144"/>
      <c r="B420" s="141"/>
      <c r="C420" s="142"/>
      <c r="D420" s="143"/>
      <c r="E420" s="143"/>
      <c r="F420" s="144"/>
      <c r="G420" s="151"/>
      <c r="H420" s="151"/>
      <c r="I420" s="144"/>
      <c r="J420" s="144"/>
      <c r="K420" s="144"/>
      <c r="L420" s="144"/>
      <c r="M420" s="144"/>
      <c r="N420" s="144"/>
      <c r="O420" s="144"/>
      <c r="P420" s="144"/>
      <c r="Q420" s="144"/>
      <c r="R420" s="144"/>
      <c r="S420" s="144"/>
      <c r="T420" s="144"/>
      <c r="U420" s="144"/>
      <c r="V420" s="144"/>
      <c r="W420" s="144"/>
      <c r="X420" s="144"/>
      <c r="Y420" s="144"/>
      <c r="Z420" s="144"/>
    </row>
    <row r="421" spans="1:26" ht="18.75">
      <c r="A421" s="144"/>
      <c r="B421" s="141"/>
      <c r="C421" s="142"/>
      <c r="D421" s="143"/>
      <c r="E421" s="143"/>
      <c r="F421" s="144"/>
      <c r="G421" s="153"/>
      <c r="H421" s="153"/>
      <c r="I421" s="144"/>
      <c r="J421" s="144"/>
      <c r="K421" s="144"/>
      <c r="L421" s="144"/>
      <c r="M421" s="144"/>
      <c r="N421" s="144"/>
      <c r="O421" s="144"/>
      <c r="P421" s="144"/>
      <c r="Q421" s="144"/>
      <c r="R421" s="144"/>
      <c r="S421" s="144"/>
      <c r="T421" s="144"/>
      <c r="U421" s="144"/>
      <c r="V421" s="144"/>
      <c r="W421" s="144"/>
      <c r="X421" s="144"/>
      <c r="Y421" s="144"/>
      <c r="Z421" s="144"/>
    </row>
    <row r="422" spans="1:26" ht="18.75">
      <c r="A422" s="144"/>
      <c r="B422" s="141"/>
      <c r="C422" s="142"/>
      <c r="D422" s="143"/>
      <c r="E422" s="143"/>
      <c r="F422" s="144"/>
      <c r="G422" s="151"/>
      <c r="H422" s="151"/>
      <c r="I422" s="144"/>
      <c r="J422" s="144"/>
      <c r="K422" s="144"/>
      <c r="L422" s="144"/>
      <c r="M422" s="144"/>
      <c r="N422" s="144"/>
      <c r="O422" s="144"/>
      <c r="P422" s="144"/>
      <c r="Q422" s="144"/>
      <c r="R422" s="144"/>
      <c r="S422" s="144"/>
      <c r="T422" s="144"/>
      <c r="U422" s="144"/>
      <c r="V422" s="144"/>
      <c r="W422" s="144"/>
      <c r="X422" s="144"/>
      <c r="Y422" s="144"/>
      <c r="Z422" s="144"/>
    </row>
    <row r="423" spans="1:26" ht="18.75">
      <c r="A423" s="144"/>
      <c r="B423" s="141"/>
      <c r="C423" s="142"/>
      <c r="D423" s="143"/>
      <c r="E423" s="143"/>
      <c r="F423" s="144"/>
      <c r="G423" s="153"/>
      <c r="H423" s="153"/>
      <c r="I423" s="144"/>
      <c r="J423" s="144"/>
      <c r="K423" s="144"/>
      <c r="L423" s="144"/>
      <c r="M423" s="144"/>
      <c r="N423" s="144"/>
      <c r="O423" s="144"/>
      <c r="P423" s="144"/>
      <c r="Q423" s="144"/>
      <c r="R423" s="144"/>
      <c r="S423" s="144"/>
      <c r="T423" s="144"/>
      <c r="U423" s="144"/>
      <c r="V423" s="144"/>
      <c r="W423" s="144"/>
      <c r="X423" s="144"/>
      <c r="Y423" s="144"/>
      <c r="Z423" s="144"/>
    </row>
    <row r="424" spans="1:26" ht="18.75">
      <c r="A424" s="144"/>
      <c r="B424" s="141"/>
      <c r="C424" s="142"/>
      <c r="D424" s="143"/>
      <c r="E424" s="143"/>
      <c r="F424" s="144"/>
      <c r="G424" s="151"/>
      <c r="H424" s="151"/>
      <c r="I424" s="144"/>
      <c r="J424" s="144"/>
      <c r="K424" s="144"/>
      <c r="L424" s="144"/>
      <c r="M424" s="144"/>
      <c r="N424" s="144"/>
      <c r="O424" s="144"/>
      <c r="P424" s="144"/>
      <c r="Q424" s="144"/>
      <c r="R424" s="144"/>
      <c r="S424" s="144"/>
      <c r="T424" s="144"/>
      <c r="U424" s="144"/>
      <c r="V424" s="144"/>
      <c r="W424" s="144"/>
      <c r="X424" s="144"/>
      <c r="Y424" s="144"/>
      <c r="Z424" s="144"/>
    </row>
    <row r="425" spans="1:26" ht="18.75">
      <c r="A425" s="144"/>
      <c r="B425" s="141"/>
      <c r="C425" s="142"/>
      <c r="D425" s="143"/>
      <c r="E425" s="143"/>
      <c r="F425" s="144"/>
      <c r="G425" s="153"/>
      <c r="H425" s="153"/>
      <c r="I425" s="144"/>
      <c r="J425" s="144"/>
      <c r="K425" s="144"/>
      <c r="L425" s="144"/>
      <c r="M425" s="144"/>
      <c r="N425" s="144"/>
      <c r="O425" s="144"/>
      <c r="P425" s="144"/>
      <c r="Q425" s="144"/>
      <c r="R425" s="144"/>
      <c r="S425" s="144"/>
      <c r="T425" s="144"/>
      <c r="U425" s="144"/>
      <c r="V425" s="144"/>
      <c r="W425" s="144"/>
      <c r="X425" s="144"/>
      <c r="Y425" s="144"/>
      <c r="Z425" s="144"/>
    </row>
    <row r="426" spans="1:26" ht="18.75">
      <c r="A426" s="144"/>
      <c r="B426" s="141"/>
      <c r="C426" s="142"/>
      <c r="D426" s="143"/>
      <c r="E426" s="143"/>
      <c r="F426" s="144"/>
      <c r="G426" s="151"/>
      <c r="H426" s="151"/>
      <c r="I426" s="144"/>
      <c r="J426" s="144"/>
      <c r="K426" s="144"/>
      <c r="L426" s="144"/>
      <c r="M426" s="144"/>
      <c r="N426" s="144"/>
      <c r="O426" s="144"/>
      <c r="P426" s="144"/>
      <c r="Q426" s="144"/>
      <c r="R426" s="144"/>
      <c r="S426" s="144"/>
      <c r="T426" s="144"/>
      <c r="U426" s="144"/>
      <c r="V426" s="144"/>
      <c r="W426" s="144"/>
      <c r="X426" s="144"/>
      <c r="Y426" s="144"/>
      <c r="Z426" s="144"/>
    </row>
    <row r="427" spans="1:26" ht="18.75">
      <c r="A427" s="144"/>
      <c r="B427" s="141"/>
      <c r="C427" s="142"/>
      <c r="D427" s="143"/>
      <c r="E427" s="143"/>
      <c r="F427" s="144"/>
      <c r="G427" s="153"/>
      <c r="H427" s="153"/>
      <c r="I427" s="144"/>
      <c r="J427" s="144"/>
      <c r="K427" s="144"/>
      <c r="L427" s="144"/>
      <c r="M427" s="144"/>
      <c r="N427" s="144"/>
      <c r="O427" s="144"/>
      <c r="P427" s="144"/>
      <c r="Q427" s="144"/>
      <c r="R427" s="144"/>
      <c r="S427" s="144"/>
      <c r="T427" s="144"/>
      <c r="U427" s="144"/>
      <c r="V427" s="144"/>
      <c r="W427" s="144"/>
      <c r="X427" s="144"/>
      <c r="Y427" s="144"/>
      <c r="Z427" s="144"/>
    </row>
    <row r="428" spans="1:26" ht="18.75">
      <c r="A428" s="144"/>
      <c r="B428" s="141"/>
      <c r="C428" s="142"/>
      <c r="D428" s="143"/>
      <c r="E428" s="143"/>
      <c r="F428" s="144"/>
      <c r="G428" s="151"/>
      <c r="H428" s="151"/>
      <c r="I428" s="144"/>
      <c r="J428" s="144"/>
      <c r="K428" s="144"/>
      <c r="L428" s="144"/>
      <c r="M428" s="144"/>
      <c r="N428" s="144"/>
      <c r="O428" s="144"/>
      <c r="P428" s="144"/>
      <c r="Q428" s="144"/>
      <c r="R428" s="144"/>
      <c r="S428" s="144"/>
      <c r="T428" s="144"/>
      <c r="U428" s="144"/>
      <c r="V428" s="144"/>
      <c r="W428" s="144"/>
      <c r="X428" s="144"/>
      <c r="Y428" s="144"/>
      <c r="Z428" s="144"/>
    </row>
    <row r="429" spans="1:26" ht="18.75">
      <c r="A429" s="144"/>
      <c r="B429" s="141"/>
      <c r="C429" s="142"/>
      <c r="D429" s="143"/>
      <c r="E429" s="143"/>
      <c r="F429" s="144"/>
      <c r="G429" s="153"/>
      <c r="H429" s="153"/>
      <c r="I429" s="144"/>
      <c r="J429" s="144"/>
      <c r="K429" s="144"/>
      <c r="L429" s="144"/>
      <c r="M429" s="144"/>
      <c r="N429" s="144"/>
      <c r="O429" s="144"/>
      <c r="P429" s="144"/>
      <c r="Q429" s="144"/>
      <c r="R429" s="144"/>
      <c r="S429" s="144"/>
      <c r="T429" s="144"/>
      <c r="U429" s="144"/>
      <c r="V429" s="144"/>
      <c r="W429" s="144"/>
      <c r="X429" s="144"/>
      <c r="Y429" s="144"/>
      <c r="Z429" s="144"/>
    </row>
    <row r="430" spans="1:26" ht="18.75">
      <c r="A430" s="144"/>
      <c r="B430" s="141"/>
      <c r="C430" s="142"/>
      <c r="D430" s="143"/>
      <c r="E430" s="143"/>
      <c r="F430" s="144"/>
      <c r="G430" s="151"/>
      <c r="H430" s="151"/>
      <c r="I430" s="144"/>
      <c r="J430" s="144"/>
      <c r="K430" s="144"/>
      <c r="L430" s="144"/>
      <c r="M430" s="144"/>
      <c r="N430" s="144"/>
      <c r="O430" s="144"/>
      <c r="P430" s="144"/>
      <c r="Q430" s="144"/>
      <c r="R430" s="144"/>
      <c r="S430" s="144"/>
      <c r="T430" s="144"/>
      <c r="U430" s="144"/>
      <c r="V430" s="144"/>
      <c r="W430" s="144"/>
      <c r="X430" s="144"/>
      <c r="Y430" s="144"/>
      <c r="Z430" s="144"/>
    </row>
    <row r="431" spans="1:26" ht="18.75">
      <c r="A431" s="144"/>
      <c r="B431" s="141"/>
      <c r="C431" s="142"/>
      <c r="D431" s="143"/>
      <c r="E431" s="143"/>
      <c r="F431" s="144"/>
      <c r="G431" s="153"/>
      <c r="H431" s="153"/>
      <c r="I431" s="144"/>
      <c r="J431" s="144"/>
      <c r="K431" s="144"/>
      <c r="L431" s="144"/>
      <c r="M431" s="144"/>
      <c r="N431" s="144"/>
      <c r="O431" s="144"/>
      <c r="P431" s="144"/>
      <c r="Q431" s="144"/>
      <c r="R431" s="144"/>
      <c r="S431" s="144"/>
      <c r="T431" s="144"/>
      <c r="U431" s="144"/>
      <c r="V431" s="144"/>
      <c r="W431" s="144"/>
      <c r="X431" s="144"/>
      <c r="Y431" s="144"/>
      <c r="Z431" s="144"/>
    </row>
    <row r="432" spans="1:26" ht="18.75">
      <c r="A432" s="144"/>
      <c r="B432" s="141"/>
      <c r="C432" s="142"/>
      <c r="D432" s="143"/>
      <c r="E432" s="143"/>
      <c r="F432" s="144"/>
      <c r="G432" s="151"/>
      <c r="H432" s="151"/>
      <c r="I432" s="144"/>
      <c r="J432" s="144"/>
      <c r="K432" s="144"/>
      <c r="L432" s="144"/>
      <c r="M432" s="144"/>
      <c r="N432" s="144"/>
      <c r="O432" s="144"/>
      <c r="P432" s="144"/>
      <c r="Q432" s="144"/>
      <c r="R432" s="144"/>
      <c r="S432" s="144"/>
      <c r="T432" s="144"/>
      <c r="U432" s="144"/>
      <c r="V432" s="144"/>
      <c r="W432" s="144"/>
      <c r="X432" s="144"/>
      <c r="Y432" s="144"/>
      <c r="Z432" s="144"/>
    </row>
    <row r="433" spans="1:26" ht="18.75">
      <c r="A433" s="144"/>
      <c r="B433" s="141"/>
      <c r="C433" s="142"/>
      <c r="D433" s="143"/>
      <c r="E433" s="143"/>
      <c r="F433" s="144"/>
      <c r="G433" s="153"/>
      <c r="H433" s="153"/>
      <c r="I433" s="144"/>
      <c r="J433" s="144"/>
      <c r="K433" s="144"/>
      <c r="L433" s="144"/>
      <c r="M433" s="144"/>
      <c r="N433" s="144"/>
      <c r="O433" s="144"/>
      <c r="P433" s="144"/>
      <c r="Q433" s="144"/>
      <c r="R433" s="144"/>
      <c r="S433" s="144"/>
      <c r="T433" s="144"/>
      <c r="U433" s="144"/>
      <c r="V433" s="144"/>
      <c r="W433" s="144"/>
      <c r="X433" s="144"/>
      <c r="Y433" s="144"/>
      <c r="Z433" s="144"/>
    </row>
    <row r="434" spans="1:26" ht="18.75">
      <c r="A434" s="144"/>
      <c r="B434" s="141"/>
      <c r="C434" s="142"/>
      <c r="D434" s="143"/>
      <c r="E434" s="143"/>
      <c r="F434" s="144"/>
      <c r="G434" s="151"/>
      <c r="H434" s="151"/>
      <c r="I434" s="144"/>
      <c r="J434" s="144"/>
      <c r="K434" s="144"/>
      <c r="L434" s="144"/>
      <c r="M434" s="144"/>
      <c r="N434" s="144"/>
      <c r="O434" s="144"/>
      <c r="P434" s="144"/>
      <c r="Q434" s="144"/>
      <c r="R434" s="144"/>
      <c r="S434" s="144"/>
      <c r="T434" s="144"/>
      <c r="U434" s="144"/>
      <c r="V434" s="144"/>
      <c r="W434" s="144"/>
      <c r="X434" s="144"/>
      <c r="Y434" s="144"/>
      <c r="Z434" s="144"/>
    </row>
    <row r="435" spans="1:26" ht="18.75">
      <c r="A435" s="144"/>
      <c r="B435" s="141"/>
      <c r="C435" s="142"/>
      <c r="D435" s="143"/>
      <c r="E435" s="143"/>
      <c r="F435" s="144"/>
      <c r="G435" s="153"/>
      <c r="H435" s="153"/>
      <c r="I435" s="144"/>
      <c r="J435" s="144"/>
      <c r="K435" s="144"/>
      <c r="L435" s="144"/>
      <c r="M435" s="144"/>
      <c r="N435" s="144"/>
      <c r="O435" s="144"/>
      <c r="P435" s="144"/>
      <c r="Q435" s="144"/>
      <c r="R435" s="144"/>
      <c r="S435" s="144"/>
      <c r="T435" s="144"/>
      <c r="U435" s="144"/>
      <c r="V435" s="144"/>
      <c r="W435" s="144"/>
      <c r="X435" s="144"/>
      <c r="Y435" s="144"/>
      <c r="Z435" s="144"/>
    </row>
    <row r="436" spans="1:26" ht="18.75">
      <c r="A436" s="144"/>
      <c r="B436" s="141"/>
      <c r="C436" s="142"/>
      <c r="D436" s="143"/>
      <c r="E436" s="143"/>
      <c r="F436" s="144"/>
      <c r="G436" s="151"/>
      <c r="H436" s="151"/>
      <c r="I436" s="144"/>
      <c r="J436" s="144"/>
      <c r="K436" s="144"/>
      <c r="L436" s="144"/>
      <c r="M436" s="144"/>
      <c r="N436" s="144"/>
      <c r="O436" s="144"/>
      <c r="P436" s="144"/>
      <c r="Q436" s="144"/>
      <c r="R436" s="144"/>
      <c r="S436" s="144"/>
      <c r="T436" s="144"/>
      <c r="U436" s="144"/>
      <c r="V436" s="144"/>
      <c r="W436" s="144"/>
      <c r="X436" s="144"/>
      <c r="Y436" s="144"/>
      <c r="Z436" s="144"/>
    </row>
    <row r="437" spans="1:26" ht="18.75">
      <c r="A437" s="144"/>
      <c r="B437" s="141"/>
      <c r="C437" s="142"/>
      <c r="D437" s="143"/>
      <c r="E437" s="143"/>
      <c r="F437" s="144"/>
      <c r="G437" s="153"/>
      <c r="H437" s="153"/>
      <c r="I437" s="144"/>
      <c r="J437" s="144"/>
      <c r="K437" s="144"/>
      <c r="L437" s="144"/>
      <c r="M437" s="144"/>
      <c r="N437" s="144"/>
      <c r="O437" s="144"/>
      <c r="P437" s="144"/>
      <c r="Q437" s="144"/>
      <c r="R437" s="144"/>
      <c r="S437" s="144"/>
      <c r="T437" s="144"/>
      <c r="U437" s="144"/>
      <c r="V437" s="144"/>
      <c r="W437" s="144"/>
      <c r="X437" s="144"/>
      <c r="Y437" s="144"/>
      <c r="Z437" s="144"/>
    </row>
    <row r="438" spans="1:26" ht="18.75">
      <c r="A438" s="144"/>
      <c r="B438" s="141"/>
      <c r="C438" s="142"/>
      <c r="D438" s="143"/>
      <c r="E438" s="143"/>
      <c r="F438" s="144"/>
      <c r="G438" s="151"/>
      <c r="H438" s="151"/>
      <c r="I438" s="144"/>
      <c r="J438" s="144"/>
      <c r="K438" s="144"/>
      <c r="L438" s="144"/>
      <c r="M438" s="144"/>
      <c r="N438" s="144"/>
      <c r="O438" s="144"/>
      <c r="P438" s="144"/>
      <c r="Q438" s="144"/>
      <c r="R438" s="144"/>
      <c r="S438" s="144"/>
      <c r="T438" s="144"/>
      <c r="U438" s="144"/>
      <c r="V438" s="144"/>
      <c r="W438" s="144"/>
      <c r="X438" s="144"/>
      <c r="Y438" s="144"/>
      <c r="Z438" s="144"/>
    </row>
    <row r="439" spans="1:26" ht="18.75">
      <c r="A439" s="144"/>
      <c r="B439" s="141"/>
      <c r="C439" s="142"/>
      <c r="D439" s="143"/>
      <c r="E439" s="143"/>
      <c r="F439" s="144"/>
      <c r="G439" s="153"/>
      <c r="H439" s="153"/>
      <c r="I439" s="144"/>
      <c r="J439" s="144"/>
      <c r="K439" s="144"/>
      <c r="L439" s="144"/>
      <c r="M439" s="144"/>
      <c r="N439" s="144"/>
      <c r="O439" s="144"/>
      <c r="P439" s="144"/>
      <c r="Q439" s="144"/>
      <c r="R439" s="144"/>
      <c r="S439" s="144"/>
      <c r="T439" s="144"/>
      <c r="U439" s="144"/>
      <c r="V439" s="144"/>
      <c r="W439" s="144"/>
      <c r="X439" s="144"/>
      <c r="Y439" s="144"/>
      <c r="Z439" s="144"/>
    </row>
    <row r="440" spans="1:26" ht="18.75">
      <c r="A440" s="144"/>
      <c r="B440" s="141"/>
      <c r="C440" s="142"/>
      <c r="D440" s="143"/>
      <c r="E440" s="143"/>
      <c r="F440" s="144"/>
      <c r="G440" s="151"/>
      <c r="H440" s="151"/>
      <c r="I440" s="144"/>
      <c r="J440" s="144"/>
      <c r="K440" s="144"/>
      <c r="L440" s="144"/>
      <c r="M440" s="144"/>
      <c r="N440" s="144"/>
      <c r="O440" s="144"/>
      <c r="P440" s="144"/>
      <c r="Q440" s="144"/>
      <c r="R440" s="144"/>
      <c r="S440" s="144"/>
      <c r="T440" s="144"/>
      <c r="U440" s="144"/>
      <c r="V440" s="144"/>
      <c r="W440" s="144"/>
      <c r="X440" s="144"/>
      <c r="Y440" s="144"/>
      <c r="Z440" s="144"/>
    </row>
    <row r="441" spans="1:26" ht="18.75">
      <c r="A441" s="144"/>
      <c r="B441" s="141"/>
      <c r="C441" s="142"/>
      <c r="D441" s="143"/>
      <c r="E441" s="143"/>
      <c r="F441" s="144"/>
      <c r="G441" s="153"/>
      <c r="H441" s="153"/>
      <c r="I441" s="144"/>
      <c r="J441" s="144"/>
      <c r="K441" s="144"/>
      <c r="L441" s="144"/>
      <c r="M441" s="144"/>
      <c r="N441" s="144"/>
      <c r="O441" s="144"/>
      <c r="P441" s="144"/>
      <c r="Q441" s="144"/>
      <c r="R441" s="144"/>
      <c r="S441" s="144"/>
      <c r="T441" s="144"/>
      <c r="U441" s="144"/>
      <c r="V441" s="144"/>
      <c r="W441" s="144"/>
      <c r="X441" s="144"/>
      <c r="Y441" s="144"/>
      <c r="Z441" s="144"/>
    </row>
    <row r="442" spans="1:26" ht="18.75">
      <c r="A442" s="144"/>
      <c r="B442" s="141"/>
      <c r="C442" s="142"/>
      <c r="D442" s="143"/>
      <c r="E442" s="143"/>
      <c r="F442" s="144"/>
      <c r="G442" s="151"/>
      <c r="H442" s="151"/>
      <c r="I442" s="144"/>
      <c r="J442" s="144"/>
      <c r="K442" s="144"/>
      <c r="L442" s="144"/>
      <c r="M442" s="144"/>
      <c r="N442" s="144"/>
      <c r="O442" s="144"/>
      <c r="P442" s="144"/>
      <c r="Q442" s="144"/>
      <c r="R442" s="144"/>
      <c r="S442" s="144"/>
      <c r="T442" s="144"/>
      <c r="U442" s="144"/>
      <c r="V442" s="144"/>
      <c r="W442" s="144"/>
      <c r="X442" s="144"/>
      <c r="Y442" s="144"/>
      <c r="Z442" s="144"/>
    </row>
    <row r="443" spans="1:26" ht="18.75">
      <c r="A443" s="144"/>
      <c r="B443" s="141"/>
      <c r="C443" s="142"/>
      <c r="D443" s="143"/>
      <c r="E443" s="143"/>
      <c r="F443" s="144"/>
      <c r="G443" s="153"/>
      <c r="H443" s="153"/>
      <c r="I443" s="144"/>
      <c r="J443" s="144"/>
      <c r="K443" s="144"/>
      <c r="L443" s="144"/>
      <c r="M443" s="144"/>
      <c r="N443" s="144"/>
      <c r="O443" s="144"/>
      <c r="P443" s="144"/>
      <c r="Q443" s="144"/>
      <c r="R443" s="144"/>
      <c r="S443" s="144"/>
      <c r="T443" s="144"/>
      <c r="U443" s="144"/>
      <c r="V443" s="144"/>
      <c r="W443" s="144"/>
      <c r="X443" s="144"/>
      <c r="Y443" s="144"/>
      <c r="Z443" s="144"/>
    </row>
    <row r="444" spans="1:26" ht="18.75">
      <c r="A444" s="144"/>
      <c r="B444" s="141"/>
      <c r="C444" s="142"/>
      <c r="D444" s="143"/>
      <c r="E444" s="143"/>
      <c r="F444" s="144"/>
      <c r="G444" s="151"/>
      <c r="H444" s="151"/>
      <c r="I444" s="144"/>
      <c r="J444" s="144"/>
      <c r="K444" s="144"/>
      <c r="L444" s="144"/>
      <c r="M444" s="144"/>
      <c r="N444" s="144"/>
      <c r="O444" s="144"/>
      <c r="P444" s="144"/>
      <c r="Q444" s="144"/>
      <c r="R444" s="144"/>
      <c r="S444" s="144"/>
      <c r="T444" s="144"/>
      <c r="U444" s="144"/>
      <c r="V444" s="144"/>
      <c r="W444" s="144"/>
      <c r="X444" s="144"/>
      <c r="Y444" s="144"/>
      <c r="Z444" s="144"/>
    </row>
    <row r="445" spans="1:26" ht="18.75">
      <c r="A445" s="144"/>
      <c r="B445" s="141"/>
      <c r="C445" s="142"/>
      <c r="D445" s="143"/>
      <c r="E445" s="143"/>
      <c r="F445" s="144"/>
      <c r="G445" s="153"/>
      <c r="H445" s="153"/>
      <c r="I445" s="144"/>
      <c r="J445" s="144"/>
      <c r="K445" s="144"/>
      <c r="L445" s="144"/>
      <c r="M445" s="144"/>
      <c r="N445" s="144"/>
      <c r="O445" s="144"/>
      <c r="P445" s="144"/>
      <c r="Q445" s="144"/>
      <c r="R445" s="144"/>
      <c r="S445" s="144"/>
      <c r="T445" s="144"/>
      <c r="U445" s="144"/>
      <c r="V445" s="144"/>
      <c r="W445" s="144"/>
      <c r="X445" s="144"/>
      <c r="Y445" s="144"/>
      <c r="Z445" s="144"/>
    </row>
    <row r="446" spans="1:26" ht="18.75">
      <c r="A446" s="144"/>
      <c r="B446" s="141"/>
      <c r="C446" s="142"/>
      <c r="D446" s="143"/>
      <c r="E446" s="143"/>
      <c r="F446" s="144"/>
      <c r="G446" s="151"/>
      <c r="H446" s="151"/>
      <c r="I446" s="144"/>
      <c r="J446" s="144"/>
      <c r="K446" s="144"/>
      <c r="L446" s="144"/>
      <c r="M446" s="144"/>
      <c r="N446" s="144"/>
      <c r="O446" s="144"/>
      <c r="P446" s="144"/>
      <c r="Q446" s="144"/>
      <c r="R446" s="144"/>
      <c r="S446" s="144"/>
      <c r="T446" s="144"/>
      <c r="U446" s="144"/>
      <c r="V446" s="144"/>
      <c r="W446" s="144"/>
      <c r="X446" s="144"/>
      <c r="Y446" s="144"/>
      <c r="Z446" s="144"/>
    </row>
    <row r="447" spans="1:26" ht="18.75">
      <c r="A447" s="144"/>
      <c r="B447" s="141"/>
      <c r="C447" s="142"/>
      <c r="D447" s="143"/>
      <c r="E447" s="143"/>
      <c r="F447" s="144"/>
      <c r="G447" s="153"/>
      <c r="H447" s="153"/>
      <c r="I447" s="144"/>
      <c r="J447" s="144"/>
      <c r="K447" s="144"/>
      <c r="L447" s="144"/>
      <c r="M447" s="144"/>
      <c r="N447" s="144"/>
      <c r="O447" s="144"/>
      <c r="P447" s="144"/>
      <c r="Q447" s="144"/>
      <c r="R447" s="144"/>
      <c r="S447" s="144"/>
      <c r="T447" s="144"/>
      <c r="U447" s="144"/>
      <c r="V447" s="144"/>
      <c r="W447" s="144"/>
      <c r="X447" s="144"/>
      <c r="Y447" s="144"/>
      <c r="Z447" s="144"/>
    </row>
    <row r="448" spans="1:26" ht="18.75">
      <c r="A448" s="144"/>
      <c r="B448" s="141"/>
      <c r="C448" s="142"/>
      <c r="D448" s="143"/>
      <c r="E448" s="143"/>
      <c r="F448" s="144"/>
      <c r="G448" s="151"/>
      <c r="H448" s="151"/>
      <c r="I448" s="144"/>
      <c r="J448" s="144"/>
      <c r="K448" s="144"/>
      <c r="L448" s="144"/>
      <c r="M448" s="144"/>
      <c r="N448" s="144"/>
      <c r="O448" s="144"/>
      <c r="P448" s="144"/>
      <c r="Q448" s="144"/>
      <c r="R448" s="144"/>
      <c r="S448" s="144"/>
      <c r="T448" s="144"/>
      <c r="U448" s="144"/>
      <c r="V448" s="144"/>
      <c r="W448" s="144"/>
      <c r="X448" s="144"/>
      <c r="Y448" s="144"/>
      <c r="Z448" s="144"/>
    </row>
    <row r="449" spans="1:26" ht="18.75">
      <c r="A449" s="144"/>
      <c r="B449" s="141"/>
      <c r="C449" s="142"/>
      <c r="D449" s="143"/>
      <c r="E449" s="143"/>
      <c r="F449" s="144"/>
      <c r="G449" s="153"/>
      <c r="H449" s="153"/>
      <c r="I449" s="144"/>
      <c r="J449" s="144"/>
      <c r="K449" s="144"/>
      <c r="L449" s="144"/>
      <c r="M449" s="144"/>
      <c r="N449" s="144"/>
      <c r="O449" s="144"/>
      <c r="P449" s="144"/>
      <c r="Q449" s="144"/>
      <c r="R449" s="144"/>
      <c r="S449" s="144"/>
      <c r="T449" s="144"/>
      <c r="U449" s="144"/>
      <c r="V449" s="144"/>
      <c r="W449" s="144"/>
      <c r="X449" s="144"/>
      <c r="Y449" s="144"/>
      <c r="Z449" s="144"/>
    </row>
    <row r="450" spans="1:26" ht="18.75">
      <c r="A450" s="144"/>
      <c r="B450" s="141"/>
      <c r="C450" s="142"/>
      <c r="D450" s="143"/>
      <c r="E450" s="143"/>
      <c r="F450" s="144"/>
      <c r="G450" s="151"/>
      <c r="H450" s="151"/>
      <c r="I450" s="144"/>
      <c r="J450" s="144"/>
      <c r="K450" s="144"/>
      <c r="L450" s="144"/>
      <c r="M450" s="144"/>
      <c r="N450" s="144"/>
      <c r="O450" s="144"/>
      <c r="P450" s="144"/>
      <c r="Q450" s="144"/>
      <c r="R450" s="144"/>
      <c r="S450" s="144"/>
      <c r="T450" s="144"/>
      <c r="U450" s="144"/>
      <c r="V450" s="144"/>
      <c r="W450" s="144"/>
      <c r="X450" s="144"/>
      <c r="Y450" s="144"/>
      <c r="Z450" s="144"/>
    </row>
    <row r="451" spans="1:26" ht="18.75">
      <c r="A451" s="144"/>
      <c r="B451" s="141"/>
      <c r="C451" s="142"/>
      <c r="D451" s="143"/>
      <c r="E451" s="143"/>
      <c r="F451" s="144"/>
      <c r="G451" s="153"/>
      <c r="H451" s="153"/>
      <c r="I451" s="144"/>
      <c r="J451" s="144"/>
      <c r="K451" s="144"/>
      <c r="L451" s="144"/>
      <c r="M451" s="144"/>
      <c r="N451" s="144"/>
      <c r="O451" s="144"/>
      <c r="P451" s="144"/>
      <c r="Q451" s="144"/>
      <c r="R451" s="144"/>
      <c r="S451" s="144"/>
      <c r="T451" s="144"/>
      <c r="U451" s="144"/>
      <c r="V451" s="144"/>
      <c r="W451" s="144"/>
      <c r="X451" s="144"/>
      <c r="Y451" s="144"/>
      <c r="Z451" s="144"/>
    </row>
    <row r="452" spans="1:26" ht="18.75">
      <c r="A452" s="144"/>
      <c r="B452" s="141"/>
      <c r="C452" s="142"/>
      <c r="D452" s="143"/>
      <c r="E452" s="143"/>
      <c r="F452" s="144"/>
      <c r="G452" s="151"/>
      <c r="H452" s="151"/>
      <c r="I452" s="144"/>
      <c r="J452" s="144"/>
      <c r="K452" s="144"/>
      <c r="L452" s="144"/>
      <c r="M452" s="144"/>
      <c r="N452" s="144"/>
      <c r="O452" s="144"/>
      <c r="P452" s="144"/>
      <c r="Q452" s="144"/>
      <c r="R452" s="144"/>
      <c r="S452" s="144"/>
      <c r="T452" s="144"/>
      <c r="U452" s="144"/>
      <c r="V452" s="144"/>
      <c r="W452" s="144"/>
      <c r="X452" s="144"/>
      <c r="Y452" s="144"/>
      <c r="Z452" s="144"/>
    </row>
    <row r="453" spans="1:26" ht="18.75">
      <c r="A453" s="144"/>
      <c r="B453" s="141"/>
      <c r="C453" s="142"/>
      <c r="D453" s="143"/>
      <c r="E453" s="143"/>
      <c r="F453" s="144"/>
      <c r="G453" s="153"/>
      <c r="H453" s="153"/>
      <c r="I453" s="144"/>
      <c r="J453" s="144"/>
      <c r="K453" s="144"/>
      <c r="L453" s="144"/>
      <c r="M453" s="144"/>
      <c r="N453" s="144"/>
      <c r="O453" s="144"/>
      <c r="P453" s="144"/>
      <c r="Q453" s="144"/>
      <c r="R453" s="144"/>
      <c r="S453" s="144"/>
      <c r="T453" s="144"/>
      <c r="U453" s="144"/>
      <c r="V453" s="144"/>
      <c r="W453" s="144"/>
      <c r="X453" s="144"/>
      <c r="Y453" s="144"/>
      <c r="Z453" s="144"/>
    </row>
    <row r="454" spans="1:26" ht="18.75">
      <c r="A454" s="144"/>
      <c r="B454" s="141"/>
      <c r="C454" s="142"/>
      <c r="D454" s="143"/>
      <c r="E454" s="143"/>
      <c r="F454" s="144"/>
      <c r="G454" s="151"/>
      <c r="H454" s="151"/>
      <c r="I454" s="144"/>
      <c r="J454" s="144"/>
      <c r="K454" s="144"/>
      <c r="L454" s="144"/>
      <c r="M454" s="144"/>
      <c r="N454" s="144"/>
      <c r="O454" s="144"/>
      <c r="P454" s="144"/>
      <c r="Q454" s="144"/>
      <c r="R454" s="144"/>
      <c r="S454" s="144"/>
      <c r="T454" s="144"/>
      <c r="U454" s="144"/>
      <c r="V454" s="144"/>
      <c r="W454" s="144"/>
      <c r="X454" s="144"/>
      <c r="Y454" s="144"/>
      <c r="Z454" s="144"/>
    </row>
    <row r="455" spans="1:26" ht="18.75">
      <c r="A455" s="144"/>
      <c r="B455" s="141"/>
      <c r="C455" s="142"/>
      <c r="D455" s="143"/>
      <c r="E455" s="143"/>
      <c r="F455" s="144"/>
      <c r="G455" s="153"/>
      <c r="H455" s="153"/>
      <c r="I455" s="144"/>
      <c r="J455" s="144"/>
      <c r="K455" s="144"/>
      <c r="L455" s="144"/>
      <c r="M455" s="144"/>
      <c r="N455" s="144"/>
      <c r="O455" s="144"/>
      <c r="P455" s="144"/>
      <c r="Q455" s="144"/>
      <c r="R455" s="144"/>
      <c r="S455" s="144"/>
      <c r="T455" s="144"/>
      <c r="U455" s="144"/>
      <c r="V455" s="144"/>
      <c r="W455" s="144"/>
      <c r="X455" s="144"/>
      <c r="Y455" s="144"/>
      <c r="Z455" s="144"/>
    </row>
    <row r="456" spans="1:26" ht="18.75">
      <c r="A456" s="144"/>
      <c r="B456" s="141"/>
      <c r="C456" s="142"/>
      <c r="D456" s="143"/>
      <c r="E456" s="143"/>
      <c r="F456" s="144"/>
      <c r="G456" s="151"/>
      <c r="H456" s="151"/>
      <c r="I456" s="144"/>
      <c r="J456" s="144"/>
      <c r="K456" s="144"/>
      <c r="L456" s="144"/>
      <c r="M456" s="144"/>
      <c r="N456" s="144"/>
      <c r="O456" s="144"/>
      <c r="P456" s="144"/>
      <c r="Q456" s="144"/>
      <c r="R456" s="144"/>
      <c r="S456" s="144"/>
      <c r="T456" s="144"/>
      <c r="U456" s="144"/>
      <c r="V456" s="144"/>
      <c r="W456" s="144"/>
      <c r="X456" s="144"/>
      <c r="Y456" s="144"/>
      <c r="Z456" s="144"/>
    </row>
    <row r="457" spans="1:26" ht="18.75">
      <c r="A457" s="144"/>
      <c r="B457" s="141"/>
      <c r="C457" s="142"/>
      <c r="D457" s="143"/>
      <c r="E457" s="143"/>
      <c r="F457" s="144"/>
      <c r="G457" s="153"/>
      <c r="H457" s="153"/>
      <c r="I457" s="144"/>
      <c r="J457" s="144"/>
      <c r="K457" s="144"/>
      <c r="L457" s="144"/>
      <c r="M457" s="144"/>
      <c r="N457" s="144"/>
      <c r="O457" s="144"/>
      <c r="P457" s="144"/>
      <c r="Q457" s="144"/>
      <c r="R457" s="144"/>
      <c r="S457" s="144"/>
      <c r="T457" s="144"/>
      <c r="U457" s="144"/>
      <c r="V457" s="144"/>
      <c r="W457" s="144"/>
      <c r="X457" s="144"/>
      <c r="Y457" s="144"/>
      <c r="Z457" s="144"/>
    </row>
    <row r="458" spans="1:26" ht="18.75">
      <c r="A458" s="144"/>
      <c r="B458" s="141"/>
      <c r="C458" s="142"/>
      <c r="D458" s="143"/>
      <c r="E458" s="143"/>
      <c r="F458" s="144"/>
      <c r="G458" s="151"/>
      <c r="H458" s="151"/>
      <c r="I458" s="144"/>
      <c r="J458" s="144"/>
      <c r="K458" s="144"/>
      <c r="L458" s="144"/>
      <c r="M458" s="144"/>
      <c r="N458" s="144"/>
      <c r="O458" s="144"/>
      <c r="P458" s="144"/>
      <c r="Q458" s="144"/>
      <c r="R458" s="144"/>
      <c r="S458" s="144"/>
      <c r="T458" s="144"/>
      <c r="U458" s="144"/>
      <c r="V458" s="144"/>
      <c r="W458" s="144"/>
      <c r="X458" s="144"/>
      <c r="Y458" s="144"/>
      <c r="Z458" s="144"/>
    </row>
    <row r="459" spans="1:26" ht="18.75">
      <c r="A459" s="144"/>
      <c r="B459" s="141"/>
      <c r="C459" s="142"/>
      <c r="D459" s="143"/>
      <c r="E459" s="143"/>
      <c r="F459" s="144"/>
      <c r="G459" s="153"/>
      <c r="H459" s="153"/>
      <c r="I459" s="144"/>
      <c r="J459" s="144"/>
      <c r="K459" s="144"/>
      <c r="L459" s="144"/>
      <c r="M459" s="144"/>
      <c r="N459" s="144"/>
      <c r="O459" s="144"/>
      <c r="P459" s="144"/>
      <c r="Q459" s="144"/>
      <c r="R459" s="144"/>
      <c r="S459" s="144"/>
      <c r="T459" s="144"/>
      <c r="U459" s="144"/>
      <c r="V459" s="144"/>
      <c r="W459" s="144"/>
      <c r="X459" s="144"/>
      <c r="Y459" s="144"/>
      <c r="Z459" s="144"/>
    </row>
    <row r="460" spans="1:26" ht="18.75">
      <c r="A460" s="144"/>
      <c r="B460" s="141"/>
      <c r="C460" s="142"/>
      <c r="D460" s="143"/>
      <c r="E460" s="143"/>
      <c r="F460" s="144"/>
      <c r="G460" s="151"/>
      <c r="H460" s="151"/>
      <c r="I460" s="144"/>
      <c r="J460" s="144"/>
      <c r="K460" s="144"/>
      <c r="L460" s="144"/>
      <c r="M460" s="144"/>
      <c r="N460" s="144"/>
      <c r="O460" s="144"/>
      <c r="P460" s="144"/>
      <c r="Q460" s="144"/>
      <c r="R460" s="144"/>
      <c r="S460" s="144"/>
      <c r="T460" s="144"/>
      <c r="U460" s="144"/>
      <c r="V460" s="144"/>
      <c r="W460" s="144"/>
      <c r="X460" s="144"/>
      <c r="Y460" s="144"/>
      <c r="Z460" s="144"/>
    </row>
    <row r="461" spans="1:26" ht="18.75">
      <c r="A461" s="144"/>
      <c r="B461" s="141"/>
      <c r="C461" s="142"/>
      <c r="D461" s="143"/>
      <c r="E461" s="143"/>
      <c r="F461" s="144"/>
      <c r="G461" s="153"/>
      <c r="H461" s="153"/>
      <c r="I461" s="144"/>
      <c r="J461" s="144"/>
      <c r="K461" s="144"/>
      <c r="L461" s="144"/>
      <c r="M461" s="144"/>
      <c r="N461" s="144"/>
      <c r="O461" s="144"/>
      <c r="P461" s="144"/>
      <c r="Q461" s="144"/>
      <c r="R461" s="144"/>
      <c r="S461" s="144"/>
      <c r="T461" s="144"/>
      <c r="U461" s="144"/>
      <c r="V461" s="144"/>
      <c r="W461" s="144"/>
      <c r="X461" s="144"/>
      <c r="Y461" s="144"/>
      <c r="Z461" s="144"/>
    </row>
    <row r="462" spans="1:26" ht="18.75">
      <c r="A462" s="144"/>
      <c r="B462" s="141"/>
      <c r="C462" s="142"/>
      <c r="D462" s="143"/>
      <c r="E462" s="143"/>
      <c r="F462" s="144"/>
      <c r="G462" s="151"/>
      <c r="H462" s="151"/>
      <c r="I462" s="144"/>
      <c r="J462" s="144"/>
      <c r="K462" s="144"/>
      <c r="L462" s="144"/>
      <c r="M462" s="144"/>
      <c r="N462" s="144"/>
      <c r="O462" s="144"/>
      <c r="P462" s="144"/>
      <c r="Q462" s="144"/>
      <c r="R462" s="144"/>
      <c r="S462" s="144"/>
      <c r="T462" s="144"/>
      <c r="U462" s="144"/>
      <c r="V462" s="144"/>
      <c r="W462" s="144"/>
      <c r="X462" s="144"/>
      <c r="Y462" s="144"/>
      <c r="Z462" s="144"/>
    </row>
    <row r="463" spans="1:26" ht="18.75">
      <c r="A463" s="144"/>
      <c r="B463" s="141"/>
      <c r="C463" s="142"/>
      <c r="D463" s="143"/>
      <c r="E463" s="143"/>
      <c r="F463" s="144"/>
      <c r="G463" s="153"/>
      <c r="H463" s="153"/>
      <c r="I463" s="144"/>
      <c r="J463" s="144"/>
      <c r="K463" s="144"/>
      <c r="L463" s="144"/>
      <c r="M463" s="144"/>
      <c r="N463" s="144"/>
      <c r="O463" s="144"/>
      <c r="P463" s="144"/>
      <c r="Q463" s="144"/>
      <c r="R463" s="144"/>
      <c r="S463" s="144"/>
      <c r="T463" s="144"/>
      <c r="U463" s="144"/>
      <c r="V463" s="144"/>
      <c r="W463" s="144"/>
      <c r="X463" s="144"/>
      <c r="Y463" s="144"/>
      <c r="Z463" s="144"/>
    </row>
    <row r="464" spans="1:26" ht="18.75">
      <c r="A464" s="144"/>
      <c r="B464" s="141"/>
      <c r="C464" s="142"/>
      <c r="D464" s="143"/>
      <c r="E464" s="143"/>
      <c r="F464" s="144"/>
      <c r="G464" s="151"/>
      <c r="H464" s="151"/>
      <c r="I464" s="144"/>
      <c r="J464" s="144"/>
      <c r="K464" s="144"/>
      <c r="L464" s="144"/>
      <c r="M464" s="144"/>
      <c r="N464" s="144"/>
      <c r="O464" s="144"/>
      <c r="P464" s="144"/>
      <c r="Q464" s="144"/>
      <c r="R464" s="144"/>
      <c r="S464" s="144"/>
      <c r="T464" s="144"/>
      <c r="U464" s="144"/>
      <c r="V464" s="144"/>
      <c r="W464" s="144"/>
      <c r="X464" s="144"/>
      <c r="Y464" s="144"/>
      <c r="Z464" s="144"/>
    </row>
    <row r="465" spans="1:26" ht="18.75">
      <c r="A465" s="144"/>
      <c r="B465" s="141"/>
      <c r="C465" s="142"/>
      <c r="D465" s="143"/>
      <c r="E465" s="143"/>
      <c r="F465" s="144"/>
      <c r="G465" s="153"/>
      <c r="H465" s="153"/>
      <c r="I465" s="144"/>
      <c r="J465" s="144"/>
      <c r="K465" s="144"/>
      <c r="L465" s="144"/>
      <c r="M465" s="144"/>
      <c r="N465" s="144"/>
      <c r="O465" s="144"/>
      <c r="P465" s="144"/>
      <c r="Q465" s="144"/>
      <c r="R465" s="144"/>
      <c r="S465" s="144"/>
      <c r="T465" s="144"/>
      <c r="U465" s="144"/>
      <c r="V465" s="144"/>
      <c r="W465" s="144"/>
      <c r="X465" s="144"/>
      <c r="Y465" s="144"/>
      <c r="Z465" s="144"/>
    </row>
    <row r="466" spans="1:26" ht="18.75">
      <c r="A466" s="144"/>
      <c r="B466" s="141"/>
      <c r="C466" s="142"/>
      <c r="D466" s="143"/>
      <c r="E466" s="143"/>
      <c r="F466" s="144"/>
      <c r="G466" s="151"/>
      <c r="H466" s="151"/>
      <c r="I466" s="144"/>
      <c r="J466" s="144"/>
      <c r="K466" s="144"/>
      <c r="L466" s="144"/>
      <c r="M466" s="144"/>
      <c r="N466" s="144"/>
      <c r="O466" s="144"/>
      <c r="P466" s="144"/>
      <c r="Q466" s="144"/>
      <c r="R466" s="144"/>
      <c r="S466" s="144"/>
      <c r="T466" s="144"/>
      <c r="U466" s="144"/>
      <c r="V466" s="144"/>
      <c r="W466" s="144"/>
      <c r="X466" s="144"/>
      <c r="Y466" s="144"/>
      <c r="Z466" s="144"/>
    </row>
    <row r="467" spans="1:26" ht="18.75">
      <c r="A467" s="144"/>
      <c r="B467" s="141"/>
      <c r="C467" s="142"/>
      <c r="D467" s="143"/>
      <c r="E467" s="143"/>
      <c r="F467" s="144"/>
      <c r="G467" s="153"/>
      <c r="H467" s="153"/>
      <c r="I467" s="144"/>
      <c r="J467" s="144"/>
      <c r="K467" s="144"/>
      <c r="L467" s="144"/>
      <c r="M467" s="144"/>
      <c r="N467" s="144"/>
      <c r="O467" s="144"/>
      <c r="P467" s="144"/>
      <c r="Q467" s="144"/>
      <c r="R467" s="144"/>
      <c r="S467" s="144"/>
      <c r="T467" s="144"/>
      <c r="U467" s="144"/>
      <c r="V467" s="144"/>
      <c r="W467" s="144"/>
      <c r="X467" s="144"/>
      <c r="Y467" s="144"/>
      <c r="Z467" s="144"/>
    </row>
    <row r="468" spans="1:26" ht="18.75">
      <c r="A468" s="144"/>
      <c r="B468" s="141"/>
      <c r="C468" s="142"/>
      <c r="D468" s="143"/>
      <c r="E468" s="143"/>
      <c r="F468" s="144"/>
      <c r="G468" s="151"/>
      <c r="H468" s="151"/>
      <c r="I468" s="144"/>
      <c r="J468" s="144"/>
      <c r="K468" s="144"/>
      <c r="L468" s="144"/>
      <c r="M468" s="144"/>
      <c r="N468" s="144"/>
      <c r="O468" s="144"/>
      <c r="P468" s="144"/>
      <c r="Q468" s="144"/>
      <c r="R468" s="144"/>
      <c r="S468" s="144"/>
      <c r="T468" s="144"/>
      <c r="U468" s="144"/>
      <c r="V468" s="144"/>
      <c r="W468" s="144"/>
      <c r="X468" s="144"/>
      <c r="Y468" s="144"/>
      <c r="Z468" s="144"/>
    </row>
    <row r="469" spans="1:26" ht="18.75">
      <c r="A469" s="144"/>
      <c r="B469" s="141"/>
      <c r="C469" s="142"/>
      <c r="D469" s="143"/>
      <c r="E469" s="143"/>
      <c r="F469" s="144"/>
      <c r="G469" s="153"/>
      <c r="H469" s="153"/>
      <c r="I469" s="144"/>
      <c r="J469" s="144"/>
      <c r="K469" s="144"/>
      <c r="L469" s="144"/>
      <c r="M469" s="144"/>
      <c r="N469" s="144"/>
      <c r="O469" s="144"/>
      <c r="P469" s="144"/>
      <c r="Q469" s="144"/>
      <c r="R469" s="144"/>
      <c r="S469" s="144"/>
      <c r="T469" s="144"/>
      <c r="U469" s="144"/>
      <c r="V469" s="144"/>
      <c r="W469" s="144"/>
      <c r="X469" s="144"/>
      <c r="Y469" s="144"/>
      <c r="Z469" s="144"/>
    </row>
    <row r="470" spans="1:26" ht="18.75">
      <c r="A470" s="144"/>
      <c r="B470" s="141"/>
      <c r="C470" s="142"/>
      <c r="D470" s="143"/>
      <c r="E470" s="143"/>
      <c r="F470" s="144"/>
      <c r="G470" s="151"/>
      <c r="H470" s="151"/>
      <c r="I470" s="144"/>
      <c r="J470" s="144"/>
      <c r="K470" s="144"/>
      <c r="L470" s="144"/>
      <c r="M470" s="144"/>
      <c r="N470" s="144"/>
      <c r="O470" s="144"/>
      <c r="P470" s="144"/>
      <c r="Q470" s="144"/>
      <c r="R470" s="144"/>
      <c r="S470" s="144"/>
      <c r="T470" s="144"/>
      <c r="U470" s="144"/>
      <c r="V470" s="144"/>
      <c r="W470" s="144"/>
      <c r="X470" s="144"/>
      <c r="Y470" s="144"/>
      <c r="Z470" s="144"/>
    </row>
    <row r="471" spans="1:26" ht="18.75">
      <c r="A471" s="144"/>
      <c r="B471" s="141"/>
      <c r="C471" s="142"/>
      <c r="D471" s="143"/>
      <c r="E471" s="143"/>
      <c r="F471" s="144"/>
      <c r="G471" s="153"/>
      <c r="H471" s="153"/>
      <c r="I471" s="144"/>
      <c r="J471" s="144"/>
      <c r="K471" s="144"/>
      <c r="L471" s="144"/>
      <c r="M471" s="144"/>
      <c r="N471" s="144"/>
      <c r="O471" s="144"/>
      <c r="P471" s="144"/>
      <c r="Q471" s="144"/>
      <c r="R471" s="144"/>
      <c r="S471" s="144"/>
      <c r="T471" s="144"/>
      <c r="U471" s="144"/>
      <c r="V471" s="144"/>
      <c r="W471" s="144"/>
      <c r="X471" s="144"/>
      <c r="Y471" s="144"/>
      <c r="Z471" s="144"/>
    </row>
    <row r="472" spans="1:26" ht="18.75">
      <c r="A472" s="144"/>
      <c r="B472" s="141"/>
      <c r="C472" s="142"/>
      <c r="D472" s="143"/>
      <c r="E472" s="143"/>
      <c r="F472" s="144"/>
      <c r="G472" s="151"/>
      <c r="H472" s="151"/>
      <c r="I472" s="144"/>
      <c r="J472" s="144"/>
      <c r="K472" s="144"/>
      <c r="L472" s="144"/>
      <c r="M472" s="144"/>
      <c r="N472" s="144"/>
      <c r="O472" s="144"/>
      <c r="P472" s="144"/>
      <c r="Q472" s="144"/>
      <c r="R472" s="144"/>
      <c r="S472" s="144"/>
      <c r="T472" s="144"/>
      <c r="U472" s="144"/>
      <c r="V472" s="144"/>
      <c r="W472" s="144"/>
      <c r="X472" s="144"/>
      <c r="Y472" s="144"/>
      <c r="Z472" s="144"/>
    </row>
    <row r="473" spans="1:26" ht="18.75">
      <c r="A473" s="144"/>
      <c r="B473" s="141"/>
      <c r="C473" s="142"/>
      <c r="D473" s="143"/>
      <c r="E473" s="143"/>
      <c r="F473" s="144"/>
      <c r="G473" s="153"/>
      <c r="H473" s="153"/>
      <c r="I473" s="144"/>
      <c r="J473" s="144"/>
      <c r="K473" s="144"/>
      <c r="L473" s="144"/>
      <c r="M473" s="144"/>
      <c r="N473" s="144"/>
      <c r="O473" s="144"/>
      <c r="P473" s="144"/>
      <c r="Q473" s="144"/>
      <c r="R473" s="144"/>
      <c r="S473" s="144"/>
      <c r="T473" s="144"/>
      <c r="U473" s="144"/>
      <c r="V473" s="144"/>
      <c r="W473" s="144"/>
      <c r="X473" s="144"/>
      <c r="Y473" s="144"/>
      <c r="Z473" s="144"/>
    </row>
    <row r="474" spans="1:26" ht="18.75">
      <c r="A474" s="144"/>
      <c r="B474" s="141"/>
      <c r="C474" s="142"/>
      <c r="D474" s="143"/>
      <c r="E474" s="143"/>
      <c r="F474" s="144"/>
      <c r="G474" s="151"/>
      <c r="H474" s="151"/>
      <c r="I474" s="144"/>
      <c r="J474" s="144"/>
      <c r="K474" s="144"/>
      <c r="L474" s="144"/>
      <c r="M474" s="144"/>
      <c r="N474" s="144"/>
      <c r="O474" s="144"/>
      <c r="P474" s="144"/>
      <c r="Q474" s="144"/>
      <c r="R474" s="144"/>
      <c r="S474" s="144"/>
      <c r="T474" s="144"/>
      <c r="U474" s="144"/>
      <c r="V474" s="144"/>
      <c r="W474" s="144"/>
      <c r="X474" s="144"/>
      <c r="Y474" s="144"/>
      <c r="Z474" s="144"/>
    </row>
    <row r="475" spans="1:26" ht="18.75">
      <c r="A475" s="144"/>
      <c r="B475" s="141"/>
      <c r="C475" s="142"/>
      <c r="D475" s="143"/>
      <c r="E475" s="143"/>
      <c r="F475" s="144"/>
      <c r="G475" s="153"/>
      <c r="H475" s="153"/>
      <c r="I475" s="144"/>
      <c r="J475" s="144"/>
      <c r="K475" s="144"/>
      <c r="L475" s="144"/>
      <c r="M475" s="144"/>
      <c r="N475" s="144"/>
      <c r="O475" s="144"/>
      <c r="P475" s="144"/>
      <c r="Q475" s="144"/>
      <c r="R475" s="144"/>
      <c r="S475" s="144"/>
      <c r="T475" s="144"/>
      <c r="U475" s="144"/>
      <c r="V475" s="144"/>
      <c r="W475" s="144"/>
      <c r="X475" s="144"/>
      <c r="Y475" s="144"/>
      <c r="Z475" s="144"/>
    </row>
    <row r="476" spans="1:26" ht="18.75">
      <c r="A476" s="144"/>
      <c r="B476" s="141"/>
      <c r="C476" s="142"/>
      <c r="D476" s="143"/>
      <c r="E476" s="143"/>
      <c r="F476" s="144"/>
      <c r="G476" s="151"/>
      <c r="H476" s="151"/>
      <c r="I476" s="144"/>
      <c r="J476" s="144"/>
      <c r="K476" s="144"/>
      <c r="L476" s="144"/>
      <c r="M476" s="144"/>
      <c r="N476" s="144"/>
      <c r="O476" s="144"/>
      <c r="P476" s="144"/>
      <c r="Q476" s="144"/>
      <c r="R476" s="144"/>
      <c r="S476" s="144"/>
      <c r="T476" s="144"/>
      <c r="U476" s="144"/>
      <c r="V476" s="144"/>
      <c r="W476" s="144"/>
      <c r="X476" s="144"/>
      <c r="Y476" s="144"/>
      <c r="Z476" s="144"/>
    </row>
    <row r="477" spans="1:26" ht="18.75">
      <c r="A477" s="144"/>
      <c r="B477" s="141"/>
      <c r="C477" s="142"/>
      <c r="D477" s="143"/>
      <c r="E477" s="143"/>
      <c r="F477" s="144"/>
      <c r="G477" s="153"/>
      <c r="H477" s="153"/>
      <c r="I477" s="144"/>
      <c r="J477" s="144"/>
      <c r="K477" s="144"/>
      <c r="L477" s="144"/>
      <c r="M477" s="144"/>
      <c r="N477" s="144"/>
      <c r="O477" s="144"/>
      <c r="P477" s="144"/>
      <c r="Q477" s="144"/>
      <c r="R477" s="144"/>
      <c r="S477" s="144"/>
      <c r="T477" s="144"/>
      <c r="U477" s="144"/>
      <c r="V477" s="144"/>
      <c r="W477" s="144"/>
      <c r="X477" s="144"/>
      <c r="Y477" s="144"/>
      <c r="Z477" s="144"/>
    </row>
    <row r="478" spans="1:26" ht="18.75">
      <c r="A478" s="144"/>
      <c r="B478" s="141"/>
      <c r="C478" s="142"/>
      <c r="D478" s="143"/>
      <c r="E478" s="143"/>
      <c r="F478" s="144"/>
      <c r="G478" s="151"/>
      <c r="H478" s="151"/>
      <c r="I478" s="144"/>
      <c r="J478" s="144"/>
      <c r="K478" s="144"/>
      <c r="L478" s="144"/>
      <c r="M478" s="144"/>
      <c r="N478" s="144"/>
      <c r="O478" s="144"/>
      <c r="P478" s="144"/>
      <c r="Q478" s="144"/>
      <c r="R478" s="144"/>
      <c r="S478" s="144"/>
      <c r="T478" s="144"/>
      <c r="U478" s="144"/>
      <c r="V478" s="144"/>
      <c r="W478" s="144"/>
      <c r="X478" s="144"/>
      <c r="Y478" s="144"/>
      <c r="Z478" s="144"/>
    </row>
    <row r="479" spans="1:26" ht="18.75">
      <c r="A479" s="144"/>
      <c r="B479" s="141"/>
      <c r="C479" s="142"/>
      <c r="D479" s="143"/>
      <c r="E479" s="143"/>
      <c r="F479" s="144"/>
      <c r="G479" s="153"/>
      <c r="H479" s="153"/>
      <c r="I479" s="144"/>
      <c r="J479" s="144"/>
      <c r="K479" s="144"/>
      <c r="L479" s="144"/>
      <c r="M479" s="144"/>
      <c r="N479" s="144"/>
      <c r="O479" s="144"/>
      <c r="P479" s="144"/>
      <c r="Q479" s="144"/>
      <c r="R479" s="144"/>
      <c r="S479" s="144"/>
      <c r="T479" s="144"/>
      <c r="U479" s="144"/>
      <c r="V479" s="144"/>
      <c r="W479" s="144"/>
      <c r="X479" s="144"/>
      <c r="Y479" s="144"/>
      <c r="Z479" s="144"/>
    </row>
    <row r="480" spans="1:26" ht="18.75">
      <c r="A480" s="144"/>
      <c r="B480" s="141"/>
      <c r="C480" s="142"/>
      <c r="D480" s="143"/>
      <c r="E480" s="143"/>
      <c r="F480" s="144"/>
      <c r="G480" s="151"/>
      <c r="H480" s="151"/>
      <c r="I480" s="144"/>
      <c r="J480" s="144"/>
      <c r="K480" s="144"/>
      <c r="L480" s="144"/>
      <c r="M480" s="144"/>
      <c r="N480" s="144"/>
      <c r="O480" s="144"/>
      <c r="P480" s="144"/>
      <c r="Q480" s="144"/>
      <c r="R480" s="144"/>
      <c r="S480" s="144"/>
      <c r="T480" s="144"/>
      <c r="U480" s="144"/>
      <c r="V480" s="144"/>
      <c r="W480" s="144"/>
      <c r="X480" s="144"/>
      <c r="Y480" s="144"/>
      <c r="Z480" s="144"/>
    </row>
    <row r="481" spans="1:26" ht="18.75">
      <c r="A481" s="144"/>
      <c r="B481" s="141"/>
      <c r="C481" s="142"/>
      <c r="D481" s="143"/>
      <c r="E481" s="143"/>
      <c r="F481" s="144"/>
      <c r="G481" s="153"/>
      <c r="H481" s="153"/>
      <c r="I481" s="144"/>
      <c r="J481" s="144"/>
      <c r="K481" s="144"/>
      <c r="L481" s="144"/>
      <c r="M481" s="144"/>
      <c r="N481" s="144"/>
      <c r="O481" s="144"/>
      <c r="P481" s="144"/>
      <c r="Q481" s="144"/>
      <c r="R481" s="144"/>
      <c r="S481" s="144"/>
      <c r="T481" s="144"/>
      <c r="U481" s="144"/>
      <c r="V481" s="144"/>
      <c r="W481" s="144"/>
      <c r="X481" s="144"/>
      <c r="Y481" s="144"/>
      <c r="Z481" s="144"/>
    </row>
    <row r="482" spans="1:26" ht="18.75">
      <c r="A482" s="144"/>
      <c r="B482" s="141"/>
      <c r="C482" s="142"/>
      <c r="D482" s="143"/>
      <c r="E482" s="143"/>
      <c r="F482" s="144"/>
      <c r="G482" s="151"/>
      <c r="H482" s="151"/>
      <c r="I482" s="144"/>
      <c r="J482" s="144"/>
      <c r="K482" s="144"/>
      <c r="L482" s="144"/>
      <c r="M482" s="144"/>
      <c r="N482" s="144"/>
      <c r="O482" s="144"/>
      <c r="P482" s="144"/>
      <c r="Q482" s="144"/>
      <c r="R482" s="144"/>
      <c r="S482" s="144"/>
      <c r="T482" s="144"/>
      <c r="U482" s="144"/>
      <c r="V482" s="144"/>
      <c r="W482" s="144"/>
      <c r="X482" s="144"/>
      <c r="Y482" s="144"/>
      <c r="Z482" s="144"/>
    </row>
    <row r="483" spans="1:26" ht="18.75">
      <c r="A483" s="144"/>
      <c r="B483" s="141"/>
      <c r="C483" s="142"/>
      <c r="D483" s="143"/>
      <c r="E483" s="143"/>
      <c r="F483" s="144"/>
      <c r="G483" s="153"/>
      <c r="H483" s="153"/>
      <c r="I483" s="144"/>
      <c r="J483" s="144"/>
      <c r="K483" s="144"/>
      <c r="L483" s="144"/>
      <c r="M483" s="144"/>
      <c r="N483" s="144"/>
      <c r="O483" s="144"/>
      <c r="P483" s="144"/>
      <c r="Q483" s="144"/>
      <c r="R483" s="144"/>
      <c r="S483" s="144"/>
      <c r="T483" s="144"/>
      <c r="U483" s="144"/>
      <c r="V483" s="144"/>
      <c r="W483" s="144"/>
      <c r="X483" s="144"/>
      <c r="Y483" s="144"/>
      <c r="Z483" s="144"/>
    </row>
    <row r="484" spans="1:26" ht="18.75">
      <c r="A484" s="144"/>
      <c r="B484" s="141"/>
      <c r="C484" s="142"/>
      <c r="D484" s="143"/>
      <c r="E484" s="143"/>
      <c r="F484" s="144"/>
      <c r="G484" s="151"/>
      <c r="H484" s="151"/>
      <c r="I484" s="144"/>
      <c r="J484" s="144"/>
      <c r="K484" s="144"/>
      <c r="L484" s="144"/>
      <c r="M484" s="144"/>
      <c r="N484" s="144"/>
      <c r="O484" s="144"/>
      <c r="P484" s="144"/>
      <c r="Q484" s="144"/>
      <c r="R484" s="144"/>
      <c r="S484" s="144"/>
      <c r="T484" s="144"/>
      <c r="U484" s="144"/>
      <c r="V484" s="144"/>
      <c r="W484" s="144"/>
      <c r="X484" s="144"/>
      <c r="Y484" s="144"/>
      <c r="Z484" s="144"/>
    </row>
    <row r="485" spans="1:26" ht="18.75">
      <c r="A485" s="144"/>
      <c r="B485" s="141"/>
      <c r="C485" s="142"/>
      <c r="D485" s="143"/>
      <c r="E485" s="143"/>
      <c r="F485" s="144"/>
      <c r="G485" s="153"/>
      <c r="H485" s="153"/>
      <c r="I485" s="144"/>
      <c r="J485" s="144"/>
      <c r="K485" s="144"/>
      <c r="L485" s="144"/>
      <c r="M485" s="144"/>
      <c r="N485" s="144"/>
      <c r="O485" s="144"/>
      <c r="P485" s="144"/>
      <c r="Q485" s="144"/>
      <c r="R485" s="144"/>
      <c r="S485" s="144"/>
      <c r="T485" s="144"/>
      <c r="U485" s="144"/>
      <c r="V485" s="144"/>
      <c r="W485" s="144"/>
      <c r="X485" s="144"/>
      <c r="Y485" s="144"/>
      <c r="Z485" s="144"/>
    </row>
    <row r="486" spans="1:26" ht="18.75">
      <c r="A486" s="144"/>
      <c r="B486" s="141"/>
      <c r="C486" s="142"/>
      <c r="D486" s="143"/>
      <c r="E486" s="143"/>
      <c r="F486" s="144"/>
      <c r="G486" s="151"/>
      <c r="H486" s="151"/>
      <c r="I486" s="144"/>
      <c r="J486" s="144"/>
      <c r="K486" s="144"/>
      <c r="L486" s="144"/>
      <c r="M486" s="144"/>
      <c r="N486" s="144"/>
      <c r="O486" s="144"/>
      <c r="P486" s="144"/>
      <c r="Q486" s="144"/>
      <c r="R486" s="144"/>
      <c r="S486" s="144"/>
      <c r="T486" s="144"/>
      <c r="U486" s="144"/>
      <c r="V486" s="144"/>
      <c r="W486" s="144"/>
      <c r="X486" s="144"/>
      <c r="Y486" s="144"/>
      <c r="Z486" s="144"/>
    </row>
    <row r="487" spans="1:26" ht="18.75">
      <c r="A487" s="144"/>
      <c r="B487" s="141"/>
      <c r="C487" s="142"/>
      <c r="D487" s="143"/>
      <c r="E487" s="143"/>
      <c r="F487" s="144"/>
      <c r="G487" s="153"/>
      <c r="H487" s="153"/>
      <c r="I487" s="144"/>
      <c r="J487" s="144"/>
      <c r="K487" s="144"/>
      <c r="L487" s="144"/>
      <c r="M487" s="144"/>
      <c r="N487" s="144"/>
      <c r="O487" s="144"/>
      <c r="P487" s="144"/>
      <c r="Q487" s="144"/>
      <c r="R487" s="144"/>
      <c r="S487" s="144"/>
      <c r="T487" s="144"/>
      <c r="U487" s="144"/>
      <c r="V487" s="144"/>
      <c r="W487" s="144"/>
      <c r="X487" s="144"/>
      <c r="Y487" s="144"/>
      <c r="Z487" s="144"/>
    </row>
    <row r="488" spans="1:26" ht="18.75">
      <c r="A488" s="144"/>
      <c r="B488" s="141"/>
      <c r="C488" s="142"/>
      <c r="D488" s="143"/>
      <c r="E488" s="143"/>
      <c r="F488" s="144"/>
      <c r="G488" s="151"/>
      <c r="H488" s="151"/>
      <c r="I488" s="144"/>
      <c r="J488" s="144"/>
      <c r="K488" s="144"/>
      <c r="L488" s="144"/>
      <c r="M488" s="144"/>
      <c r="N488" s="144"/>
      <c r="O488" s="144"/>
      <c r="P488" s="144"/>
      <c r="Q488" s="144"/>
      <c r="R488" s="144"/>
      <c r="S488" s="144"/>
      <c r="T488" s="144"/>
      <c r="U488" s="144"/>
      <c r="V488" s="144"/>
      <c r="W488" s="144"/>
      <c r="X488" s="144"/>
      <c r="Y488" s="144"/>
      <c r="Z488" s="144"/>
    </row>
    <row r="489" spans="1:26" ht="18.75">
      <c r="A489" s="144"/>
      <c r="B489" s="141"/>
      <c r="C489" s="142"/>
      <c r="D489" s="143"/>
      <c r="E489" s="143"/>
      <c r="F489" s="144"/>
      <c r="G489" s="153"/>
      <c r="H489" s="153"/>
      <c r="I489" s="144"/>
      <c r="J489" s="144"/>
      <c r="K489" s="144"/>
      <c r="L489" s="144"/>
      <c r="M489" s="144"/>
      <c r="N489" s="144"/>
      <c r="O489" s="144"/>
      <c r="P489" s="144"/>
      <c r="Q489" s="144"/>
      <c r="R489" s="144"/>
      <c r="S489" s="144"/>
      <c r="T489" s="144"/>
      <c r="U489" s="144"/>
      <c r="V489" s="144"/>
      <c r="W489" s="144"/>
      <c r="X489" s="144"/>
      <c r="Y489" s="144"/>
      <c r="Z489" s="144"/>
    </row>
    <row r="490" spans="1:26" ht="18.75">
      <c r="A490" s="144"/>
      <c r="B490" s="141"/>
      <c r="C490" s="142"/>
      <c r="D490" s="143"/>
      <c r="E490" s="143"/>
      <c r="F490" s="144"/>
      <c r="G490" s="151"/>
      <c r="H490" s="151"/>
      <c r="I490" s="144"/>
      <c r="J490" s="144"/>
      <c r="K490" s="144"/>
      <c r="L490" s="144"/>
      <c r="M490" s="144"/>
      <c r="N490" s="144"/>
      <c r="O490" s="144"/>
      <c r="P490" s="144"/>
      <c r="Q490" s="144"/>
      <c r="R490" s="144"/>
      <c r="S490" s="144"/>
      <c r="T490" s="144"/>
      <c r="U490" s="144"/>
      <c r="V490" s="144"/>
      <c r="W490" s="144"/>
      <c r="X490" s="144"/>
      <c r="Y490" s="144"/>
      <c r="Z490" s="144"/>
    </row>
    <row r="491" spans="1:26" ht="18.75">
      <c r="A491" s="144"/>
      <c r="B491" s="141"/>
      <c r="C491" s="142"/>
      <c r="D491" s="143"/>
      <c r="E491" s="143"/>
      <c r="F491" s="144"/>
      <c r="G491" s="153"/>
      <c r="H491" s="153"/>
      <c r="I491" s="144"/>
      <c r="J491" s="144"/>
      <c r="K491" s="144"/>
      <c r="L491" s="144"/>
      <c r="M491" s="144"/>
      <c r="N491" s="144"/>
      <c r="O491" s="144"/>
      <c r="P491" s="144"/>
      <c r="Q491" s="144"/>
      <c r="R491" s="144"/>
      <c r="S491" s="144"/>
      <c r="T491" s="144"/>
      <c r="U491" s="144"/>
      <c r="V491" s="144"/>
      <c r="W491" s="144"/>
      <c r="X491" s="144"/>
      <c r="Y491" s="144"/>
      <c r="Z491" s="144"/>
    </row>
    <row r="492" spans="1:26" ht="18.75">
      <c r="A492" s="144"/>
      <c r="B492" s="141"/>
      <c r="C492" s="142"/>
      <c r="D492" s="143"/>
      <c r="E492" s="143"/>
      <c r="F492" s="144"/>
      <c r="G492" s="151"/>
      <c r="H492" s="151"/>
      <c r="I492" s="144"/>
      <c r="J492" s="144"/>
      <c r="K492" s="144"/>
      <c r="L492" s="144"/>
      <c r="M492" s="144"/>
      <c r="N492" s="144"/>
      <c r="O492" s="144"/>
      <c r="P492" s="144"/>
      <c r="Q492" s="144"/>
      <c r="R492" s="144"/>
      <c r="S492" s="144"/>
      <c r="T492" s="144"/>
      <c r="U492" s="144"/>
      <c r="V492" s="144"/>
      <c r="W492" s="144"/>
      <c r="X492" s="144"/>
      <c r="Y492" s="144"/>
      <c r="Z492" s="144"/>
    </row>
    <row r="493" spans="1:26" ht="18.75">
      <c r="A493" s="144"/>
      <c r="B493" s="141"/>
      <c r="C493" s="142"/>
      <c r="D493" s="143"/>
      <c r="E493" s="143"/>
      <c r="F493" s="144"/>
      <c r="G493" s="153"/>
      <c r="H493" s="153"/>
      <c r="I493" s="144"/>
      <c r="J493" s="144"/>
      <c r="K493" s="144"/>
      <c r="L493" s="144"/>
      <c r="M493" s="144"/>
      <c r="N493" s="144"/>
      <c r="O493" s="144"/>
      <c r="P493" s="144"/>
      <c r="Q493" s="144"/>
      <c r="R493" s="144"/>
      <c r="S493" s="144"/>
      <c r="T493" s="144"/>
      <c r="U493" s="144"/>
      <c r="V493" s="144"/>
      <c r="W493" s="144"/>
      <c r="X493" s="144"/>
      <c r="Y493" s="144"/>
      <c r="Z493" s="144"/>
    </row>
    <row r="494" spans="1:26" ht="18.75">
      <c r="A494" s="144"/>
      <c r="B494" s="141"/>
      <c r="C494" s="142"/>
      <c r="D494" s="143"/>
      <c r="E494" s="143"/>
      <c r="F494" s="144"/>
      <c r="G494" s="151"/>
      <c r="H494" s="151"/>
      <c r="I494" s="144"/>
      <c r="J494" s="144"/>
      <c r="K494" s="144"/>
      <c r="L494" s="144"/>
      <c r="M494" s="144"/>
      <c r="N494" s="144"/>
      <c r="O494" s="144"/>
      <c r="P494" s="144"/>
      <c r="Q494" s="144"/>
      <c r="R494" s="144"/>
      <c r="S494" s="144"/>
      <c r="T494" s="144"/>
      <c r="U494" s="144"/>
      <c r="V494" s="144"/>
      <c r="W494" s="144"/>
      <c r="X494" s="144"/>
      <c r="Y494" s="144"/>
      <c r="Z494" s="144"/>
    </row>
    <row r="495" spans="1:26" ht="18.75">
      <c r="A495" s="144"/>
      <c r="B495" s="141"/>
      <c r="C495" s="142"/>
      <c r="D495" s="143"/>
      <c r="E495" s="143"/>
      <c r="F495" s="144"/>
      <c r="G495" s="153"/>
      <c r="H495" s="153"/>
      <c r="I495" s="144"/>
      <c r="J495" s="144"/>
      <c r="K495" s="144"/>
      <c r="L495" s="144"/>
      <c r="M495" s="144"/>
      <c r="N495" s="144"/>
      <c r="O495" s="144"/>
      <c r="P495" s="144"/>
      <c r="Q495" s="144"/>
      <c r="R495" s="144"/>
      <c r="S495" s="144"/>
      <c r="T495" s="144"/>
      <c r="U495" s="144"/>
      <c r="V495" s="144"/>
      <c r="W495" s="144"/>
      <c r="X495" s="144"/>
      <c r="Y495" s="144"/>
      <c r="Z495" s="144"/>
    </row>
    <row r="496" spans="1:26" ht="18.75">
      <c r="A496" s="144"/>
      <c r="B496" s="141"/>
      <c r="C496" s="142"/>
      <c r="D496" s="143"/>
      <c r="E496" s="143"/>
      <c r="F496" s="144"/>
      <c r="G496" s="151"/>
      <c r="H496" s="151"/>
      <c r="I496" s="144"/>
      <c r="J496" s="144"/>
      <c r="K496" s="144"/>
      <c r="L496" s="144"/>
      <c r="M496" s="144"/>
      <c r="N496" s="144"/>
      <c r="O496" s="144"/>
      <c r="P496" s="144"/>
      <c r="Q496" s="144"/>
      <c r="R496" s="144"/>
      <c r="S496" s="144"/>
      <c r="T496" s="144"/>
      <c r="U496" s="144"/>
      <c r="V496" s="144"/>
      <c r="W496" s="144"/>
      <c r="X496" s="144"/>
      <c r="Y496" s="144"/>
      <c r="Z496" s="144"/>
    </row>
    <row r="497" spans="1:26" ht="18.75">
      <c r="A497" s="144"/>
      <c r="B497" s="141"/>
      <c r="C497" s="142"/>
      <c r="D497" s="143"/>
      <c r="E497" s="143"/>
      <c r="F497" s="144"/>
      <c r="G497" s="153"/>
      <c r="H497" s="153"/>
      <c r="I497" s="144"/>
      <c r="J497" s="144"/>
      <c r="K497" s="144"/>
      <c r="L497" s="144"/>
      <c r="M497" s="144"/>
      <c r="N497" s="144"/>
      <c r="O497" s="144"/>
      <c r="P497" s="144"/>
      <c r="Q497" s="144"/>
      <c r="R497" s="144"/>
      <c r="S497" s="144"/>
      <c r="T497" s="144"/>
      <c r="U497" s="144"/>
      <c r="V497" s="144"/>
      <c r="W497" s="144"/>
      <c r="X497" s="144"/>
      <c r="Y497" s="144"/>
      <c r="Z497" s="144"/>
    </row>
    <row r="498" spans="1:26" ht="18.75">
      <c r="A498" s="144"/>
      <c r="B498" s="141"/>
      <c r="C498" s="142"/>
      <c r="D498" s="143"/>
      <c r="E498" s="143"/>
      <c r="F498" s="144"/>
      <c r="G498" s="151"/>
      <c r="H498" s="151"/>
      <c r="I498" s="144"/>
      <c r="J498" s="144"/>
      <c r="K498" s="144"/>
      <c r="L498" s="144"/>
      <c r="M498" s="144"/>
      <c r="N498" s="144"/>
      <c r="O498" s="144"/>
      <c r="P498" s="144"/>
      <c r="Q498" s="144"/>
      <c r="R498" s="144"/>
      <c r="S498" s="144"/>
      <c r="T498" s="144"/>
      <c r="U498" s="144"/>
      <c r="V498" s="144"/>
      <c r="W498" s="144"/>
      <c r="X498" s="144"/>
      <c r="Y498" s="144"/>
      <c r="Z498" s="144"/>
    </row>
    <row r="499" spans="1:26" ht="18.75">
      <c r="A499" s="144"/>
      <c r="B499" s="141"/>
      <c r="C499" s="142"/>
      <c r="D499" s="143"/>
      <c r="E499" s="143"/>
      <c r="F499" s="144"/>
      <c r="G499" s="153"/>
      <c r="H499" s="153"/>
      <c r="I499" s="144"/>
      <c r="J499" s="144"/>
      <c r="K499" s="144"/>
      <c r="L499" s="144"/>
      <c r="M499" s="144"/>
      <c r="N499" s="144"/>
      <c r="O499" s="144"/>
      <c r="P499" s="144"/>
      <c r="Q499" s="144"/>
      <c r="R499" s="144"/>
      <c r="S499" s="144"/>
      <c r="T499" s="144"/>
      <c r="U499" s="144"/>
      <c r="V499" s="144"/>
      <c r="W499" s="144"/>
      <c r="X499" s="144"/>
      <c r="Y499" s="144"/>
      <c r="Z499" s="144"/>
    </row>
    <row r="500" spans="1:26" ht="18.75">
      <c r="A500" s="144"/>
      <c r="B500" s="141"/>
      <c r="C500" s="142"/>
      <c r="D500" s="143"/>
      <c r="E500" s="143"/>
      <c r="F500" s="144"/>
      <c r="G500" s="151"/>
      <c r="H500" s="151"/>
      <c r="I500" s="144"/>
      <c r="J500" s="144"/>
      <c r="K500" s="144"/>
      <c r="L500" s="144"/>
      <c r="M500" s="144"/>
      <c r="N500" s="144"/>
      <c r="O500" s="144"/>
      <c r="P500" s="144"/>
      <c r="Q500" s="144"/>
      <c r="R500" s="144"/>
      <c r="S500" s="144"/>
      <c r="T500" s="144"/>
      <c r="U500" s="144"/>
      <c r="V500" s="144"/>
      <c r="W500" s="144"/>
      <c r="X500" s="144"/>
      <c r="Y500" s="144"/>
      <c r="Z500" s="144"/>
    </row>
    <row r="501" spans="1:26" ht="18.75">
      <c r="A501" s="144"/>
      <c r="B501" s="141"/>
      <c r="C501" s="142"/>
      <c r="D501" s="143"/>
      <c r="E501" s="143"/>
      <c r="F501" s="144"/>
      <c r="G501" s="153"/>
      <c r="H501" s="153"/>
      <c r="I501" s="144"/>
      <c r="J501" s="144"/>
      <c r="K501" s="144"/>
      <c r="L501" s="144"/>
      <c r="M501" s="144"/>
      <c r="N501" s="144"/>
      <c r="O501" s="144"/>
      <c r="P501" s="144"/>
      <c r="Q501" s="144"/>
      <c r="R501" s="144"/>
      <c r="S501" s="144"/>
      <c r="T501" s="144"/>
      <c r="U501" s="144"/>
      <c r="V501" s="144"/>
      <c r="W501" s="144"/>
      <c r="X501" s="144"/>
      <c r="Y501" s="144"/>
      <c r="Z501" s="144"/>
    </row>
    <row r="502" spans="1:26" ht="18.75">
      <c r="A502" s="144"/>
      <c r="B502" s="141"/>
      <c r="C502" s="142"/>
      <c r="D502" s="143"/>
      <c r="E502" s="143"/>
      <c r="F502" s="144"/>
      <c r="G502" s="151"/>
      <c r="H502" s="151"/>
      <c r="I502" s="144"/>
      <c r="J502" s="144"/>
      <c r="K502" s="144"/>
      <c r="L502" s="144"/>
      <c r="M502" s="144"/>
      <c r="N502" s="144"/>
      <c r="O502" s="144"/>
      <c r="P502" s="144"/>
      <c r="Q502" s="144"/>
      <c r="R502" s="144"/>
      <c r="S502" s="144"/>
      <c r="T502" s="144"/>
      <c r="U502" s="144"/>
      <c r="V502" s="144"/>
      <c r="W502" s="144"/>
      <c r="X502" s="144"/>
      <c r="Y502" s="144"/>
      <c r="Z502" s="144"/>
    </row>
    <row r="503" spans="1:26" ht="18.75">
      <c r="A503" s="144"/>
      <c r="B503" s="141"/>
      <c r="C503" s="142"/>
      <c r="D503" s="143"/>
      <c r="E503" s="143"/>
      <c r="F503" s="144"/>
      <c r="G503" s="153"/>
      <c r="H503" s="153"/>
      <c r="I503" s="144"/>
      <c r="J503" s="144"/>
      <c r="K503" s="144"/>
      <c r="L503" s="144"/>
      <c r="M503" s="144"/>
      <c r="N503" s="144"/>
      <c r="O503" s="144"/>
      <c r="P503" s="144"/>
      <c r="Q503" s="144"/>
      <c r="R503" s="144"/>
      <c r="S503" s="144"/>
      <c r="T503" s="144"/>
      <c r="U503" s="144"/>
      <c r="V503" s="144"/>
      <c r="W503" s="144"/>
      <c r="X503" s="144"/>
      <c r="Y503" s="144"/>
      <c r="Z503" s="144"/>
    </row>
    <row r="504" spans="1:26" ht="18.75">
      <c r="A504" s="144"/>
      <c r="B504" s="141"/>
      <c r="C504" s="142"/>
      <c r="D504" s="143"/>
      <c r="E504" s="143"/>
      <c r="F504" s="144"/>
      <c r="G504" s="151"/>
      <c r="H504" s="151"/>
      <c r="I504" s="144"/>
      <c r="J504" s="144"/>
      <c r="K504" s="144"/>
      <c r="L504" s="144"/>
      <c r="M504" s="144"/>
      <c r="N504" s="144"/>
      <c r="O504" s="144"/>
      <c r="P504" s="144"/>
      <c r="Q504" s="144"/>
      <c r="R504" s="144"/>
      <c r="S504" s="144"/>
      <c r="T504" s="144"/>
      <c r="U504" s="144"/>
      <c r="V504" s="144"/>
      <c r="W504" s="144"/>
      <c r="X504" s="144"/>
      <c r="Y504" s="144"/>
      <c r="Z504" s="144"/>
    </row>
    <row r="505" spans="1:26" ht="18.75">
      <c r="A505" s="144"/>
      <c r="B505" s="141"/>
      <c r="C505" s="142"/>
      <c r="D505" s="143"/>
      <c r="E505" s="143"/>
      <c r="F505" s="144"/>
      <c r="G505" s="153"/>
      <c r="H505" s="153"/>
      <c r="I505" s="144"/>
      <c r="J505" s="144"/>
      <c r="K505" s="144"/>
      <c r="L505" s="144"/>
      <c r="M505" s="144"/>
      <c r="N505" s="144"/>
      <c r="O505" s="144"/>
      <c r="P505" s="144"/>
      <c r="Q505" s="144"/>
      <c r="R505" s="144"/>
      <c r="S505" s="144"/>
      <c r="T505" s="144"/>
      <c r="U505" s="144"/>
      <c r="V505" s="144"/>
      <c r="W505" s="144"/>
      <c r="X505" s="144"/>
      <c r="Y505" s="144"/>
      <c r="Z505" s="144"/>
    </row>
    <row r="506" spans="1:26" ht="18.75">
      <c r="A506" s="144"/>
      <c r="B506" s="141"/>
      <c r="C506" s="142"/>
      <c r="D506" s="143"/>
      <c r="E506" s="143"/>
      <c r="F506" s="144"/>
      <c r="G506" s="151"/>
      <c r="H506" s="151"/>
      <c r="I506" s="144"/>
      <c r="J506" s="144"/>
      <c r="K506" s="144"/>
      <c r="L506" s="144"/>
      <c r="M506" s="144"/>
      <c r="N506" s="144"/>
      <c r="O506" s="144"/>
      <c r="P506" s="144"/>
      <c r="Q506" s="144"/>
      <c r="R506" s="144"/>
      <c r="S506" s="144"/>
      <c r="T506" s="144"/>
      <c r="U506" s="144"/>
      <c r="V506" s="144"/>
      <c r="W506" s="144"/>
      <c r="X506" s="144"/>
      <c r="Y506" s="144"/>
      <c r="Z506" s="144"/>
    </row>
    <row r="507" spans="1:26" ht="18.75">
      <c r="A507" s="144"/>
      <c r="B507" s="141"/>
      <c r="C507" s="142"/>
      <c r="D507" s="143"/>
      <c r="E507" s="143"/>
      <c r="F507" s="144"/>
      <c r="G507" s="153"/>
      <c r="H507" s="153"/>
      <c r="I507" s="144"/>
      <c r="J507" s="144"/>
      <c r="K507" s="144"/>
      <c r="L507" s="144"/>
      <c r="M507" s="144"/>
      <c r="N507" s="144"/>
      <c r="O507" s="144"/>
      <c r="P507" s="144"/>
      <c r="Q507" s="144"/>
      <c r="R507" s="144"/>
      <c r="S507" s="144"/>
      <c r="T507" s="144"/>
      <c r="U507" s="144"/>
      <c r="V507" s="144"/>
      <c r="W507" s="144"/>
      <c r="X507" s="144"/>
      <c r="Y507" s="144"/>
      <c r="Z507" s="144"/>
    </row>
    <row r="508" spans="1:26" ht="18.75">
      <c r="A508" s="144"/>
      <c r="B508" s="141"/>
      <c r="C508" s="142"/>
      <c r="D508" s="143"/>
      <c r="E508" s="143"/>
      <c r="F508" s="144"/>
      <c r="G508" s="151"/>
      <c r="H508" s="151"/>
      <c r="I508" s="144"/>
      <c r="J508" s="144"/>
      <c r="K508" s="144"/>
      <c r="L508" s="144"/>
      <c r="M508" s="144"/>
      <c r="N508" s="144"/>
      <c r="O508" s="144"/>
      <c r="P508" s="144"/>
      <c r="Q508" s="144"/>
      <c r="R508" s="144"/>
      <c r="S508" s="144"/>
      <c r="T508" s="144"/>
      <c r="U508" s="144"/>
      <c r="V508" s="144"/>
      <c r="W508" s="144"/>
      <c r="X508" s="144"/>
      <c r="Y508" s="144"/>
      <c r="Z508" s="144"/>
    </row>
    <row r="509" spans="1:26" ht="18.75">
      <c r="A509" s="144"/>
      <c r="B509" s="141"/>
      <c r="C509" s="142"/>
      <c r="D509" s="143"/>
      <c r="E509" s="143"/>
      <c r="F509" s="144"/>
      <c r="G509" s="153"/>
      <c r="H509" s="153"/>
      <c r="I509" s="144"/>
      <c r="J509" s="144"/>
      <c r="K509" s="144"/>
      <c r="L509" s="144"/>
      <c r="M509" s="144"/>
      <c r="N509" s="144"/>
      <c r="O509" s="144"/>
      <c r="P509" s="144"/>
      <c r="Q509" s="144"/>
      <c r="R509" s="144"/>
      <c r="S509" s="144"/>
      <c r="T509" s="144"/>
      <c r="U509" s="144"/>
      <c r="V509" s="144"/>
      <c r="W509" s="144"/>
      <c r="X509" s="144"/>
      <c r="Y509" s="144"/>
      <c r="Z509" s="144"/>
    </row>
    <row r="510" spans="1:26" ht="18.75">
      <c r="A510" s="144"/>
      <c r="B510" s="141"/>
      <c r="C510" s="142"/>
      <c r="D510" s="143"/>
      <c r="E510" s="143"/>
      <c r="F510" s="144"/>
      <c r="G510" s="151"/>
      <c r="H510" s="151"/>
      <c r="I510" s="144"/>
      <c r="J510" s="144"/>
      <c r="K510" s="144"/>
      <c r="L510" s="144"/>
      <c r="M510" s="144"/>
      <c r="N510" s="144"/>
      <c r="O510" s="144"/>
      <c r="P510" s="144"/>
      <c r="Q510" s="144"/>
      <c r="R510" s="144"/>
      <c r="S510" s="144"/>
      <c r="T510" s="144"/>
      <c r="U510" s="144"/>
      <c r="V510" s="144"/>
      <c r="W510" s="144"/>
      <c r="X510" s="144"/>
      <c r="Y510" s="144"/>
      <c r="Z510" s="144"/>
    </row>
    <row r="511" spans="1:26" ht="18.75">
      <c r="A511" s="144"/>
      <c r="B511" s="141"/>
      <c r="C511" s="142"/>
      <c r="D511" s="143"/>
      <c r="E511" s="143"/>
      <c r="F511" s="144"/>
      <c r="G511" s="153"/>
      <c r="H511" s="153"/>
      <c r="I511" s="144"/>
      <c r="J511" s="144"/>
      <c r="K511" s="144"/>
      <c r="L511" s="144"/>
      <c r="M511" s="144"/>
      <c r="N511" s="144"/>
      <c r="O511" s="144"/>
      <c r="P511" s="144"/>
      <c r="Q511" s="144"/>
      <c r="R511" s="144"/>
      <c r="S511" s="144"/>
      <c r="T511" s="144"/>
      <c r="U511" s="144"/>
      <c r="V511" s="144"/>
      <c r="W511" s="144"/>
      <c r="X511" s="144"/>
      <c r="Y511" s="144"/>
      <c r="Z511" s="144"/>
    </row>
    <row r="512" spans="1:26" ht="18.75">
      <c r="A512" s="144"/>
      <c r="B512" s="141"/>
      <c r="C512" s="142"/>
      <c r="D512" s="143"/>
      <c r="E512" s="143"/>
      <c r="F512" s="144"/>
      <c r="G512" s="151"/>
      <c r="H512" s="151"/>
      <c r="I512" s="144"/>
      <c r="J512" s="144"/>
      <c r="K512" s="144"/>
      <c r="L512" s="144"/>
      <c r="M512" s="144"/>
      <c r="N512" s="144"/>
      <c r="O512" s="144"/>
      <c r="P512" s="144"/>
      <c r="Q512" s="144"/>
      <c r="R512" s="144"/>
      <c r="S512" s="144"/>
      <c r="T512" s="144"/>
      <c r="U512" s="144"/>
      <c r="V512" s="144"/>
      <c r="W512" s="144"/>
      <c r="X512" s="144"/>
      <c r="Y512" s="144"/>
      <c r="Z512" s="144"/>
    </row>
    <row r="513" spans="1:26" ht="18.75">
      <c r="A513" s="144"/>
      <c r="B513" s="141"/>
      <c r="C513" s="142"/>
      <c r="D513" s="143"/>
      <c r="E513" s="143"/>
      <c r="F513" s="144"/>
      <c r="G513" s="153"/>
      <c r="H513" s="153"/>
      <c r="I513" s="144"/>
      <c r="J513" s="144"/>
      <c r="K513" s="144"/>
      <c r="L513" s="144"/>
      <c r="M513" s="144"/>
      <c r="N513" s="144"/>
      <c r="O513" s="144"/>
      <c r="P513" s="144"/>
      <c r="Q513" s="144"/>
      <c r="R513" s="144"/>
      <c r="S513" s="144"/>
      <c r="T513" s="144"/>
      <c r="U513" s="144"/>
      <c r="V513" s="144"/>
      <c r="W513" s="144"/>
      <c r="X513" s="144"/>
      <c r="Y513" s="144"/>
      <c r="Z513" s="144"/>
    </row>
    <row r="514" spans="1:26" ht="18.75">
      <c r="A514" s="144"/>
      <c r="B514" s="141"/>
      <c r="C514" s="142"/>
      <c r="D514" s="143"/>
      <c r="E514" s="143"/>
      <c r="F514" s="144"/>
      <c r="G514" s="151"/>
      <c r="H514" s="151"/>
      <c r="I514" s="144"/>
      <c r="J514" s="144"/>
      <c r="K514" s="144"/>
      <c r="L514" s="144"/>
      <c r="M514" s="144"/>
      <c r="N514" s="144"/>
      <c r="O514" s="144"/>
      <c r="P514" s="144"/>
      <c r="Q514" s="144"/>
      <c r="R514" s="144"/>
      <c r="S514" s="144"/>
      <c r="T514" s="144"/>
      <c r="U514" s="144"/>
      <c r="V514" s="144"/>
      <c r="W514" s="144"/>
      <c r="X514" s="144"/>
      <c r="Y514" s="144"/>
      <c r="Z514" s="144"/>
    </row>
    <row r="515" spans="1:26" ht="18.75">
      <c r="A515" s="144"/>
      <c r="B515" s="141"/>
      <c r="C515" s="142"/>
      <c r="D515" s="143"/>
      <c r="E515" s="143"/>
      <c r="F515" s="144"/>
      <c r="G515" s="153"/>
      <c r="H515" s="153"/>
      <c r="I515" s="144"/>
      <c r="J515" s="144"/>
      <c r="K515" s="144"/>
      <c r="L515" s="144"/>
      <c r="M515" s="144"/>
      <c r="N515" s="144"/>
      <c r="O515" s="144"/>
      <c r="P515" s="144"/>
      <c r="Q515" s="144"/>
      <c r="R515" s="144"/>
      <c r="S515" s="144"/>
      <c r="T515" s="144"/>
      <c r="U515" s="144"/>
      <c r="V515" s="144"/>
      <c r="W515" s="144"/>
      <c r="X515" s="144"/>
      <c r="Y515" s="144"/>
      <c r="Z515" s="144"/>
    </row>
    <row r="516" spans="1:26" ht="18.75">
      <c r="A516" s="144"/>
      <c r="B516" s="141"/>
      <c r="C516" s="142"/>
      <c r="D516" s="143"/>
      <c r="E516" s="143"/>
      <c r="F516" s="144"/>
      <c r="G516" s="151"/>
      <c r="H516" s="151"/>
      <c r="I516" s="144"/>
      <c r="J516" s="144"/>
      <c r="K516" s="144"/>
      <c r="L516" s="144"/>
      <c r="M516" s="144"/>
      <c r="N516" s="144"/>
      <c r="O516" s="144"/>
      <c r="P516" s="144"/>
      <c r="Q516" s="144"/>
      <c r="R516" s="144"/>
      <c r="S516" s="144"/>
      <c r="T516" s="144"/>
      <c r="U516" s="144"/>
      <c r="V516" s="144"/>
      <c r="W516" s="144"/>
      <c r="X516" s="144"/>
      <c r="Y516" s="144"/>
      <c r="Z516" s="144"/>
    </row>
    <row r="517" spans="1:26" ht="18.75">
      <c r="A517" s="144"/>
      <c r="B517" s="141"/>
      <c r="C517" s="142"/>
      <c r="D517" s="143"/>
      <c r="E517" s="143"/>
      <c r="F517" s="144"/>
      <c r="G517" s="153"/>
      <c r="H517" s="153"/>
      <c r="I517" s="144"/>
      <c r="J517" s="144"/>
      <c r="K517" s="144"/>
      <c r="L517" s="144"/>
      <c r="M517" s="144"/>
      <c r="N517" s="144"/>
      <c r="O517" s="144"/>
      <c r="P517" s="144"/>
      <c r="Q517" s="144"/>
      <c r="R517" s="144"/>
      <c r="S517" s="144"/>
      <c r="T517" s="144"/>
      <c r="U517" s="144"/>
      <c r="V517" s="144"/>
      <c r="W517" s="144"/>
      <c r="X517" s="144"/>
      <c r="Y517" s="144"/>
      <c r="Z517" s="144"/>
    </row>
    <row r="518" spans="1:26" ht="18.75">
      <c r="A518" s="144"/>
      <c r="B518" s="141"/>
      <c r="C518" s="142"/>
      <c r="D518" s="143"/>
      <c r="E518" s="143"/>
      <c r="F518" s="144"/>
      <c r="G518" s="151"/>
      <c r="H518" s="151"/>
      <c r="I518" s="144"/>
      <c r="J518" s="144"/>
      <c r="K518" s="144"/>
      <c r="L518" s="144"/>
      <c r="M518" s="144"/>
      <c r="N518" s="144"/>
      <c r="O518" s="144"/>
      <c r="P518" s="144"/>
      <c r="Q518" s="144"/>
      <c r="R518" s="144"/>
      <c r="S518" s="144"/>
      <c r="T518" s="144"/>
      <c r="U518" s="144"/>
      <c r="V518" s="144"/>
      <c r="W518" s="144"/>
      <c r="X518" s="144"/>
      <c r="Y518" s="144"/>
      <c r="Z518" s="144"/>
    </row>
    <row r="519" spans="1:26" ht="18.75">
      <c r="A519" s="144"/>
      <c r="B519" s="141"/>
      <c r="C519" s="142"/>
      <c r="D519" s="143"/>
      <c r="E519" s="143"/>
      <c r="F519" s="144"/>
      <c r="G519" s="153"/>
      <c r="H519" s="153"/>
      <c r="I519" s="144"/>
      <c r="J519" s="144"/>
      <c r="K519" s="144"/>
      <c r="L519" s="144"/>
      <c r="M519" s="144"/>
      <c r="N519" s="144"/>
      <c r="O519" s="144"/>
      <c r="P519" s="144"/>
      <c r="Q519" s="144"/>
      <c r="R519" s="144"/>
      <c r="S519" s="144"/>
      <c r="T519" s="144"/>
      <c r="U519" s="144"/>
      <c r="V519" s="144"/>
      <c r="W519" s="144"/>
      <c r="X519" s="144"/>
      <c r="Y519" s="144"/>
      <c r="Z519" s="144"/>
    </row>
    <row r="520" spans="1:26" ht="18.75">
      <c r="A520" s="144"/>
      <c r="B520" s="141"/>
      <c r="C520" s="142"/>
      <c r="D520" s="143"/>
      <c r="E520" s="143"/>
      <c r="F520" s="144"/>
      <c r="G520" s="151"/>
      <c r="H520" s="151"/>
      <c r="I520" s="144"/>
      <c r="J520" s="144"/>
      <c r="K520" s="144"/>
      <c r="L520" s="144"/>
      <c r="M520" s="144"/>
      <c r="N520" s="144"/>
      <c r="O520" s="144"/>
      <c r="P520" s="144"/>
      <c r="Q520" s="144"/>
      <c r="R520" s="144"/>
      <c r="S520" s="144"/>
      <c r="T520" s="144"/>
      <c r="U520" s="144"/>
      <c r="V520" s="144"/>
      <c r="W520" s="144"/>
      <c r="X520" s="144"/>
      <c r="Y520" s="144"/>
      <c r="Z520" s="144"/>
    </row>
    <row r="521" spans="1:26" ht="18.75">
      <c r="A521" s="144"/>
      <c r="B521" s="141"/>
      <c r="C521" s="142"/>
      <c r="D521" s="143"/>
      <c r="E521" s="143"/>
      <c r="F521" s="144"/>
      <c r="G521" s="153"/>
      <c r="H521" s="153"/>
      <c r="I521" s="144"/>
      <c r="J521" s="144"/>
      <c r="K521" s="144"/>
      <c r="L521" s="144"/>
      <c r="M521" s="144"/>
      <c r="N521" s="144"/>
      <c r="O521" s="144"/>
      <c r="P521" s="144"/>
      <c r="Q521" s="144"/>
      <c r="R521" s="144"/>
      <c r="S521" s="144"/>
      <c r="T521" s="144"/>
      <c r="U521" s="144"/>
      <c r="V521" s="144"/>
      <c r="W521" s="144"/>
      <c r="X521" s="144"/>
      <c r="Y521" s="144"/>
      <c r="Z521" s="144"/>
    </row>
    <row r="522" spans="1:26" ht="18.75">
      <c r="A522" s="144"/>
      <c r="B522" s="141"/>
      <c r="C522" s="142"/>
      <c r="D522" s="143"/>
      <c r="E522" s="143"/>
      <c r="F522" s="144"/>
      <c r="G522" s="151"/>
      <c r="H522" s="151"/>
      <c r="I522" s="144"/>
      <c r="J522" s="144"/>
      <c r="K522" s="144"/>
      <c r="L522" s="144"/>
      <c r="M522" s="144"/>
      <c r="N522" s="144"/>
      <c r="O522" s="144"/>
      <c r="P522" s="144"/>
      <c r="Q522" s="144"/>
      <c r="R522" s="144"/>
      <c r="S522" s="144"/>
      <c r="T522" s="144"/>
      <c r="U522" s="144"/>
      <c r="V522" s="144"/>
      <c r="W522" s="144"/>
      <c r="X522" s="144"/>
      <c r="Y522" s="144"/>
      <c r="Z522" s="144"/>
    </row>
    <row r="523" spans="1:26" ht="18.75">
      <c r="A523" s="144"/>
      <c r="B523" s="141"/>
      <c r="C523" s="142"/>
      <c r="D523" s="143"/>
      <c r="E523" s="143"/>
      <c r="F523" s="144"/>
      <c r="G523" s="153"/>
      <c r="H523" s="153"/>
      <c r="I523" s="144"/>
      <c r="J523" s="144"/>
      <c r="K523" s="144"/>
      <c r="L523" s="144"/>
      <c r="M523" s="144"/>
      <c r="N523" s="144"/>
      <c r="O523" s="144"/>
      <c r="P523" s="144"/>
      <c r="Q523" s="144"/>
      <c r="R523" s="144"/>
      <c r="S523" s="144"/>
      <c r="T523" s="144"/>
      <c r="U523" s="144"/>
      <c r="V523" s="144"/>
      <c r="W523" s="144"/>
      <c r="X523" s="144"/>
      <c r="Y523" s="144"/>
      <c r="Z523" s="144"/>
    </row>
    <row r="524" spans="1:26" ht="18.75">
      <c r="A524" s="144"/>
      <c r="B524" s="141"/>
      <c r="C524" s="142"/>
      <c r="D524" s="143"/>
      <c r="E524" s="143"/>
      <c r="F524" s="144"/>
      <c r="G524" s="151"/>
      <c r="H524" s="151"/>
      <c r="I524" s="144"/>
      <c r="J524" s="144"/>
      <c r="K524" s="144"/>
      <c r="L524" s="144"/>
      <c r="M524" s="144"/>
      <c r="N524" s="144"/>
      <c r="O524" s="144"/>
      <c r="P524" s="144"/>
      <c r="Q524" s="144"/>
      <c r="R524" s="144"/>
      <c r="S524" s="144"/>
      <c r="T524" s="144"/>
      <c r="U524" s="144"/>
      <c r="V524" s="144"/>
      <c r="W524" s="144"/>
      <c r="X524" s="144"/>
      <c r="Y524" s="144"/>
      <c r="Z524" s="144"/>
    </row>
    <row r="525" spans="1:26" ht="18.75">
      <c r="A525" s="144"/>
      <c r="B525" s="141"/>
      <c r="C525" s="142"/>
      <c r="D525" s="143"/>
      <c r="E525" s="143"/>
      <c r="F525" s="144"/>
      <c r="G525" s="153"/>
      <c r="H525" s="153"/>
      <c r="I525" s="144"/>
      <c r="J525" s="144"/>
      <c r="K525" s="144"/>
      <c r="L525" s="144"/>
      <c r="M525" s="144"/>
      <c r="N525" s="144"/>
      <c r="O525" s="144"/>
      <c r="P525" s="144"/>
      <c r="Q525" s="144"/>
      <c r="R525" s="144"/>
      <c r="S525" s="144"/>
      <c r="T525" s="144"/>
      <c r="U525" s="144"/>
      <c r="V525" s="144"/>
      <c r="W525" s="144"/>
      <c r="X525" s="144"/>
      <c r="Y525" s="144"/>
      <c r="Z525" s="144"/>
    </row>
    <row r="526" spans="1:26" ht="18.75">
      <c r="A526" s="144"/>
      <c r="B526" s="141"/>
      <c r="C526" s="142"/>
      <c r="D526" s="143"/>
      <c r="E526" s="143"/>
      <c r="F526" s="144"/>
      <c r="G526" s="151"/>
      <c r="H526" s="151"/>
      <c r="I526" s="144"/>
      <c r="J526" s="144"/>
      <c r="K526" s="144"/>
      <c r="L526" s="144"/>
      <c r="M526" s="144"/>
      <c r="N526" s="144"/>
      <c r="O526" s="144"/>
      <c r="P526" s="144"/>
      <c r="Q526" s="144"/>
      <c r="R526" s="144"/>
      <c r="S526" s="144"/>
      <c r="T526" s="144"/>
      <c r="U526" s="144"/>
      <c r="V526" s="144"/>
      <c r="W526" s="144"/>
      <c r="X526" s="144"/>
      <c r="Y526" s="144"/>
      <c r="Z526" s="144"/>
    </row>
    <row r="527" spans="1:26" ht="18.75">
      <c r="A527" s="144"/>
      <c r="B527" s="141"/>
      <c r="C527" s="142"/>
      <c r="D527" s="143"/>
      <c r="E527" s="143"/>
      <c r="F527" s="144"/>
      <c r="G527" s="153"/>
      <c r="H527" s="153"/>
      <c r="I527" s="144"/>
      <c r="J527" s="144"/>
      <c r="K527" s="144"/>
      <c r="L527" s="144"/>
      <c r="M527" s="144"/>
      <c r="N527" s="144"/>
      <c r="O527" s="144"/>
      <c r="P527" s="144"/>
      <c r="Q527" s="144"/>
      <c r="R527" s="144"/>
      <c r="S527" s="144"/>
      <c r="T527" s="144"/>
      <c r="U527" s="144"/>
      <c r="V527" s="144"/>
      <c r="W527" s="144"/>
      <c r="X527" s="144"/>
      <c r="Y527" s="144"/>
      <c r="Z527" s="144"/>
    </row>
    <row r="528" spans="1:26" ht="18.75">
      <c r="A528" s="144"/>
      <c r="B528" s="141"/>
      <c r="C528" s="142"/>
      <c r="D528" s="143"/>
      <c r="E528" s="143"/>
      <c r="F528" s="144"/>
      <c r="G528" s="151"/>
      <c r="H528" s="151"/>
      <c r="I528" s="144"/>
      <c r="J528" s="144"/>
      <c r="K528" s="144"/>
      <c r="L528" s="144"/>
      <c r="M528" s="144"/>
      <c r="N528" s="144"/>
      <c r="O528" s="144"/>
      <c r="P528" s="144"/>
      <c r="Q528" s="144"/>
      <c r="R528" s="144"/>
      <c r="S528" s="144"/>
      <c r="T528" s="144"/>
      <c r="U528" s="144"/>
      <c r="V528" s="144"/>
      <c r="W528" s="144"/>
      <c r="X528" s="144"/>
      <c r="Y528" s="144"/>
      <c r="Z528" s="144"/>
    </row>
    <row r="529" spans="1:26" ht="18.75">
      <c r="A529" s="144"/>
      <c r="B529" s="141"/>
      <c r="C529" s="142"/>
      <c r="D529" s="143"/>
      <c r="E529" s="143"/>
      <c r="F529" s="144"/>
      <c r="G529" s="153"/>
      <c r="H529" s="153"/>
      <c r="I529" s="144"/>
      <c r="J529" s="144"/>
      <c r="K529" s="144"/>
      <c r="L529" s="144"/>
      <c r="M529" s="144"/>
      <c r="N529" s="144"/>
      <c r="O529" s="144"/>
      <c r="P529" s="144"/>
      <c r="Q529" s="144"/>
      <c r="R529" s="144"/>
      <c r="S529" s="144"/>
      <c r="T529" s="144"/>
      <c r="U529" s="144"/>
      <c r="V529" s="144"/>
      <c r="W529" s="144"/>
      <c r="X529" s="144"/>
      <c r="Y529" s="144"/>
      <c r="Z529" s="144"/>
    </row>
    <row r="530" spans="1:26" ht="18.75">
      <c r="A530" s="144"/>
      <c r="B530" s="141"/>
      <c r="C530" s="142"/>
      <c r="D530" s="143"/>
      <c r="E530" s="143"/>
      <c r="F530" s="144"/>
      <c r="G530" s="151"/>
      <c r="H530" s="151"/>
      <c r="I530" s="144"/>
      <c r="J530" s="144"/>
      <c r="K530" s="144"/>
      <c r="L530" s="144"/>
      <c r="M530" s="144"/>
      <c r="N530" s="144"/>
      <c r="O530" s="144"/>
      <c r="P530" s="144"/>
      <c r="Q530" s="144"/>
      <c r="R530" s="144"/>
      <c r="S530" s="144"/>
      <c r="T530" s="144"/>
      <c r="U530" s="144"/>
      <c r="V530" s="144"/>
      <c r="W530" s="144"/>
      <c r="X530" s="144"/>
      <c r="Y530" s="144"/>
      <c r="Z530" s="144"/>
    </row>
    <row r="531" spans="1:26" ht="18.75">
      <c r="A531" s="144"/>
      <c r="B531" s="141"/>
      <c r="C531" s="142"/>
      <c r="D531" s="143"/>
      <c r="E531" s="143"/>
      <c r="F531" s="144"/>
      <c r="G531" s="153"/>
      <c r="H531" s="153"/>
      <c r="I531" s="144"/>
      <c r="J531" s="144"/>
      <c r="K531" s="144"/>
      <c r="L531" s="144"/>
      <c r="M531" s="144"/>
      <c r="N531" s="144"/>
      <c r="O531" s="144"/>
      <c r="P531" s="144"/>
      <c r="Q531" s="144"/>
      <c r="R531" s="144"/>
      <c r="S531" s="144"/>
      <c r="T531" s="144"/>
      <c r="U531" s="144"/>
      <c r="V531" s="144"/>
      <c r="W531" s="144"/>
      <c r="X531" s="144"/>
      <c r="Y531" s="144"/>
      <c r="Z531" s="144"/>
    </row>
    <row r="532" spans="1:26" ht="18.75">
      <c r="A532" s="144"/>
      <c r="B532" s="141"/>
      <c r="C532" s="142"/>
      <c r="D532" s="143"/>
      <c r="E532" s="143"/>
      <c r="F532" s="144"/>
      <c r="G532" s="151"/>
      <c r="H532" s="151"/>
      <c r="I532" s="144"/>
      <c r="J532" s="144"/>
      <c r="K532" s="144"/>
      <c r="L532" s="144"/>
      <c r="M532" s="144"/>
      <c r="N532" s="144"/>
      <c r="O532" s="144"/>
      <c r="P532" s="144"/>
      <c r="Q532" s="144"/>
      <c r="R532" s="144"/>
      <c r="S532" s="144"/>
      <c r="T532" s="144"/>
      <c r="U532" s="144"/>
      <c r="V532" s="144"/>
      <c r="W532" s="144"/>
      <c r="X532" s="144"/>
      <c r="Y532" s="144"/>
      <c r="Z532" s="144"/>
    </row>
    <row r="533" spans="1:26" ht="18.75">
      <c r="A533" s="144"/>
      <c r="B533" s="141"/>
      <c r="C533" s="142"/>
      <c r="D533" s="143"/>
      <c r="E533" s="143"/>
      <c r="F533" s="144"/>
      <c r="G533" s="153"/>
      <c r="H533" s="153"/>
      <c r="I533" s="144"/>
      <c r="J533" s="144"/>
      <c r="K533" s="144"/>
      <c r="L533" s="144"/>
      <c r="M533" s="144"/>
      <c r="N533" s="144"/>
      <c r="O533" s="144"/>
      <c r="P533" s="144"/>
      <c r="Q533" s="144"/>
      <c r="R533" s="144"/>
      <c r="S533" s="144"/>
      <c r="T533" s="144"/>
      <c r="U533" s="144"/>
      <c r="V533" s="144"/>
      <c r="W533" s="144"/>
      <c r="X533" s="144"/>
      <c r="Y533" s="144"/>
      <c r="Z533" s="144"/>
    </row>
    <row r="534" spans="1:26" ht="18.75">
      <c r="A534" s="144"/>
      <c r="B534" s="141"/>
      <c r="C534" s="142"/>
      <c r="D534" s="143"/>
      <c r="E534" s="143"/>
      <c r="F534" s="144"/>
      <c r="G534" s="151"/>
      <c r="H534" s="151"/>
      <c r="I534" s="144"/>
      <c r="J534" s="144"/>
      <c r="K534" s="144"/>
      <c r="L534" s="144"/>
      <c r="M534" s="144"/>
      <c r="N534" s="144"/>
      <c r="O534" s="144"/>
      <c r="P534" s="144"/>
      <c r="Q534" s="144"/>
      <c r="R534" s="144"/>
      <c r="S534" s="144"/>
      <c r="T534" s="144"/>
      <c r="U534" s="144"/>
      <c r="V534" s="144"/>
      <c r="W534" s="144"/>
      <c r="X534" s="144"/>
      <c r="Y534" s="144"/>
      <c r="Z534" s="144"/>
    </row>
    <row r="535" spans="1:26" ht="18.75">
      <c r="A535" s="144"/>
      <c r="B535" s="141"/>
      <c r="C535" s="142"/>
      <c r="D535" s="143"/>
      <c r="E535" s="143"/>
      <c r="F535" s="144"/>
      <c r="G535" s="153"/>
      <c r="H535" s="153"/>
      <c r="I535" s="144"/>
      <c r="J535" s="144"/>
      <c r="K535" s="144"/>
      <c r="L535" s="144"/>
      <c r="M535" s="144"/>
      <c r="N535" s="144"/>
      <c r="O535" s="144"/>
      <c r="P535" s="144"/>
      <c r="Q535" s="144"/>
      <c r="R535" s="144"/>
      <c r="S535" s="144"/>
      <c r="T535" s="144"/>
      <c r="U535" s="144"/>
      <c r="V535" s="144"/>
      <c r="W535" s="144"/>
      <c r="X535" s="144"/>
      <c r="Y535" s="144"/>
      <c r="Z535" s="144"/>
    </row>
    <row r="536" spans="1:26" ht="18.75">
      <c r="A536" s="144"/>
      <c r="B536" s="141"/>
      <c r="C536" s="142"/>
      <c r="D536" s="143"/>
      <c r="E536" s="143"/>
      <c r="F536" s="144"/>
      <c r="G536" s="151"/>
      <c r="H536" s="151"/>
      <c r="I536" s="144"/>
      <c r="J536" s="144"/>
      <c r="K536" s="144"/>
      <c r="L536" s="144"/>
      <c r="M536" s="144"/>
      <c r="N536" s="144"/>
      <c r="O536" s="144"/>
      <c r="P536" s="144"/>
      <c r="Q536" s="144"/>
      <c r="R536" s="144"/>
      <c r="S536" s="144"/>
      <c r="T536" s="144"/>
      <c r="U536" s="144"/>
      <c r="V536" s="144"/>
      <c r="W536" s="144"/>
      <c r="X536" s="144"/>
      <c r="Y536" s="144"/>
      <c r="Z536" s="144"/>
    </row>
    <row r="537" spans="1:26" ht="18.75">
      <c r="A537" s="144"/>
      <c r="B537" s="141"/>
      <c r="C537" s="142"/>
      <c r="D537" s="143"/>
      <c r="E537" s="143"/>
      <c r="F537" s="144"/>
      <c r="G537" s="153"/>
      <c r="H537" s="153"/>
      <c r="I537" s="144"/>
      <c r="J537" s="144"/>
      <c r="K537" s="144"/>
      <c r="L537" s="144"/>
      <c r="M537" s="144"/>
      <c r="N537" s="144"/>
      <c r="O537" s="144"/>
      <c r="P537" s="144"/>
      <c r="Q537" s="144"/>
      <c r="R537" s="144"/>
      <c r="S537" s="144"/>
      <c r="T537" s="144"/>
      <c r="U537" s="144"/>
      <c r="V537" s="144"/>
      <c r="W537" s="144"/>
      <c r="X537" s="144"/>
      <c r="Y537" s="144"/>
      <c r="Z537" s="144"/>
    </row>
    <row r="538" spans="1:26" ht="18.75">
      <c r="A538" s="144"/>
      <c r="B538" s="141"/>
      <c r="C538" s="142"/>
      <c r="D538" s="143"/>
      <c r="E538" s="143"/>
      <c r="F538" s="144"/>
      <c r="G538" s="151"/>
      <c r="H538" s="151"/>
      <c r="I538" s="144"/>
      <c r="J538" s="144"/>
      <c r="K538" s="144"/>
      <c r="L538" s="144"/>
      <c r="M538" s="144"/>
      <c r="N538" s="144"/>
      <c r="O538" s="144"/>
      <c r="P538" s="144"/>
      <c r="Q538" s="144"/>
      <c r="R538" s="144"/>
      <c r="S538" s="144"/>
      <c r="T538" s="144"/>
      <c r="U538" s="144"/>
      <c r="V538" s="144"/>
      <c r="W538" s="144"/>
      <c r="X538" s="144"/>
      <c r="Y538" s="144"/>
      <c r="Z538" s="144"/>
    </row>
    <row r="539" spans="1:26" ht="18.75">
      <c r="A539" s="144"/>
      <c r="B539" s="141"/>
      <c r="C539" s="142"/>
      <c r="D539" s="143"/>
      <c r="E539" s="143"/>
      <c r="F539" s="144"/>
      <c r="G539" s="153"/>
      <c r="H539" s="153"/>
      <c r="I539" s="144"/>
      <c r="J539" s="144"/>
      <c r="K539" s="144"/>
      <c r="L539" s="144"/>
      <c r="M539" s="144"/>
      <c r="N539" s="144"/>
      <c r="O539" s="144"/>
      <c r="P539" s="144"/>
      <c r="Q539" s="144"/>
      <c r="R539" s="144"/>
      <c r="S539" s="144"/>
      <c r="T539" s="144"/>
      <c r="U539" s="144"/>
      <c r="V539" s="144"/>
      <c r="W539" s="144"/>
      <c r="X539" s="144"/>
      <c r="Y539" s="144"/>
      <c r="Z539" s="144"/>
    </row>
    <row r="540" spans="1:26" ht="18.75">
      <c r="A540" s="144"/>
      <c r="B540" s="141"/>
      <c r="C540" s="142"/>
      <c r="D540" s="143"/>
      <c r="E540" s="143"/>
      <c r="F540" s="144"/>
      <c r="G540" s="151"/>
      <c r="H540" s="151"/>
      <c r="I540" s="144"/>
      <c r="J540" s="144"/>
      <c r="K540" s="144"/>
      <c r="L540" s="144"/>
      <c r="M540" s="144"/>
      <c r="N540" s="144"/>
      <c r="O540" s="144"/>
      <c r="P540" s="144"/>
      <c r="Q540" s="144"/>
      <c r="R540" s="144"/>
      <c r="S540" s="144"/>
      <c r="T540" s="144"/>
      <c r="U540" s="144"/>
      <c r="V540" s="144"/>
      <c r="W540" s="144"/>
      <c r="X540" s="144"/>
      <c r="Y540" s="144"/>
      <c r="Z540" s="144"/>
    </row>
    <row r="541" spans="1:26" ht="18.75">
      <c r="A541" s="144"/>
      <c r="B541" s="141"/>
      <c r="C541" s="142"/>
      <c r="D541" s="143"/>
      <c r="E541" s="143"/>
      <c r="F541" s="144"/>
      <c r="G541" s="153"/>
      <c r="H541" s="153"/>
      <c r="I541" s="144"/>
      <c r="J541" s="144"/>
      <c r="K541" s="144"/>
      <c r="L541" s="144"/>
      <c r="M541" s="144"/>
      <c r="N541" s="144"/>
      <c r="O541" s="144"/>
      <c r="P541" s="144"/>
      <c r="Q541" s="144"/>
      <c r="R541" s="144"/>
      <c r="S541" s="144"/>
      <c r="T541" s="144"/>
      <c r="U541" s="144"/>
      <c r="V541" s="144"/>
      <c r="W541" s="144"/>
      <c r="X541" s="144"/>
      <c r="Y541" s="144"/>
      <c r="Z541" s="144"/>
    </row>
    <row r="542" spans="1:26" ht="18.75">
      <c r="A542" s="144"/>
      <c r="B542" s="141"/>
      <c r="C542" s="142"/>
      <c r="D542" s="143"/>
      <c r="E542" s="143"/>
      <c r="F542" s="144"/>
      <c r="G542" s="151"/>
      <c r="H542" s="151"/>
      <c r="I542" s="144"/>
      <c r="J542" s="144"/>
      <c r="K542" s="144"/>
      <c r="L542" s="144"/>
      <c r="M542" s="144"/>
      <c r="N542" s="144"/>
      <c r="O542" s="144"/>
      <c r="P542" s="144"/>
      <c r="Q542" s="144"/>
      <c r="R542" s="144"/>
      <c r="S542" s="144"/>
      <c r="T542" s="144"/>
      <c r="U542" s="144"/>
      <c r="V542" s="144"/>
      <c r="W542" s="144"/>
      <c r="X542" s="144"/>
      <c r="Y542" s="144"/>
      <c r="Z542" s="144"/>
    </row>
    <row r="543" spans="1:26" ht="18.75">
      <c r="A543" s="144"/>
      <c r="B543" s="141"/>
      <c r="C543" s="142"/>
      <c r="D543" s="143"/>
      <c r="E543" s="143"/>
      <c r="F543" s="144"/>
      <c r="G543" s="153"/>
      <c r="H543" s="153"/>
      <c r="I543" s="144"/>
      <c r="J543" s="144"/>
      <c r="K543" s="144"/>
      <c r="L543" s="144"/>
      <c r="M543" s="144"/>
      <c r="N543" s="144"/>
      <c r="O543" s="144"/>
      <c r="P543" s="144"/>
      <c r="Q543" s="144"/>
      <c r="R543" s="144"/>
      <c r="S543" s="144"/>
      <c r="T543" s="144"/>
      <c r="U543" s="144"/>
      <c r="V543" s="144"/>
      <c r="W543" s="144"/>
      <c r="X543" s="144"/>
      <c r="Y543" s="144"/>
      <c r="Z543" s="144"/>
    </row>
    <row r="544" spans="1:26" ht="18.75">
      <c r="A544" s="144"/>
      <c r="B544" s="141"/>
      <c r="C544" s="142"/>
      <c r="D544" s="143"/>
      <c r="E544" s="143"/>
      <c r="F544" s="144"/>
      <c r="G544" s="151"/>
      <c r="H544" s="151"/>
      <c r="I544" s="144"/>
      <c r="J544" s="144"/>
      <c r="K544" s="144"/>
      <c r="L544" s="144"/>
      <c r="M544" s="144"/>
      <c r="N544" s="144"/>
      <c r="O544" s="144"/>
      <c r="P544" s="144"/>
      <c r="Q544" s="144"/>
      <c r="R544" s="144"/>
      <c r="S544" s="144"/>
      <c r="T544" s="144"/>
      <c r="U544" s="144"/>
      <c r="V544" s="144"/>
      <c r="W544" s="144"/>
      <c r="X544" s="144"/>
      <c r="Y544" s="144"/>
      <c r="Z544" s="144"/>
    </row>
    <row r="545" spans="1:26" ht="18.75">
      <c r="A545" s="144"/>
      <c r="B545" s="141"/>
      <c r="C545" s="142"/>
      <c r="D545" s="143"/>
      <c r="E545" s="143"/>
      <c r="F545" s="144"/>
      <c r="G545" s="153"/>
      <c r="H545" s="153"/>
      <c r="I545" s="144"/>
      <c r="J545" s="144"/>
      <c r="K545" s="144"/>
      <c r="L545" s="144"/>
      <c r="M545" s="144"/>
      <c r="N545" s="144"/>
      <c r="O545" s="144"/>
      <c r="P545" s="144"/>
      <c r="Q545" s="144"/>
      <c r="R545" s="144"/>
      <c r="S545" s="144"/>
      <c r="T545" s="144"/>
      <c r="U545" s="144"/>
      <c r="V545" s="144"/>
      <c r="W545" s="144"/>
      <c r="X545" s="144"/>
      <c r="Y545" s="144"/>
      <c r="Z545" s="144"/>
    </row>
    <row r="546" spans="1:26" ht="18.75">
      <c r="A546" s="144"/>
      <c r="B546" s="141"/>
      <c r="C546" s="142"/>
      <c r="D546" s="143"/>
      <c r="E546" s="143"/>
      <c r="F546" s="144"/>
      <c r="G546" s="151"/>
      <c r="H546" s="151"/>
      <c r="I546" s="144"/>
      <c r="J546" s="144"/>
      <c r="K546" s="144"/>
      <c r="L546" s="144"/>
      <c r="M546" s="144"/>
      <c r="N546" s="144"/>
      <c r="O546" s="144"/>
      <c r="P546" s="144"/>
      <c r="Q546" s="144"/>
      <c r="R546" s="144"/>
      <c r="S546" s="144"/>
      <c r="T546" s="144"/>
      <c r="U546" s="144"/>
      <c r="V546" s="144"/>
      <c r="W546" s="144"/>
      <c r="X546" s="144"/>
      <c r="Y546" s="144"/>
      <c r="Z546" s="144"/>
    </row>
    <row r="547" spans="1:26" ht="18.75">
      <c r="A547" s="144"/>
      <c r="B547" s="141"/>
      <c r="C547" s="142"/>
      <c r="D547" s="143"/>
      <c r="E547" s="143"/>
      <c r="F547" s="144"/>
      <c r="G547" s="153"/>
      <c r="H547" s="153"/>
      <c r="I547" s="144"/>
      <c r="J547" s="144"/>
      <c r="K547" s="144"/>
      <c r="L547" s="144"/>
      <c r="M547" s="144"/>
      <c r="N547" s="144"/>
      <c r="O547" s="144"/>
      <c r="P547" s="144"/>
      <c r="Q547" s="144"/>
      <c r="R547" s="144"/>
      <c r="S547" s="144"/>
      <c r="T547" s="144"/>
      <c r="U547" s="144"/>
      <c r="V547" s="144"/>
      <c r="W547" s="144"/>
      <c r="X547" s="144"/>
      <c r="Y547" s="144"/>
      <c r="Z547" s="144"/>
    </row>
    <row r="548" spans="1:26" ht="18.75">
      <c r="A548" s="144"/>
      <c r="B548" s="141"/>
      <c r="C548" s="142"/>
      <c r="D548" s="143"/>
      <c r="E548" s="143"/>
      <c r="F548" s="144"/>
      <c r="G548" s="151"/>
      <c r="H548" s="151"/>
      <c r="I548" s="144"/>
      <c r="J548" s="144"/>
      <c r="K548" s="144"/>
      <c r="L548" s="144"/>
      <c r="M548" s="144"/>
      <c r="N548" s="144"/>
      <c r="O548" s="144"/>
      <c r="P548" s="144"/>
      <c r="Q548" s="144"/>
      <c r="R548" s="144"/>
      <c r="S548" s="144"/>
      <c r="T548" s="144"/>
      <c r="U548" s="144"/>
      <c r="V548" s="144"/>
      <c r="W548" s="144"/>
      <c r="X548" s="144"/>
      <c r="Y548" s="144"/>
      <c r="Z548" s="144"/>
    </row>
    <row r="549" spans="1:26" ht="18.75">
      <c r="A549" s="144"/>
      <c r="B549" s="141"/>
      <c r="C549" s="142"/>
      <c r="D549" s="143"/>
      <c r="E549" s="143"/>
      <c r="F549" s="144"/>
      <c r="G549" s="153"/>
      <c r="H549" s="153"/>
      <c r="I549" s="144"/>
      <c r="J549" s="144"/>
      <c r="K549" s="144"/>
      <c r="L549" s="144"/>
      <c r="M549" s="144"/>
      <c r="N549" s="144"/>
      <c r="O549" s="144"/>
      <c r="P549" s="144"/>
      <c r="Q549" s="144"/>
      <c r="R549" s="144"/>
      <c r="S549" s="144"/>
      <c r="T549" s="144"/>
      <c r="U549" s="144"/>
      <c r="V549" s="144"/>
      <c r="W549" s="144"/>
      <c r="X549" s="144"/>
      <c r="Y549" s="144"/>
      <c r="Z549" s="144"/>
    </row>
    <row r="550" spans="1:26" ht="18.75">
      <c r="A550" s="144"/>
      <c r="B550" s="141"/>
      <c r="C550" s="142"/>
      <c r="D550" s="143"/>
      <c r="E550" s="143"/>
      <c r="F550" s="144"/>
      <c r="G550" s="151"/>
      <c r="H550" s="151"/>
      <c r="I550" s="144"/>
      <c r="J550" s="144"/>
      <c r="K550" s="144"/>
      <c r="L550" s="144"/>
      <c r="M550" s="144"/>
      <c r="N550" s="144"/>
      <c r="O550" s="144"/>
      <c r="P550" s="144"/>
      <c r="Q550" s="144"/>
      <c r="R550" s="144"/>
      <c r="S550" s="144"/>
      <c r="T550" s="144"/>
      <c r="U550" s="144"/>
      <c r="V550" s="144"/>
      <c r="W550" s="144"/>
      <c r="X550" s="144"/>
      <c r="Y550" s="144"/>
      <c r="Z550" s="144"/>
    </row>
    <row r="551" spans="1:26" ht="18.75">
      <c r="A551" s="144"/>
      <c r="B551" s="141"/>
      <c r="C551" s="142"/>
      <c r="D551" s="143"/>
      <c r="E551" s="143"/>
      <c r="F551" s="144"/>
      <c r="G551" s="153"/>
      <c r="H551" s="153"/>
      <c r="I551" s="144"/>
      <c r="J551" s="144"/>
      <c r="K551" s="144"/>
      <c r="L551" s="144"/>
      <c r="M551" s="144"/>
      <c r="N551" s="144"/>
      <c r="O551" s="144"/>
      <c r="P551" s="144"/>
      <c r="Q551" s="144"/>
      <c r="R551" s="144"/>
      <c r="S551" s="144"/>
      <c r="T551" s="144"/>
      <c r="U551" s="144"/>
      <c r="V551" s="144"/>
      <c r="W551" s="144"/>
      <c r="X551" s="144"/>
      <c r="Y551" s="144"/>
      <c r="Z551" s="144"/>
    </row>
    <row r="552" spans="1:26" ht="18.75">
      <c r="A552" s="144"/>
      <c r="B552" s="141"/>
      <c r="C552" s="142"/>
      <c r="D552" s="143"/>
      <c r="E552" s="143"/>
      <c r="F552" s="144"/>
      <c r="G552" s="151"/>
      <c r="H552" s="151"/>
      <c r="I552" s="144"/>
      <c r="J552" s="144"/>
      <c r="K552" s="144"/>
      <c r="L552" s="144"/>
      <c r="M552" s="144"/>
      <c r="N552" s="144"/>
      <c r="O552" s="144"/>
      <c r="P552" s="144"/>
      <c r="Q552" s="144"/>
      <c r="R552" s="144"/>
      <c r="S552" s="144"/>
      <c r="T552" s="144"/>
      <c r="U552" s="144"/>
      <c r="V552" s="144"/>
      <c r="W552" s="144"/>
      <c r="X552" s="144"/>
      <c r="Y552" s="144"/>
      <c r="Z552" s="144"/>
    </row>
    <row r="553" spans="1:26" ht="18.75">
      <c r="A553" s="144"/>
      <c r="B553" s="141"/>
      <c r="C553" s="142"/>
      <c r="D553" s="143"/>
      <c r="E553" s="143"/>
      <c r="F553" s="144"/>
      <c r="G553" s="153"/>
      <c r="H553" s="153"/>
      <c r="I553" s="144"/>
      <c r="J553" s="144"/>
      <c r="K553" s="144"/>
      <c r="L553" s="144"/>
      <c r="M553" s="144"/>
      <c r="N553" s="144"/>
      <c r="O553" s="144"/>
      <c r="P553" s="144"/>
      <c r="Q553" s="144"/>
      <c r="R553" s="144"/>
      <c r="S553" s="144"/>
      <c r="T553" s="144"/>
      <c r="U553" s="144"/>
      <c r="V553" s="144"/>
      <c r="W553" s="144"/>
      <c r="X553" s="144"/>
      <c r="Y553" s="144"/>
      <c r="Z553" s="144"/>
    </row>
    <row r="554" spans="1:26" ht="18.75">
      <c r="A554" s="144"/>
      <c r="B554" s="141"/>
      <c r="C554" s="142"/>
      <c r="D554" s="143"/>
      <c r="E554" s="143"/>
      <c r="F554" s="144"/>
      <c r="G554" s="151"/>
      <c r="H554" s="151"/>
      <c r="I554" s="144"/>
      <c r="J554" s="144"/>
      <c r="K554" s="144"/>
      <c r="L554" s="144"/>
      <c r="M554" s="144"/>
      <c r="N554" s="144"/>
      <c r="O554" s="144"/>
      <c r="P554" s="144"/>
      <c r="Q554" s="144"/>
      <c r="R554" s="144"/>
      <c r="S554" s="144"/>
      <c r="T554" s="144"/>
      <c r="U554" s="144"/>
      <c r="V554" s="144"/>
      <c r="W554" s="144"/>
      <c r="X554" s="144"/>
      <c r="Y554" s="144"/>
      <c r="Z554" s="144"/>
    </row>
    <row r="555" spans="1:26" ht="18.75">
      <c r="A555" s="144"/>
      <c r="B555" s="141"/>
      <c r="C555" s="142"/>
      <c r="D555" s="143"/>
      <c r="E555" s="143"/>
      <c r="F555" s="144"/>
      <c r="G555" s="153"/>
      <c r="H555" s="153"/>
      <c r="I555" s="144"/>
      <c r="J555" s="144"/>
      <c r="K555" s="144"/>
      <c r="L555" s="144"/>
      <c r="M555" s="144"/>
      <c r="N555" s="144"/>
      <c r="O555" s="144"/>
      <c r="P555" s="144"/>
      <c r="Q555" s="144"/>
      <c r="R555" s="144"/>
      <c r="S555" s="144"/>
      <c r="T555" s="144"/>
      <c r="U555" s="144"/>
      <c r="V555" s="144"/>
      <c r="W555" s="144"/>
      <c r="X555" s="144"/>
      <c r="Y555" s="144"/>
      <c r="Z555" s="144"/>
    </row>
    <row r="556" spans="1:26" ht="18.75">
      <c r="A556" s="144"/>
      <c r="B556" s="141"/>
      <c r="C556" s="142"/>
      <c r="D556" s="143"/>
      <c r="E556" s="143"/>
      <c r="F556" s="144"/>
      <c r="G556" s="151"/>
      <c r="H556" s="151"/>
      <c r="I556" s="144"/>
      <c r="J556" s="144"/>
      <c r="K556" s="144"/>
      <c r="L556" s="144"/>
      <c r="M556" s="144"/>
      <c r="N556" s="144"/>
      <c r="O556" s="144"/>
      <c r="P556" s="144"/>
      <c r="Q556" s="144"/>
      <c r="R556" s="144"/>
      <c r="S556" s="144"/>
      <c r="T556" s="144"/>
      <c r="U556" s="144"/>
      <c r="V556" s="144"/>
      <c r="W556" s="144"/>
      <c r="X556" s="144"/>
      <c r="Y556" s="144"/>
      <c r="Z556" s="144"/>
    </row>
    <row r="557" spans="1:26" ht="18.75">
      <c r="A557" s="144"/>
      <c r="B557" s="141"/>
      <c r="C557" s="142"/>
      <c r="D557" s="143"/>
      <c r="E557" s="143"/>
      <c r="F557" s="144"/>
      <c r="G557" s="153"/>
      <c r="H557" s="153"/>
      <c r="I557" s="144"/>
      <c r="J557" s="144"/>
      <c r="K557" s="144"/>
      <c r="L557" s="144"/>
      <c r="M557" s="144"/>
      <c r="N557" s="144"/>
      <c r="O557" s="144"/>
      <c r="P557" s="144"/>
      <c r="Q557" s="144"/>
      <c r="R557" s="144"/>
      <c r="S557" s="144"/>
      <c r="T557" s="144"/>
      <c r="U557" s="144"/>
      <c r="V557" s="144"/>
      <c r="W557" s="144"/>
      <c r="X557" s="144"/>
      <c r="Y557" s="144"/>
      <c r="Z557" s="144"/>
    </row>
    <row r="558" spans="1:26" ht="18.75">
      <c r="A558" s="144"/>
      <c r="B558" s="141"/>
      <c r="C558" s="142"/>
      <c r="D558" s="143"/>
      <c r="E558" s="143"/>
      <c r="F558" s="144"/>
      <c r="G558" s="151"/>
      <c r="H558" s="151"/>
      <c r="I558" s="144"/>
      <c r="J558" s="144"/>
      <c r="K558" s="144"/>
      <c r="L558" s="144"/>
      <c r="M558" s="144"/>
      <c r="N558" s="144"/>
      <c r="O558" s="144"/>
      <c r="P558" s="144"/>
      <c r="Q558" s="144"/>
      <c r="R558" s="144"/>
      <c r="S558" s="144"/>
      <c r="T558" s="144"/>
      <c r="U558" s="144"/>
      <c r="V558" s="144"/>
      <c r="W558" s="144"/>
      <c r="X558" s="144"/>
      <c r="Y558" s="144"/>
      <c r="Z558" s="144"/>
    </row>
    <row r="559" spans="1:26" ht="18.75">
      <c r="A559" s="144"/>
      <c r="B559" s="141"/>
      <c r="C559" s="142"/>
      <c r="D559" s="143"/>
      <c r="E559" s="143"/>
      <c r="F559" s="144"/>
      <c r="G559" s="153"/>
      <c r="H559" s="153"/>
      <c r="I559" s="144"/>
      <c r="J559" s="144"/>
      <c r="K559" s="144"/>
      <c r="L559" s="144"/>
      <c r="M559" s="144"/>
      <c r="N559" s="144"/>
      <c r="O559" s="144"/>
      <c r="P559" s="144"/>
      <c r="Q559" s="144"/>
      <c r="R559" s="144"/>
      <c r="S559" s="144"/>
      <c r="T559" s="144"/>
      <c r="U559" s="144"/>
      <c r="V559" s="144"/>
      <c r="W559" s="144"/>
      <c r="X559" s="144"/>
      <c r="Y559" s="144"/>
      <c r="Z559" s="144"/>
    </row>
    <row r="560" spans="1:26" ht="18.75">
      <c r="A560" s="144"/>
      <c r="B560" s="141"/>
      <c r="C560" s="142"/>
      <c r="D560" s="143"/>
      <c r="E560" s="143"/>
      <c r="F560" s="144"/>
      <c r="G560" s="151"/>
      <c r="H560" s="151"/>
      <c r="I560" s="144"/>
      <c r="J560" s="144"/>
      <c r="K560" s="144"/>
      <c r="L560" s="144"/>
      <c r="M560" s="144"/>
      <c r="N560" s="144"/>
      <c r="O560" s="144"/>
      <c r="P560" s="144"/>
      <c r="Q560" s="144"/>
      <c r="R560" s="144"/>
      <c r="S560" s="144"/>
      <c r="T560" s="144"/>
      <c r="U560" s="144"/>
      <c r="V560" s="144"/>
      <c r="W560" s="144"/>
      <c r="X560" s="144"/>
      <c r="Y560" s="144"/>
      <c r="Z560" s="144"/>
    </row>
    <row r="561" spans="1:26" ht="18.75">
      <c r="A561" s="144"/>
      <c r="B561" s="141"/>
      <c r="C561" s="142"/>
      <c r="D561" s="143"/>
      <c r="E561" s="143"/>
      <c r="F561" s="144"/>
      <c r="G561" s="153"/>
      <c r="H561" s="153"/>
      <c r="I561" s="144"/>
      <c r="J561" s="144"/>
      <c r="K561" s="144"/>
      <c r="L561" s="144"/>
      <c r="M561" s="144"/>
      <c r="N561" s="144"/>
      <c r="O561" s="144"/>
      <c r="P561" s="144"/>
      <c r="Q561" s="144"/>
      <c r="R561" s="144"/>
      <c r="S561" s="144"/>
      <c r="T561" s="144"/>
      <c r="U561" s="144"/>
      <c r="V561" s="144"/>
      <c r="W561" s="144"/>
      <c r="X561" s="144"/>
      <c r="Y561" s="144"/>
      <c r="Z561" s="144"/>
    </row>
    <row r="562" spans="1:26" ht="18.75">
      <c r="A562" s="144"/>
      <c r="B562" s="141"/>
      <c r="C562" s="142"/>
      <c r="D562" s="143"/>
      <c r="E562" s="143"/>
      <c r="F562" s="144"/>
      <c r="G562" s="151"/>
      <c r="H562" s="151"/>
      <c r="I562" s="144"/>
      <c r="J562" s="144"/>
      <c r="K562" s="144"/>
      <c r="L562" s="144"/>
      <c r="M562" s="144"/>
      <c r="N562" s="144"/>
      <c r="O562" s="144"/>
      <c r="P562" s="144"/>
      <c r="Q562" s="144"/>
      <c r="R562" s="144"/>
      <c r="S562" s="144"/>
      <c r="T562" s="144"/>
      <c r="U562" s="144"/>
      <c r="V562" s="144"/>
      <c r="W562" s="144"/>
      <c r="X562" s="144"/>
      <c r="Y562" s="144"/>
      <c r="Z562" s="144"/>
    </row>
    <row r="563" spans="1:26" ht="18.75">
      <c r="A563" s="144"/>
      <c r="B563" s="141"/>
      <c r="C563" s="142"/>
      <c r="D563" s="143"/>
      <c r="E563" s="143"/>
      <c r="F563" s="144"/>
      <c r="G563" s="153"/>
      <c r="H563" s="153"/>
      <c r="I563" s="144"/>
      <c r="J563" s="144"/>
      <c r="K563" s="144"/>
      <c r="L563" s="144"/>
      <c r="M563" s="144"/>
      <c r="N563" s="144"/>
      <c r="O563" s="144"/>
      <c r="P563" s="144"/>
      <c r="Q563" s="144"/>
      <c r="R563" s="144"/>
      <c r="S563" s="144"/>
      <c r="T563" s="144"/>
      <c r="U563" s="144"/>
      <c r="V563" s="144"/>
      <c r="W563" s="144"/>
      <c r="X563" s="144"/>
      <c r="Y563" s="144"/>
      <c r="Z563" s="144"/>
    </row>
    <row r="564" spans="1:26" ht="18.75">
      <c r="A564" s="144"/>
      <c r="B564" s="141"/>
      <c r="C564" s="142"/>
      <c r="D564" s="143"/>
      <c r="E564" s="143"/>
      <c r="F564" s="144"/>
      <c r="G564" s="151"/>
      <c r="H564" s="151"/>
      <c r="I564" s="144"/>
      <c r="J564" s="144"/>
      <c r="K564" s="144"/>
      <c r="L564" s="144"/>
      <c r="M564" s="144"/>
      <c r="N564" s="144"/>
      <c r="O564" s="144"/>
      <c r="P564" s="144"/>
      <c r="Q564" s="144"/>
      <c r="R564" s="144"/>
      <c r="S564" s="144"/>
      <c r="T564" s="144"/>
      <c r="U564" s="144"/>
      <c r="V564" s="144"/>
      <c r="W564" s="144"/>
      <c r="X564" s="144"/>
      <c r="Y564" s="144"/>
      <c r="Z564" s="144"/>
    </row>
    <row r="565" spans="1:26" ht="18.75">
      <c r="A565" s="144"/>
      <c r="B565" s="141"/>
      <c r="C565" s="142"/>
      <c r="D565" s="143"/>
      <c r="E565" s="143"/>
      <c r="F565" s="144"/>
      <c r="G565" s="153"/>
      <c r="H565" s="153"/>
      <c r="I565" s="144"/>
      <c r="J565" s="144"/>
      <c r="K565" s="144"/>
      <c r="L565" s="144"/>
      <c r="M565" s="144"/>
      <c r="N565" s="144"/>
      <c r="O565" s="144"/>
      <c r="P565" s="144"/>
      <c r="Q565" s="144"/>
      <c r="R565" s="144"/>
      <c r="S565" s="144"/>
      <c r="T565" s="144"/>
      <c r="U565" s="144"/>
      <c r="V565" s="144"/>
      <c r="W565" s="144"/>
      <c r="X565" s="144"/>
      <c r="Y565" s="144"/>
      <c r="Z565" s="144"/>
    </row>
    <row r="566" spans="1:26" ht="18.75">
      <c r="A566" s="144"/>
      <c r="B566" s="141"/>
      <c r="C566" s="142"/>
      <c r="D566" s="143"/>
      <c r="E566" s="143"/>
      <c r="F566" s="144"/>
      <c r="G566" s="151"/>
      <c r="H566" s="151"/>
      <c r="I566" s="144"/>
      <c r="J566" s="144"/>
      <c r="K566" s="144"/>
      <c r="L566" s="144"/>
      <c r="M566" s="144"/>
      <c r="N566" s="144"/>
      <c r="O566" s="144"/>
      <c r="P566" s="144"/>
      <c r="Q566" s="144"/>
      <c r="R566" s="144"/>
      <c r="S566" s="144"/>
      <c r="T566" s="144"/>
      <c r="U566" s="144"/>
      <c r="V566" s="144"/>
      <c r="W566" s="144"/>
      <c r="X566" s="144"/>
      <c r="Y566" s="144"/>
      <c r="Z566" s="144"/>
    </row>
    <row r="567" spans="1:26" ht="18.75">
      <c r="A567" s="144"/>
      <c r="B567" s="141"/>
      <c r="C567" s="142"/>
      <c r="D567" s="143"/>
      <c r="E567" s="143"/>
      <c r="F567" s="144"/>
      <c r="G567" s="153"/>
      <c r="H567" s="153"/>
      <c r="I567" s="144"/>
      <c r="J567" s="144"/>
      <c r="K567" s="144"/>
      <c r="L567" s="144"/>
      <c r="M567" s="144"/>
      <c r="N567" s="144"/>
      <c r="O567" s="144"/>
      <c r="P567" s="144"/>
      <c r="Q567" s="144"/>
      <c r="R567" s="144"/>
      <c r="S567" s="144"/>
      <c r="T567" s="144"/>
      <c r="U567" s="144"/>
      <c r="V567" s="144"/>
      <c r="W567" s="144"/>
      <c r="X567" s="144"/>
      <c r="Y567" s="144"/>
      <c r="Z567" s="144"/>
    </row>
    <row r="568" spans="1:26" ht="18.75">
      <c r="A568" s="144"/>
      <c r="B568" s="141"/>
      <c r="C568" s="142"/>
      <c r="D568" s="143"/>
      <c r="E568" s="143"/>
      <c r="F568" s="144"/>
      <c r="G568" s="151"/>
      <c r="H568" s="151"/>
      <c r="I568" s="144"/>
      <c r="J568" s="144"/>
      <c r="K568" s="144"/>
      <c r="L568" s="144"/>
      <c r="M568" s="144"/>
      <c r="N568" s="144"/>
      <c r="O568" s="144"/>
      <c r="P568" s="144"/>
      <c r="Q568" s="144"/>
      <c r="R568" s="144"/>
      <c r="S568" s="144"/>
      <c r="T568" s="144"/>
      <c r="U568" s="144"/>
      <c r="V568" s="144"/>
      <c r="W568" s="144"/>
      <c r="X568" s="144"/>
      <c r="Y568" s="144"/>
      <c r="Z568" s="144"/>
    </row>
    <row r="569" spans="1:26" ht="18.75">
      <c r="A569" s="144"/>
      <c r="B569" s="141"/>
      <c r="C569" s="142"/>
      <c r="D569" s="143"/>
      <c r="E569" s="143"/>
      <c r="F569" s="144"/>
      <c r="G569" s="153"/>
      <c r="H569" s="153"/>
      <c r="I569" s="144"/>
      <c r="J569" s="144"/>
      <c r="K569" s="144"/>
      <c r="L569" s="144"/>
      <c r="M569" s="144"/>
      <c r="N569" s="144"/>
      <c r="O569" s="144"/>
      <c r="P569" s="144"/>
      <c r="Q569" s="144"/>
      <c r="R569" s="144"/>
      <c r="S569" s="144"/>
      <c r="T569" s="144"/>
      <c r="U569" s="144"/>
      <c r="V569" s="144"/>
      <c r="W569" s="144"/>
      <c r="X569" s="144"/>
      <c r="Y569" s="144"/>
      <c r="Z569" s="144"/>
    </row>
    <row r="570" spans="1:26" ht="18.75">
      <c r="A570" s="144"/>
      <c r="B570" s="141"/>
      <c r="C570" s="142"/>
      <c r="D570" s="143"/>
      <c r="E570" s="143"/>
      <c r="F570" s="144"/>
      <c r="G570" s="151"/>
      <c r="H570" s="151"/>
      <c r="I570" s="144"/>
      <c r="J570" s="144"/>
      <c r="K570" s="144"/>
      <c r="L570" s="144"/>
      <c r="M570" s="144"/>
      <c r="N570" s="144"/>
      <c r="O570" s="144"/>
      <c r="P570" s="144"/>
      <c r="Q570" s="144"/>
      <c r="R570" s="144"/>
      <c r="S570" s="144"/>
      <c r="T570" s="144"/>
      <c r="U570" s="144"/>
      <c r="V570" s="144"/>
      <c r="W570" s="144"/>
      <c r="X570" s="144"/>
      <c r="Y570" s="144"/>
      <c r="Z570" s="144"/>
    </row>
    <row r="571" spans="1:26" ht="18.75">
      <c r="A571" s="144"/>
      <c r="B571" s="141"/>
      <c r="C571" s="142"/>
      <c r="D571" s="143"/>
      <c r="E571" s="143"/>
      <c r="F571" s="144"/>
      <c r="G571" s="153"/>
      <c r="H571" s="153"/>
      <c r="I571" s="144"/>
      <c r="J571" s="144"/>
      <c r="K571" s="144"/>
      <c r="L571" s="144"/>
      <c r="M571" s="144"/>
      <c r="N571" s="144"/>
      <c r="O571" s="144"/>
      <c r="P571" s="144"/>
      <c r="Q571" s="144"/>
      <c r="R571" s="144"/>
      <c r="S571" s="144"/>
      <c r="T571" s="144"/>
      <c r="U571" s="144"/>
      <c r="V571" s="144"/>
      <c r="W571" s="144"/>
      <c r="X571" s="144"/>
      <c r="Y571" s="144"/>
      <c r="Z571" s="144"/>
    </row>
    <row r="572" spans="1:26" ht="18.75">
      <c r="A572" s="144"/>
      <c r="B572" s="141"/>
      <c r="C572" s="142"/>
      <c r="D572" s="143"/>
      <c r="E572" s="143"/>
      <c r="F572" s="144"/>
      <c r="G572" s="151"/>
      <c r="H572" s="151"/>
      <c r="I572" s="144"/>
      <c r="J572" s="144"/>
      <c r="K572" s="144"/>
      <c r="L572" s="144"/>
      <c r="M572" s="144"/>
      <c r="N572" s="144"/>
      <c r="O572" s="144"/>
      <c r="P572" s="144"/>
      <c r="Q572" s="144"/>
      <c r="R572" s="144"/>
      <c r="S572" s="144"/>
      <c r="T572" s="144"/>
      <c r="U572" s="144"/>
      <c r="V572" s="144"/>
      <c r="W572" s="144"/>
      <c r="X572" s="144"/>
      <c r="Y572" s="144"/>
      <c r="Z572" s="144"/>
    </row>
    <row r="573" spans="1:26" ht="18.75">
      <c r="A573" s="144"/>
      <c r="B573" s="141"/>
      <c r="C573" s="142"/>
      <c r="D573" s="143"/>
      <c r="E573" s="143"/>
      <c r="F573" s="144"/>
      <c r="G573" s="153"/>
      <c r="H573" s="153"/>
      <c r="I573" s="144"/>
      <c r="J573" s="144"/>
      <c r="K573" s="144"/>
      <c r="L573" s="144"/>
      <c r="M573" s="144"/>
      <c r="N573" s="144"/>
      <c r="O573" s="144"/>
      <c r="P573" s="144"/>
      <c r="Q573" s="144"/>
      <c r="R573" s="144"/>
      <c r="S573" s="144"/>
      <c r="T573" s="144"/>
      <c r="U573" s="144"/>
      <c r="V573" s="144"/>
      <c r="W573" s="144"/>
      <c r="X573" s="144"/>
      <c r="Y573" s="144"/>
      <c r="Z573" s="144"/>
    </row>
    <row r="574" spans="1:26" ht="18.75">
      <c r="A574" s="144"/>
      <c r="B574" s="141"/>
      <c r="C574" s="142"/>
      <c r="D574" s="143"/>
      <c r="E574" s="143"/>
      <c r="F574" s="144"/>
      <c r="G574" s="151"/>
      <c r="H574" s="151"/>
      <c r="I574" s="144"/>
      <c r="J574" s="144"/>
      <c r="K574" s="144"/>
      <c r="L574" s="144"/>
      <c r="M574" s="144"/>
      <c r="N574" s="144"/>
      <c r="O574" s="144"/>
      <c r="P574" s="144"/>
      <c r="Q574" s="144"/>
      <c r="R574" s="144"/>
      <c r="S574" s="144"/>
      <c r="T574" s="144"/>
      <c r="U574" s="144"/>
      <c r="V574" s="144"/>
      <c r="W574" s="144"/>
      <c r="X574" s="144"/>
      <c r="Y574" s="144"/>
      <c r="Z574" s="144"/>
    </row>
    <row r="575" spans="1:26" ht="18.75">
      <c r="A575" s="144"/>
      <c r="B575" s="141"/>
      <c r="C575" s="142"/>
      <c r="D575" s="143"/>
      <c r="E575" s="143"/>
      <c r="F575" s="144"/>
      <c r="G575" s="153"/>
      <c r="H575" s="153"/>
      <c r="I575" s="144"/>
      <c r="J575" s="144"/>
      <c r="K575" s="144"/>
      <c r="L575" s="144"/>
      <c r="M575" s="144"/>
      <c r="N575" s="144"/>
      <c r="O575" s="144"/>
      <c r="P575" s="144"/>
      <c r="Q575" s="144"/>
      <c r="R575" s="144"/>
      <c r="S575" s="144"/>
      <c r="T575" s="144"/>
      <c r="U575" s="144"/>
      <c r="V575" s="144"/>
      <c r="W575" s="144"/>
      <c r="X575" s="144"/>
      <c r="Y575" s="144"/>
      <c r="Z575" s="144"/>
    </row>
    <row r="576" spans="1:26" ht="18.75">
      <c r="A576" s="144"/>
      <c r="B576" s="141"/>
      <c r="C576" s="142"/>
      <c r="D576" s="143"/>
      <c r="E576" s="143"/>
      <c r="F576" s="144"/>
      <c r="G576" s="151"/>
      <c r="H576" s="151"/>
      <c r="I576" s="144"/>
      <c r="J576" s="144"/>
      <c r="K576" s="144"/>
      <c r="L576" s="144"/>
      <c r="M576" s="144"/>
      <c r="N576" s="144"/>
      <c r="O576" s="144"/>
      <c r="P576" s="144"/>
      <c r="Q576" s="144"/>
      <c r="R576" s="144"/>
      <c r="S576" s="144"/>
      <c r="T576" s="144"/>
      <c r="U576" s="144"/>
      <c r="V576" s="144"/>
      <c r="W576" s="144"/>
      <c r="X576" s="144"/>
      <c r="Y576" s="144"/>
      <c r="Z576" s="144"/>
    </row>
    <row r="577" spans="1:26" ht="18.75">
      <c r="A577" s="144"/>
      <c r="B577" s="141"/>
      <c r="C577" s="142"/>
      <c r="D577" s="143"/>
      <c r="E577" s="143"/>
      <c r="F577" s="144"/>
      <c r="G577" s="153"/>
      <c r="H577" s="153"/>
      <c r="I577" s="144"/>
      <c r="J577" s="144"/>
      <c r="K577" s="144"/>
      <c r="L577" s="144"/>
      <c r="M577" s="144"/>
      <c r="N577" s="144"/>
      <c r="O577" s="144"/>
      <c r="P577" s="144"/>
      <c r="Q577" s="144"/>
      <c r="R577" s="144"/>
      <c r="S577" s="144"/>
      <c r="T577" s="144"/>
      <c r="U577" s="144"/>
      <c r="V577" s="144"/>
      <c r="W577" s="144"/>
      <c r="X577" s="144"/>
      <c r="Y577" s="144"/>
      <c r="Z577" s="144"/>
    </row>
    <row r="578" spans="1:26" ht="18.75">
      <c r="A578" s="144"/>
      <c r="B578" s="141"/>
      <c r="C578" s="142"/>
      <c r="D578" s="143"/>
      <c r="E578" s="143"/>
      <c r="F578" s="144"/>
      <c r="G578" s="151"/>
      <c r="H578" s="151"/>
      <c r="I578" s="144"/>
      <c r="J578" s="144"/>
      <c r="K578" s="144"/>
      <c r="L578" s="144"/>
      <c r="M578" s="144"/>
      <c r="N578" s="144"/>
      <c r="O578" s="144"/>
      <c r="P578" s="144"/>
      <c r="Q578" s="144"/>
      <c r="R578" s="144"/>
      <c r="S578" s="144"/>
      <c r="T578" s="144"/>
      <c r="U578" s="144"/>
      <c r="V578" s="144"/>
      <c r="W578" s="144"/>
      <c r="X578" s="144"/>
      <c r="Y578" s="144"/>
      <c r="Z578" s="144"/>
    </row>
    <row r="579" spans="1:26" ht="18.75">
      <c r="A579" s="144"/>
      <c r="B579" s="141"/>
      <c r="C579" s="142"/>
      <c r="D579" s="143"/>
      <c r="E579" s="143"/>
      <c r="F579" s="144"/>
      <c r="G579" s="153"/>
      <c r="H579" s="153"/>
      <c r="I579" s="144"/>
      <c r="J579" s="144"/>
      <c r="K579" s="144"/>
      <c r="L579" s="144"/>
      <c r="M579" s="144"/>
      <c r="N579" s="144"/>
      <c r="O579" s="144"/>
      <c r="P579" s="144"/>
      <c r="Q579" s="144"/>
      <c r="R579" s="144"/>
      <c r="S579" s="144"/>
      <c r="T579" s="144"/>
      <c r="U579" s="144"/>
      <c r="V579" s="144"/>
      <c r="W579" s="144"/>
      <c r="X579" s="144"/>
      <c r="Y579" s="144"/>
      <c r="Z579" s="144"/>
    </row>
    <row r="580" spans="1:26" ht="18.75">
      <c r="A580" s="144"/>
      <c r="B580" s="141"/>
      <c r="C580" s="142"/>
      <c r="D580" s="143"/>
      <c r="E580" s="143"/>
      <c r="F580" s="144"/>
      <c r="G580" s="151"/>
      <c r="H580" s="151"/>
      <c r="I580" s="144"/>
      <c r="J580" s="144"/>
      <c r="K580" s="144"/>
      <c r="L580" s="144"/>
      <c r="M580" s="144"/>
      <c r="N580" s="144"/>
      <c r="O580" s="144"/>
      <c r="P580" s="144"/>
      <c r="Q580" s="144"/>
      <c r="R580" s="144"/>
      <c r="S580" s="144"/>
      <c r="T580" s="144"/>
      <c r="U580" s="144"/>
      <c r="V580" s="144"/>
      <c r="W580" s="144"/>
      <c r="X580" s="144"/>
      <c r="Y580" s="144"/>
      <c r="Z580" s="144"/>
    </row>
    <row r="581" spans="1:26" ht="18.75">
      <c r="A581" s="144"/>
      <c r="B581" s="141"/>
      <c r="C581" s="142"/>
      <c r="D581" s="143"/>
      <c r="E581" s="143"/>
      <c r="F581" s="144"/>
      <c r="G581" s="153"/>
      <c r="H581" s="153"/>
      <c r="I581" s="144"/>
      <c r="J581" s="144"/>
      <c r="K581" s="144"/>
      <c r="L581" s="144"/>
      <c r="M581" s="144"/>
      <c r="N581" s="144"/>
      <c r="O581" s="144"/>
      <c r="P581" s="144"/>
      <c r="Q581" s="144"/>
      <c r="R581" s="144"/>
      <c r="S581" s="144"/>
      <c r="T581" s="144"/>
      <c r="U581" s="144"/>
      <c r="V581" s="144"/>
      <c r="W581" s="144"/>
      <c r="X581" s="144"/>
      <c r="Y581" s="144"/>
      <c r="Z581" s="144"/>
    </row>
    <row r="582" spans="1:26" ht="18.75">
      <c r="A582" s="144"/>
      <c r="B582" s="141"/>
      <c r="C582" s="142"/>
      <c r="D582" s="143"/>
      <c r="E582" s="143"/>
      <c r="F582" s="144"/>
      <c r="G582" s="151"/>
      <c r="H582" s="151"/>
      <c r="I582" s="144"/>
      <c r="J582" s="144"/>
      <c r="K582" s="144"/>
      <c r="L582" s="144"/>
      <c r="M582" s="144"/>
      <c r="N582" s="144"/>
      <c r="O582" s="144"/>
      <c r="P582" s="144"/>
      <c r="Q582" s="144"/>
      <c r="R582" s="144"/>
      <c r="S582" s="144"/>
      <c r="T582" s="144"/>
      <c r="U582" s="144"/>
      <c r="V582" s="144"/>
      <c r="W582" s="144"/>
      <c r="X582" s="144"/>
      <c r="Y582" s="144"/>
      <c r="Z582" s="144"/>
    </row>
    <row r="583" spans="1:26" ht="18.75">
      <c r="A583" s="144"/>
      <c r="B583" s="141"/>
      <c r="C583" s="142"/>
      <c r="D583" s="143"/>
      <c r="E583" s="143"/>
      <c r="F583" s="144"/>
      <c r="G583" s="153"/>
      <c r="H583" s="153"/>
      <c r="I583" s="144"/>
      <c r="J583" s="144"/>
      <c r="K583" s="144"/>
      <c r="L583" s="144"/>
      <c r="M583" s="144"/>
      <c r="N583" s="144"/>
      <c r="O583" s="144"/>
      <c r="P583" s="144"/>
      <c r="Q583" s="144"/>
      <c r="R583" s="144"/>
      <c r="S583" s="144"/>
      <c r="T583" s="144"/>
      <c r="U583" s="144"/>
      <c r="V583" s="144"/>
      <c r="W583" s="144"/>
      <c r="X583" s="144"/>
      <c r="Y583" s="144"/>
      <c r="Z583" s="144"/>
    </row>
    <row r="584" spans="1:26" ht="18.75">
      <c r="A584" s="144"/>
      <c r="B584" s="141"/>
      <c r="C584" s="142"/>
      <c r="D584" s="143"/>
      <c r="E584" s="143"/>
      <c r="F584" s="144"/>
      <c r="G584" s="151"/>
      <c r="H584" s="151"/>
      <c r="I584" s="144"/>
      <c r="J584" s="144"/>
      <c r="K584" s="144"/>
      <c r="L584" s="144"/>
      <c r="M584" s="144"/>
      <c r="N584" s="144"/>
      <c r="O584" s="144"/>
      <c r="P584" s="144"/>
      <c r="Q584" s="144"/>
      <c r="R584" s="144"/>
      <c r="S584" s="144"/>
      <c r="T584" s="144"/>
      <c r="U584" s="144"/>
      <c r="V584" s="144"/>
      <c r="W584" s="144"/>
      <c r="X584" s="144"/>
      <c r="Y584" s="144"/>
      <c r="Z584" s="144"/>
    </row>
    <row r="585" spans="1:26" ht="18.75">
      <c r="A585" s="144"/>
      <c r="B585" s="141"/>
      <c r="C585" s="142"/>
      <c r="D585" s="143"/>
      <c r="E585" s="143"/>
      <c r="F585" s="144"/>
      <c r="G585" s="153"/>
      <c r="H585" s="153"/>
      <c r="I585" s="144"/>
      <c r="J585" s="144"/>
      <c r="K585" s="144"/>
      <c r="L585" s="144"/>
      <c r="M585" s="144"/>
      <c r="N585" s="144"/>
      <c r="O585" s="144"/>
      <c r="P585" s="144"/>
      <c r="Q585" s="144"/>
      <c r="R585" s="144"/>
      <c r="S585" s="144"/>
      <c r="T585" s="144"/>
      <c r="U585" s="144"/>
      <c r="V585" s="144"/>
      <c r="W585" s="144"/>
      <c r="X585" s="144"/>
      <c r="Y585" s="144"/>
      <c r="Z585" s="144"/>
    </row>
    <row r="586" spans="1:26" ht="18.75">
      <c r="A586" s="144"/>
      <c r="B586" s="141"/>
      <c r="C586" s="142"/>
      <c r="D586" s="143"/>
      <c r="E586" s="143"/>
      <c r="F586" s="144"/>
      <c r="G586" s="151"/>
      <c r="H586" s="151"/>
      <c r="I586" s="144"/>
      <c r="J586" s="144"/>
      <c r="K586" s="144"/>
      <c r="L586" s="144"/>
      <c r="M586" s="144"/>
      <c r="N586" s="144"/>
      <c r="O586" s="144"/>
      <c r="P586" s="144"/>
      <c r="Q586" s="144"/>
      <c r="R586" s="144"/>
      <c r="S586" s="144"/>
      <c r="T586" s="144"/>
      <c r="U586" s="144"/>
      <c r="V586" s="144"/>
      <c r="W586" s="144"/>
      <c r="X586" s="144"/>
      <c r="Y586" s="144"/>
      <c r="Z586" s="144"/>
    </row>
    <row r="587" spans="1:26" ht="18.75">
      <c r="A587" s="144"/>
      <c r="B587" s="141"/>
      <c r="C587" s="142"/>
      <c r="D587" s="143"/>
      <c r="E587" s="143"/>
      <c r="F587" s="144"/>
      <c r="G587" s="153"/>
      <c r="H587" s="153"/>
      <c r="I587" s="144"/>
      <c r="J587" s="144"/>
      <c r="K587" s="144"/>
      <c r="L587" s="144"/>
      <c r="M587" s="144"/>
      <c r="N587" s="144"/>
      <c r="O587" s="144"/>
      <c r="P587" s="144"/>
      <c r="Q587" s="144"/>
      <c r="R587" s="144"/>
      <c r="S587" s="144"/>
      <c r="T587" s="144"/>
      <c r="U587" s="144"/>
      <c r="V587" s="144"/>
      <c r="W587" s="144"/>
      <c r="X587" s="144"/>
      <c r="Y587" s="144"/>
      <c r="Z587" s="144"/>
    </row>
    <row r="588" spans="1:26" ht="18.75">
      <c r="A588" s="144"/>
      <c r="B588" s="141"/>
      <c r="C588" s="142"/>
      <c r="D588" s="143"/>
      <c r="E588" s="143"/>
      <c r="F588" s="144"/>
      <c r="G588" s="151"/>
      <c r="H588" s="151"/>
      <c r="I588" s="144"/>
      <c r="J588" s="144"/>
      <c r="K588" s="144"/>
      <c r="L588" s="144"/>
      <c r="M588" s="144"/>
      <c r="N588" s="144"/>
      <c r="O588" s="144"/>
      <c r="P588" s="144"/>
      <c r="Q588" s="144"/>
      <c r="R588" s="144"/>
      <c r="S588" s="144"/>
      <c r="T588" s="144"/>
      <c r="U588" s="144"/>
      <c r="V588" s="144"/>
      <c r="W588" s="144"/>
      <c r="X588" s="144"/>
      <c r="Y588" s="144"/>
      <c r="Z588" s="144"/>
    </row>
    <row r="589" spans="1:26" ht="18.75">
      <c r="A589" s="144"/>
      <c r="B589" s="141"/>
      <c r="C589" s="142"/>
      <c r="D589" s="143"/>
      <c r="E589" s="143"/>
      <c r="F589" s="144"/>
      <c r="G589" s="153"/>
      <c r="H589" s="153"/>
      <c r="I589" s="144"/>
      <c r="J589" s="144"/>
      <c r="K589" s="144"/>
      <c r="L589" s="144"/>
      <c r="M589" s="144"/>
      <c r="N589" s="144"/>
      <c r="O589" s="144"/>
      <c r="P589" s="144"/>
      <c r="Q589" s="144"/>
      <c r="R589" s="144"/>
      <c r="S589" s="144"/>
      <c r="T589" s="144"/>
      <c r="U589" s="144"/>
      <c r="V589" s="144"/>
      <c r="W589" s="144"/>
      <c r="X589" s="144"/>
      <c r="Y589" s="144"/>
      <c r="Z589" s="144"/>
    </row>
    <row r="590" spans="1:26" ht="18.75">
      <c r="A590" s="144"/>
      <c r="B590" s="141"/>
      <c r="C590" s="142"/>
      <c r="D590" s="143"/>
      <c r="E590" s="143"/>
      <c r="F590" s="144"/>
      <c r="G590" s="151"/>
      <c r="H590" s="151"/>
      <c r="I590" s="144"/>
      <c r="J590" s="144"/>
      <c r="K590" s="144"/>
      <c r="L590" s="144"/>
      <c r="M590" s="144"/>
      <c r="N590" s="144"/>
      <c r="O590" s="144"/>
      <c r="P590" s="144"/>
      <c r="Q590" s="144"/>
      <c r="R590" s="144"/>
      <c r="S590" s="144"/>
      <c r="T590" s="144"/>
      <c r="U590" s="144"/>
      <c r="V590" s="144"/>
      <c r="W590" s="144"/>
      <c r="X590" s="144"/>
      <c r="Y590" s="144"/>
      <c r="Z590" s="144"/>
    </row>
    <row r="591" spans="1:26" ht="18.75">
      <c r="A591" s="144"/>
      <c r="B591" s="141"/>
      <c r="C591" s="142"/>
      <c r="D591" s="143"/>
      <c r="E591" s="143"/>
      <c r="F591" s="144"/>
      <c r="G591" s="153"/>
      <c r="H591" s="153"/>
      <c r="I591" s="144"/>
      <c r="J591" s="144"/>
      <c r="K591" s="144"/>
      <c r="L591" s="144"/>
      <c r="M591" s="144"/>
      <c r="N591" s="144"/>
      <c r="O591" s="144"/>
      <c r="P591" s="144"/>
      <c r="Q591" s="144"/>
      <c r="R591" s="144"/>
      <c r="S591" s="144"/>
      <c r="T591" s="144"/>
      <c r="U591" s="144"/>
      <c r="V591" s="144"/>
      <c r="W591" s="144"/>
      <c r="X591" s="144"/>
      <c r="Y591" s="144"/>
      <c r="Z591" s="144"/>
    </row>
    <row r="592" spans="1:26" ht="18.75">
      <c r="A592" s="144"/>
      <c r="B592" s="141"/>
      <c r="C592" s="142"/>
      <c r="D592" s="143"/>
      <c r="E592" s="143"/>
      <c r="F592" s="144"/>
      <c r="G592" s="151"/>
      <c r="H592" s="151"/>
      <c r="I592" s="144"/>
      <c r="J592" s="144"/>
      <c r="K592" s="144"/>
      <c r="L592" s="144"/>
      <c r="M592" s="144"/>
      <c r="N592" s="144"/>
      <c r="O592" s="144"/>
      <c r="P592" s="144"/>
      <c r="Q592" s="144"/>
      <c r="R592" s="144"/>
      <c r="S592" s="144"/>
      <c r="T592" s="144"/>
      <c r="U592" s="144"/>
      <c r="V592" s="144"/>
      <c r="W592" s="144"/>
      <c r="X592" s="144"/>
      <c r="Y592" s="144"/>
      <c r="Z592" s="144"/>
    </row>
    <row r="593" spans="1:26" ht="18.75">
      <c r="A593" s="144"/>
      <c r="B593" s="141"/>
      <c r="C593" s="142"/>
      <c r="D593" s="143"/>
      <c r="E593" s="143"/>
      <c r="F593" s="144"/>
      <c r="G593" s="153"/>
      <c r="H593" s="153"/>
      <c r="I593" s="144"/>
      <c r="J593" s="144"/>
      <c r="K593" s="144"/>
      <c r="L593" s="144"/>
      <c r="M593" s="144"/>
      <c r="N593" s="144"/>
      <c r="O593" s="144"/>
      <c r="P593" s="144"/>
      <c r="Q593" s="144"/>
      <c r="R593" s="144"/>
      <c r="S593" s="144"/>
      <c r="T593" s="144"/>
      <c r="U593" s="144"/>
      <c r="V593" s="144"/>
      <c r="W593" s="144"/>
      <c r="X593" s="144"/>
      <c r="Y593" s="144"/>
      <c r="Z593" s="144"/>
    </row>
    <row r="594" spans="1:26" ht="18.75">
      <c r="A594" s="144"/>
      <c r="B594" s="141"/>
      <c r="C594" s="142"/>
      <c r="D594" s="143"/>
      <c r="E594" s="143"/>
      <c r="F594" s="144"/>
      <c r="G594" s="151"/>
      <c r="H594" s="151"/>
      <c r="I594" s="144"/>
      <c r="J594" s="144"/>
      <c r="K594" s="144"/>
      <c r="L594" s="144"/>
      <c r="M594" s="144"/>
      <c r="N594" s="144"/>
      <c r="O594" s="144"/>
      <c r="P594" s="144"/>
      <c r="Q594" s="144"/>
      <c r="R594" s="144"/>
      <c r="S594" s="144"/>
      <c r="T594" s="144"/>
      <c r="U594" s="144"/>
      <c r="V594" s="144"/>
      <c r="W594" s="144"/>
      <c r="X594" s="144"/>
      <c r="Y594" s="144"/>
      <c r="Z594" s="144"/>
    </row>
    <row r="595" spans="1:26" ht="18.75">
      <c r="A595" s="144"/>
      <c r="B595" s="141"/>
      <c r="C595" s="142"/>
      <c r="D595" s="143"/>
      <c r="E595" s="143"/>
      <c r="F595" s="144"/>
      <c r="G595" s="153"/>
      <c r="H595" s="153"/>
      <c r="I595" s="144"/>
      <c r="J595" s="144"/>
      <c r="K595" s="144"/>
      <c r="L595" s="144"/>
      <c r="M595" s="144"/>
      <c r="N595" s="144"/>
      <c r="O595" s="144"/>
      <c r="P595" s="144"/>
      <c r="Q595" s="144"/>
      <c r="R595" s="144"/>
      <c r="S595" s="144"/>
      <c r="T595" s="144"/>
      <c r="U595" s="144"/>
      <c r="V595" s="144"/>
      <c r="W595" s="144"/>
      <c r="X595" s="144"/>
      <c r="Y595" s="144"/>
      <c r="Z595" s="144"/>
    </row>
    <row r="596" spans="1:26" ht="18.75">
      <c r="A596" s="144"/>
      <c r="B596" s="141"/>
      <c r="C596" s="142"/>
      <c r="D596" s="143"/>
      <c r="E596" s="143"/>
      <c r="F596" s="144"/>
      <c r="G596" s="151"/>
      <c r="H596" s="151"/>
      <c r="I596" s="144"/>
      <c r="J596" s="144"/>
      <c r="K596" s="144"/>
      <c r="L596" s="144"/>
      <c r="M596" s="144"/>
      <c r="N596" s="144"/>
      <c r="O596" s="144"/>
      <c r="P596" s="144"/>
      <c r="Q596" s="144"/>
      <c r="R596" s="144"/>
      <c r="S596" s="144"/>
      <c r="T596" s="144"/>
      <c r="U596" s="144"/>
      <c r="V596" s="144"/>
      <c r="W596" s="144"/>
      <c r="X596" s="144"/>
      <c r="Y596" s="144"/>
      <c r="Z596" s="144"/>
    </row>
    <row r="597" spans="1:26" ht="18.75">
      <c r="A597" s="144"/>
      <c r="B597" s="141"/>
      <c r="C597" s="142"/>
      <c r="D597" s="143"/>
      <c r="E597" s="143"/>
      <c r="F597" s="144"/>
      <c r="G597" s="153"/>
      <c r="H597" s="153"/>
      <c r="I597" s="144"/>
      <c r="J597" s="144"/>
      <c r="K597" s="144"/>
      <c r="L597" s="144"/>
      <c r="M597" s="144"/>
      <c r="N597" s="144"/>
      <c r="O597" s="144"/>
      <c r="P597" s="144"/>
      <c r="Q597" s="144"/>
      <c r="R597" s="144"/>
      <c r="S597" s="144"/>
      <c r="T597" s="144"/>
      <c r="U597" s="144"/>
      <c r="V597" s="144"/>
      <c r="W597" s="144"/>
      <c r="X597" s="144"/>
      <c r="Y597" s="144"/>
      <c r="Z597" s="144"/>
    </row>
    <row r="598" spans="1:26" ht="18.75">
      <c r="A598" s="144"/>
      <c r="B598" s="141"/>
      <c r="C598" s="142"/>
      <c r="D598" s="143"/>
      <c r="E598" s="143"/>
      <c r="F598" s="144"/>
      <c r="G598" s="151"/>
      <c r="H598" s="151"/>
      <c r="I598" s="144"/>
      <c r="J598" s="144"/>
      <c r="K598" s="144"/>
      <c r="L598" s="144"/>
      <c r="M598" s="144"/>
      <c r="N598" s="144"/>
      <c r="O598" s="144"/>
      <c r="P598" s="144"/>
      <c r="Q598" s="144"/>
      <c r="R598" s="144"/>
      <c r="S598" s="144"/>
      <c r="T598" s="144"/>
      <c r="U598" s="144"/>
      <c r="V598" s="144"/>
      <c r="W598" s="144"/>
      <c r="X598" s="144"/>
      <c r="Y598" s="144"/>
      <c r="Z598" s="144"/>
    </row>
    <row r="599" spans="1:26" ht="18.75">
      <c r="A599" s="144"/>
      <c r="B599" s="141"/>
      <c r="C599" s="142"/>
      <c r="D599" s="143"/>
      <c r="E599" s="143"/>
      <c r="F599" s="144"/>
      <c r="G599" s="153"/>
      <c r="H599" s="153"/>
      <c r="I599" s="144"/>
      <c r="J599" s="144"/>
      <c r="K599" s="144"/>
      <c r="L599" s="144"/>
      <c r="M599" s="144"/>
      <c r="N599" s="144"/>
      <c r="O599" s="144"/>
      <c r="P599" s="144"/>
      <c r="Q599" s="144"/>
      <c r="R599" s="144"/>
      <c r="S599" s="144"/>
      <c r="T599" s="144"/>
      <c r="U599" s="144"/>
      <c r="V599" s="144"/>
      <c r="W599" s="144"/>
      <c r="X599" s="144"/>
      <c r="Y599" s="144"/>
      <c r="Z599" s="144"/>
    </row>
    <row r="600" spans="1:26" ht="18.75">
      <c r="A600" s="144"/>
      <c r="B600" s="141"/>
      <c r="C600" s="142"/>
      <c r="D600" s="143"/>
      <c r="E600" s="143"/>
      <c r="F600" s="144"/>
      <c r="G600" s="151"/>
      <c r="H600" s="151"/>
      <c r="I600" s="144"/>
      <c r="J600" s="144"/>
      <c r="K600" s="144"/>
      <c r="L600" s="144"/>
      <c r="M600" s="144"/>
      <c r="N600" s="144"/>
      <c r="O600" s="144"/>
      <c r="P600" s="144"/>
      <c r="Q600" s="144"/>
      <c r="R600" s="144"/>
      <c r="S600" s="144"/>
      <c r="T600" s="144"/>
      <c r="U600" s="144"/>
      <c r="V600" s="144"/>
      <c r="W600" s="144"/>
      <c r="X600" s="144"/>
      <c r="Y600" s="144"/>
      <c r="Z600" s="144"/>
    </row>
    <row r="601" spans="1:26" ht="18.75">
      <c r="A601" s="144"/>
      <c r="B601" s="141"/>
      <c r="C601" s="142"/>
      <c r="D601" s="143"/>
      <c r="E601" s="143"/>
      <c r="F601" s="144"/>
      <c r="G601" s="153"/>
      <c r="H601" s="153"/>
      <c r="I601" s="144"/>
      <c r="J601" s="144"/>
      <c r="K601" s="144"/>
      <c r="L601" s="144"/>
      <c r="M601" s="144"/>
      <c r="N601" s="144"/>
      <c r="O601" s="144"/>
      <c r="P601" s="144"/>
      <c r="Q601" s="144"/>
      <c r="R601" s="144"/>
      <c r="S601" s="144"/>
      <c r="T601" s="144"/>
      <c r="U601" s="144"/>
      <c r="V601" s="144"/>
      <c r="W601" s="144"/>
      <c r="X601" s="144"/>
      <c r="Y601" s="144"/>
      <c r="Z601" s="144"/>
    </row>
    <row r="602" spans="1:26" ht="18.75">
      <c r="A602" s="144"/>
      <c r="B602" s="141"/>
      <c r="C602" s="142"/>
      <c r="D602" s="143"/>
      <c r="E602" s="143"/>
      <c r="F602" s="144"/>
      <c r="G602" s="151"/>
      <c r="H602" s="151"/>
      <c r="I602" s="144"/>
      <c r="J602" s="144"/>
      <c r="K602" s="144"/>
      <c r="L602" s="144"/>
      <c r="M602" s="144"/>
      <c r="N602" s="144"/>
      <c r="O602" s="144"/>
      <c r="P602" s="144"/>
      <c r="Q602" s="144"/>
      <c r="R602" s="144"/>
      <c r="S602" s="144"/>
      <c r="T602" s="144"/>
      <c r="U602" s="144"/>
      <c r="V602" s="144"/>
      <c r="W602" s="144"/>
      <c r="X602" s="144"/>
      <c r="Y602" s="144"/>
      <c r="Z602" s="144"/>
    </row>
    <row r="603" spans="1:26" ht="18.75">
      <c r="A603" s="144"/>
      <c r="B603" s="141"/>
      <c r="C603" s="142"/>
      <c r="D603" s="143"/>
      <c r="E603" s="143"/>
      <c r="F603" s="144"/>
      <c r="G603" s="153"/>
      <c r="H603" s="153"/>
      <c r="I603" s="144"/>
      <c r="J603" s="144"/>
      <c r="K603" s="144"/>
      <c r="L603" s="144"/>
      <c r="M603" s="144"/>
      <c r="N603" s="144"/>
      <c r="O603" s="144"/>
      <c r="P603" s="144"/>
      <c r="Q603" s="144"/>
      <c r="R603" s="144"/>
      <c r="S603" s="144"/>
      <c r="T603" s="144"/>
      <c r="U603" s="144"/>
      <c r="V603" s="144"/>
      <c r="W603" s="144"/>
      <c r="X603" s="144"/>
      <c r="Y603" s="144"/>
      <c r="Z603" s="144"/>
    </row>
    <row r="604" spans="1:26" ht="18.75">
      <c r="A604" s="144"/>
      <c r="B604" s="141"/>
      <c r="C604" s="142"/>
      <c r="D604" s="143"/>
      <c r="E604" s="143"/>
      <c r="F604" s="144"/>
      <c r="G604" s="151"/>
      <c r="H604" s="151"/>
      <c r="I604" s="144"/>
      <c r="J604" s="144"/>
      <c r="K604" s="144"/>
      <c r="L604" s="144"/>
      <c r="M604" s="144"/>
      <c r="N604" s="144"/>
      <c r="O604" s="144"/>
      <c r="P604" s="144"/>
      <c r="Q604" s="144"/>
      <c r="R604" s="144"/>
      <c r="S604" s="144"/>
      <c r="T604" s="144"/>
      <c r="U604" s="144"/>
      <c r="V604" s="144"/>
      <c r="W604" s="144"/>
      <c r="X604" s="144"/>
      <c r="Y604" s="144"/>
      <c r="Z604" s="144"/>
    </row>
    <row r="605" spans="1:26" ht="18.75">
      <c r="A605" s="144"/>
      <c r="B605" s="141"/>
      <c r="C605" s="142"/>
      <c r="D605" s="143"/>
      <c r="E605" s="143"/>
      <c r="F605" s="144"/>
      <c r="G605" s="153"/>
      <c r="H605" s="153"/>
      <c r="I605" s="144"/>
      <c r="J605" s="144"/>
      <c r="K605" s="144"/>
      <c r="L605" s="144"/>
      <c r="M605" s="144"/>
      <c r="N605" s="144"/>
      <c r="O605" s="144"/>
      <c r="P605" s="144"/>
      <c r="Q605" s="144"/>
      <c r="R605" s="144"/>
      <c r="S605" s="144"/>
      <c r="T605" s="144"/>
      <c r="U605" s="144"/>
      <c r="V605" s="144"/>
      <c r="W605" s="144"/>
      <c r="X605" s="144"/>
      <c r="Y605" s="144"/>
      <c r="Z605" s="144"/>
    </row>
    <row r="606" spans="1:26" ht="18.75">
      <c r="A606" s="144"/>
      <c r="B606" s="141"/>
      <c r="C606" s="142"/>
      <c r="D606" s="143"/>
      <c r="E606" s="143"/>
      <c r="F606" s="144"/>
      <c r="G606" s="151"/>
      <c r="H606" s="151"/>
      <c r="I606" s="144"/>
      <c r="J606" s="144"/>
      <c r="K606" s="144"/>
      <c r="L606" s="144"/>
      <c r="M606" s="144"/>
      <c r="N606" s="144"/>
      <c r="O606" s="144"/>
      <c r="P606" s="144"/>
      <c r="Q606" s="144"/>
      <c r="R606" s="144"/>
      <c r="S606" s="144"/>
      <c r="T606" s="144"/>
      <c r="U606" s="144"/>
      <c r="V606" s="144"/>
      <c r="W606" s="144"/>
      <c r="X606" s="144"/>
      <c r="Y606" s="144"/>
      <c r="Z606" s="144"/>
    </row>
    <row r="607" spans="1:26" ht="18.75">
      <c r="A607" s="144"/>
      <c r="B607" s="141"/>
      <c r="C607" s="142"/>
      <c r="D607" s="143"/>
      <c r="E607" s="143"/>
      <c r="F607" s="144"/>
      <c r="G607" s="153"/>
      <c r="H607" s="153"/>
      <c r="I607" s="144"/>
      <c r="J607" s="144"/>
      <c r="K607" s="144"/>
      <c r="L607" s="144"/>
      <c r="M607" s="144"/>
      <c r="N607" s="144"/>
      <c r="O607" s="144"/>
      <c r="P607" s="144"/>
      <c r="Q607" s="144"/>
      <c r="R607" s="144"/>
      <c r="S607" s="144"/>
      <c r="T607" s="144"/>
      <c r="U607" s="144"/>
      <c r="V607" s="144"/>
      <c r="W607" s="144"/>
      <c r="X607" s="144"/>
      <c r="Y607" s="144"/>
      <c r="Z607" s="144"/>
    </row>
    <row r="608" spans="1:26" ht="18.75">
      <c r="A608" s="144"/>
      <c r="B608" s="141"/>
      <c r="C608" s="142"/>
      <c r="D608" s="143"/>
      <c r="E608" s="143"/>
      <c r="F608" s="144"/>
      <c r="G608" s="151"/>
      <c r="H608" s="151"/>
      <c r="I608" s="144"/>
      <c r="J608" s="144"/>
      <c r="K608" s="144"/>
      <c r="L608" s="144"/>
      <c r="M608" s="144"/>
      <c r="N608" s="144"/>
      <c r="O608" s="144"/>
      <c r="P608" s="144"/>
      <c r="Q608" s="144"/>
      <c r="R608" s="144"/>
      <c r="S608" s="144"/>
      <c r="T608" s="144"/>
      <c r="U608" s="144"/>
      <c r="V608" s="144"/>
      <c r="W608" s="144"/>
      <c r="X608" s="144"/>
      <c r="Y608" s="144"/>
      <c r="Z608" s="144"/>
    </row>
    <row r="609" spans="1:26" ht="18.75">
      <c r="A609" s="144"/>
      <c r="B609" s="141"/>
      <c r="C609" s="142"/>
      <c r="D609" s="143"/>
      <c r="E609" s="143"/>
      <c r="F609" s="144"/>
      <c r="G609" s="153"/>
      <c r="H609" s="153"/>
      <c r="I609" s="144"/>
      <c r="J609" s="144"/>
      <c r="K609" s="144"/>
      <c r="L609" s="144"/>
      <c r="M609" s="144"/>
      <c r="N609" s="144"/>
      <c r="O609" s="144"/>
      <c r="P609" s="144"/>
      <c r="Q609" s="144"/>
      <c r="R609" s="144"/>
      <c r="S609" s="144"/>
      <c r="T609" s="144"/>
      <c r="U609" s="144"/>
      <c r="V609" s="144"/>
      <c r="W609" s="144"/>
      <c r="X609" s="144"/>
      <c r="Y609" s="144"/>
      <c r="Z609" s="144"/>
    </row>
    <row r="610" spans="1:26" ht="18.75">
      <c r="A610" s="144"/>
      <c r="B610" s="141"/>
      <c r="C610" s="142"/>
      <c r="D610" s="143"/>
      <c r="E610" s="143"/>
      <c r="F610" s="144"/>
      <c r="G610" s="151"/>
      <c r="H610" s="151"/>
      <c r="I610" s="144"/>
      <c r="J610" s="144"/>
      <c r="K610" s="144"/>
      <c r="L610" s="144"/>
      <c r="M610" s="144"/>
      <c r="N610" s="144"/>
      <c r="O610" s="144"/>
      <c r="P610" s="144"/>
      <c r="Q610" s="144"/>
      <c r="R610" s="144"/>
      <c r="S610" s="144"/>
      <c r="T610" s="144"/>
      <c r="U610" s="144"/>
      <c r="V610" s="144"/>
      <c r="W610" s="144"/>
      <c r="X610" s="144"/>
      <c r="Y610" s="144"/>
      <c r="Z610" s="144"/>
    </row>
    <row r="611" spans="1:26" ht="18.75">
      <c r="A611" s="144"/>
      <c r="B611" s="141"/>
      <c r="C611" s="142"/>
      <c r="D611" s="143"/>
      <c r="E611" s="143"/>
      <c r="F611" s="144"/>
      <c r="G611" s="153"/>
      <c r="H611" s="153"/>
      <c r="I611" s="144"/>
      <c r="J611" s="144"/>
      <c r="K611" s="144"/>
      <c r="L611" s="144"/>
      <c r="M611" s="144"/>
      <c r="N611" s="144"/>
      <c r="O611" s="144"/>
      <c r="P611" s="144"/>
      <c r="Q611" s="144"/>
      <c r="R611" s="144"/>
      <c r="S611" s="144"/>
      <c r="T611" s="144"/>
      <c r="U611" s="144"/>
      <c r="V611" s="144"/>
      <c r="W611" s="144"/>
      <c r="X611" s="144"/>
      <c r="Y611" s="144"/>
      <c r="Z611" s="144"/>
    </row>
    <row r="612" spans="1:26" ht="18.75">
      <c r="A612" s="144"/>
      <c r="B612" s="141"/>
      <c r="C612" s="142"/>
      <c r="D612" s="143"/>
      <c r="E612" s="143"/>
      <c r="F612" s="144"/>
      <c r="G612" s="151"/>
      <c r="H612" s="151"/>
      <c r="I612" s="144"/>
      <c r="J612" s="144"/>
      <c r="K612" s="144"/>
      <c r="L612" s="144"/>
      <c r="M612" s="144"/>
      <c r="N612" s="144"/>
      <c r="O612" s="144"/>
      <c r="P612" s="144"/>
      <c r="Q612" s="144"/>
      <c r="R612" s="144"/>
      <c r="S612" s="144"/>
      <c r="T612" s="144"/>
      <c r="U612" s="144"/>
      <c r="V612" s="144"/>
      <c r="W612" s="144"/>
      <c r="X612" s="144"/>
      <c r="Y612" s="144"/>
      <c r="Z612" s="144"/>
    </row>
    <row r="613" spans="1:26" ht="18.75">
      <c r="A613" s="144"/>
      <c r="B613" s="141"/>
      <c r="C613" s="142"/>
      <c r="D613" s="143"/>
      <c r="E613" s="143"/>
      <c r="F613" s="144"/>
      <c r="G613" s="153"/>
      <c r="H613" s="153"/>
      <c r="I613" s="144"/>
      <c r="J613" s="144"/>
      <c r="K613" s="144"/>
      <c r="L613" s="144"/>
      <c r="M613" s="144"/>
      <c r="N613" s="144"/>
      <c r="O613" s="144"/>
      <c r="P613" s="144"/>
      <c r="Q613" s="144"/>
      <c r="R613" s="144"/>
      <c r="S613" s="144"/>
      <c r="T613" s="144"/>
      <c r="U613" s="144"/>
      <c r="V613" s="144"/>
      <c r="W613" s="144"/>
      <c r="X613" s="144"/>
      <c r="Y613" s="144"/>
      <c r="Z613" s="144"/>
    </row>
    <row r="614" spans="1:26" ht="18.75">
      <c r="A614" s="144"/>
      <c r="B614" s="141"/>
      <c r="C614" s="142"/>
      <c r="D614" s="143"/>
      <c r="E614" s="143"/>
      <c r="F614" s="144"/>
      <c r="G614" s="151"/>
      <c r="H614" s="151"/>
      <c r="I614" s="144"/>
      <c r="J614" s="144"/>
      <c r="K614" s="144"/>
      <c r="L614" s="144"/>
      <c r="M614" s="144"/>
      <c r="N614" s="144"/>
      <c r="O614" s="144"/>
      <c r="P614" s="144"/>
      <c r="Q614" s="144"/>
      <c r="R614" s="144"/>
      <c r="S614" s="144"/>
      <c r="T614" s="144"/>
      <c r="U614" s="144"/>
      <c r="V614" s="144"/>
      <c r="W614" s="144"/>
      <c r="X614" s="144"/>
      <c r="Y614" s="144"/>
      <c r="Z614" s="144"/>
    </row>
    <row r="615" spans="1:26" ht="18.75">
      <c r="A615" s="144"/>
      <c r="B615" s="141"/>
      <c r="C615" s="142"/>
      <c r="D615" s="143"/>
      <c r="E615" s="143"/>
      <c r="F615" s="144"/>
      <c r="G615" s="153"/>
      <c r="H615" s="153"/>
      <c r="I615" s="144"/>
      <c r="J615" s="144"/>
      <c r="K615" s="144"/>
      <c r="L615" s="144"/>
      <c r="M615" s="144"/>
      <c r="N615" s="144"/>
      <c r="O615" s="144"/>
      <c r="P615" s="144"/>
      <c r="Q615" s="144"/>
      <c r="R615" s="144"/>
      <c r="S615" s="144"/>
      <c r="T615" s="144"/>
      <c r="U615" s="144"/>
      <c r="V615" s="144"/>
      <c r="W615" s="144"/>
      <c r="X615" s="144"/>
      <c r="Y615" s="144"/>
      <c r="Z615" s="144"/>
    </row>
    <row r="616" spans="1:26" ht="18.75">
      <c r="A616" s="144"/>
      <c r="B616" s="141"/>
      <c r="C616" s="142"/>
      <c r="D616" s="143"/>
      <c r="E616" s="143"/>
      <c r="F616" s="144"/>
      <c r="G616" s="151"/>
      <c r="H616" s="151"/>
      <c r="I616" s="144"/>
      <c r="J616" s="144"/>
      <c r="K616" s="144"/>
      <c r="L616" s="144"/>
      <c r="M616" s="144"/>
      <c r="N616" s="144"/>
      <c r="O616" s="144"/>
      <c r="P616" s="144"/>
      <c r="Q616" s="144"/>
      <c r="R616" s="144"/>
      <c r="S616" s="144"/>
      <c r="T616" s="144"/>
      <c r="U616" s="144"/>
      <c r="V616" s="144"/>
      <c r="W616" s="144"/>
      <c r="X616" s="144"/>
      <c r="Y616" s="144"/>
      <c r="Z616" s="144"/>
    </row>
    <row r="617" spans="1:26" ht="18.75">
      <c r="A617" s="144"/>
      <c r="B617" s="141"/>
      <c r="C617" s="142"/>
      <c r="D617" s="143"/>
      <c r="E617" s="143"/>
      <c r="F617" s="144"/>
      <c r="G617" s="153"/>
      <c r="H617" s="153"/>
      <c r="I617" s="144"/>
      <c r="J617" s="144"/>
      <c r="K617" s="144"/>
      <c r="L617" s="144"/>
      <c r="M617" s="144"/>
      <c r="N617" s="144"/>
      <c r="O617" s="144"/>
      <c r="P617" s="144"/>
      <c r="Q617" s="144"/>
      <c r="R617" s="144"/>
      <c r="S617" s="144"/>
      <c r="T617" s="144"/>
      <c r="U617" s="144"/>
      <c r="V617" s="144"/>
      <c r="W617" s="144"/>
      <c r="X617" s="144"/>
      <c r="Y617" s="144"/>
      <c r="Z617" s="144"/>
    </row>
    <row r="618" spans="1:26" ht="18.75">
      <c r="A618" s="144"/>
      <c r="B618" s="141"/>
      <c r="C618" s="142"/>
      <c r="D618" s="143"/>
      <c r="E618" s="143"/>
      <c r="F618" s="144"/>
      <c r="G618" s="151"/>
      <c r="H618" s="151"/>
      <c r="I618" s="144"/>
      <c r="J618" s="144"/>
      <c r="K618" s="144"/>
      <c r="L618" s="144"/>
      <c r="M618" s="144"/>
      <c r="N618" s="144"/>
      <c r="O618" s="144"/>
      <c r="P618" s="144"/>
      <c r="Q618" s="144"/>
      <c r="R618" s="144"/>
      <c r="S618" s="144"/>
      <c r="T618" s="144"/>
      <c r="U618" s="144"/>
      <c r="V618" s="144"/>
      <c r="W618" s="144"/>
      <c r="X618" s="144"/>
      <c r="Y618" s="144"/>
      <c r="Z618" s="144"/>
    </row>
    <row r="619" spans="1:26" ht="18.75">
      <c r="A619" s="144"/>
      <c r="B619" s="141"/>
      <c r="C619" s="142"/>
      <c r="D619" s="143"/>
      <c r="E619" s="143"/>
      <c r="F619" s="144"/>
      <c r="G619" s="153"/>
      <c r="H619" s="153"/>
      <c r="I619" s="144"/>
      <c r="J619" s="144"/>
      <c r="K619" s="144"/>
      <c r="L619" s="144"/>
      <c r="M619" s="144"/>
      <c r="N619" s="144"/>
      <c r="O619" s="144"/>
      <c r="P619" s="144"/>
      <c r="Q619" s="144"/>
      <c r="R619" s="144"/>
      <c r="S619" s="144"/>
      <c r="T619" s="144"/>
      <c r="U619" s="144"/>
      <c r="V619" s="144"/>
      <c r="W619" s="144"/>
      <c r="X619" s="144"/>
      <c r="Y619" s="144"/>
      <c r="Z619" s="144"/>
    </row>
    <row r="620" spans="1:26" ht="18.75">
      <c r="A620" s="144"/>
      <c r="B620" s="141"/>
      <c r="C620" s="142"/>
      <c r="D620" s="143"/>
      <c r="E620" s="143"/>
      <c r="F620" s="144"/>
      <c r="G620" s="151"/>
      <c r="H620" s="151"/>
      <c r="I620" s="144"/>
      <c r="J620" s="144"/>
      <c r="K620" s="144"/>
      <c r="L620" s="144"/>
      <c r="M620" s="144"/>
      <c r="N620" s="144"/>
      <c r="O620" s="144"/>
      <c r="P620" s="144"/>
      <c r="Q620" s="144"/>
      <c r="R620" s="144"/>
      <c r="S620" s="144"/>
      <c r="T620" s="144"/>
      <c r="U620" s="144"/>
      <c r="V620" s="144"/>
      <c r="W620" s="144"/>
      <c r="X620" s="144"/>
      <c r="Y620" s="144"/>
      <c r="Z620" s="144"/>
    </row>
    <row r="621" spans="1:26" ht="18.75">
      <c r="A621" s="144"/>
      <c r="B621" s="141"/>
      <c r="C621" s="142"/>
      <c r="D621" s="143"/>
      <c r="E621" s="143"/>
      <c r="F621" s="144"/>
      <c r="G621" s="153"/>
      <c r="H621" s="153"/>
      <c r="I621" s="144"/>
      <c r="J621" s="144"/>
      <c r="K621" s="144"/>
      <c r="L621" s="144"/>
      <c r="M621" s="144"/>
      <c r="N621" s="144"/>
      <c r="O621" s="144"/>
      <c r="P621" s="144"/>
      <c r="Q621" s="144"/>
      <c r="R621" s="144"/>
      <c r="S621" s="144"/>
      <c r="T621" s="144"/>
      <c r="U621" s="144"/>
      <c r="V621" s="144"/>
      <c r="W621" s="144"/>
      <c r="X621" s="144"/>
      <c r="Y621" s="144"/>
      <c r="Z621" s="144"/>
    </row>
    <row r="622" spans="1:26" ht="18.75">
      <c r="A622" s="144"/>
      <c r="B622" s="141"/>
      <c r="C622" s="142"/>
      <c r="D622" s="143"/>
      <c r="E622" s="143"/>
      <c r="F622" s="144"/>
      <c r="G622" s="151"/>
      <c r="H622" s="151"/>
      <c r="I622" s="144"/>
      <c r="J622" s="144"/>
      <c r="K622" s="144"/>
      <c r="L622" s="144"/>
      <c r="M622" s="144"/>
      <c r="N622" s="144"/>
      <c r="O622" s="144"/>
      <c r="P622" s="144"/>
      <c r="Q622" s="144"/>
      <c r="R622" s="144"/>
      <c r="S622" s="144"/>
      <c r="T622" s="144"/>
      <c r="U622" s="144"/>
      <c r="V622" s="144"/>
      <c r="W622" s="144"/>
      <c r="X622" s="144"/>
      <c r="Y622" s="144"/>
      <c r="Z622" s="144"/>
    </row>
    <row r="623" spans="1:26" ht="18.75">
      <c r="A623" s="144"/>
      <c r="B623" s="141"/>
      <c r="C623" s="142"/>
      <c r="D623" s="143"/>
      <c r="E623" s="143"/>
      <c r="F623" s="144"/>
      <c r="G623" s="153"/>
      <c r="H623" s="153"/>
      <c r="I623" s="144"/>
      <c r="J623" s="144"/>
      <c r="K623" s="144"/>
      <c r="L623" s="144"/>
      <c r="M623" s="144"/>
      <c r="N623" s="144"/>
      <c r="O623" s="144"/>
      <c r="P623" s="144"/>
      <c r="Q623" s="144"/>
      <c r="R623" s="144"/>
      <c r="S623" s="144"/>
      <c r="T623" s="144"/>
      <c r="U623" s="144"/>
      <c r="V623" s="144"/>
      <c r="W623" s="144"/>
      <c r="X623" s="144"/>
      <c r="Y623" s="144"/>
      <c r="Z623" s="144"/>
    </row>
    <row r="624" spans="1:26" ht="18.75">
      <c r="A624" s="144"/>
      <c r="B624" s="141"/>
      <c r="C624" s="142"/>
      <c r="D624" s="143"/>
      <c r="E624" s="143"/>
      <c r="F624" s="144"/>
      <c r="G624" s="151"/>
      <c r="H624" s="151"/>
      <c r="I624" s="144"/>
      <c r="J624" s="144"/>
      <c r="K624" s="144"/>
      <c r="L624" s="144"/>
      <c r="M624" s="144"/>
      <c r="N624" s="144"/>
      <c r="O624" s="144"/>
      <c r="P624" s="144"/>
      <c r="Q624" s="144"/>
      <c r="R624" s="144"/>
      <c r="S624" s="144"/>
      <c r="T624" s="144"/>
      <c r="U624" s="144"/>
      <c r="V624" s="144"/>
      <c r="W624" s="144"/>
      <c r="X624" s="144"/>
      <c r="Y624" s="144"/>
      <c r="Z624" s="144"/>
    </row>
    <row r="625" spans="1:26" ht="18.75">
      <c r="A625" s="144"/>
      <c r="B625" s="141"/>
      <c r="C625" s="142"/>
      <c r="D625" s="143"/>
      <c r="E625" s="143"/>
      <c r="F625" s="144"/>
      <c r="G625" s="153"/>
      <c r="H625" s="153"/>
      <c r="I625" s="144"/>
      <c r="J625" s="144"/>
      <c r="K625" s="144"/>
      <c r="L625" s="144"/>
      <c r="M625" s="144"/>
      <c r="N625" s="144"/>
      <c r="O625" s="144"/>
      <c r="P625" s="144"/>
      <c r="Q625" s="144"/>
      <c r="R625" s="144"/>
      <c r="S625" s="144"/>
      <c r="T625" s="144"/>
      <c r="U625" s="144"/>
      <c r="V625" s="144"/>
      <c r="W625" s="144"/>
      <c r="X625" s="144"/>
      <c r="Y625" s="144"/>
      <c r="Z625" s="144"/>
    </row>
    <row r="626" spans="1:26" ht="18.75">
      <c r="A626" s="144"/>
      <c r="B626" s="141"/>
      <c r="C626" s="142"/>
      <c r="D626" s="143"/>
      <c r="E626" s="143"/>
      <c r="F626" s="144"/>
      <c r="G626" s="151"/>
      <c r="H626" s="151"/>
      <c r="I626" s="144"/>
      <c r="J626" s="144"/>
      <c r="K626" s="144"/>
      <c r="L626" s="144"/>
      <c r="M626" s="144"/>
      <c r="N626" s="144"/>
      <c r="O626" s="144"/>
      <c r="P626" s="144"/>
      <c r="Q626" s="144"/>
      <c r="R626" s="144"/>
      <c r="S626" s="144"/>
      <c r="T626" s="144"/>
      <c r="U626" s="144"/>
      <c r="V626" s="144"/>
      <c r="W626" s="144"/>
      <c r="X626" s="144"/>
      <c r="Y626" s="144"/>
      <c r="Z626" s="144"/>
    </row>
    <row r="627" spans="1:26" ht="18.75">
      <c r="A627" s="144"/>
      <c r="B627" s="141"/>
      <c r="C627" s="142"/>
      <c r="D627" s="143"/>
      <c r="E627" s="143"/>
      <c r="F627" s="144"/>
      <c r="G627" s="153"/>
      <c r="H627" s="153"/>
      <c r="I627" s="144"/>
      <c r="J627" s="144"/>
      <c r="K627" s="144"/>
      <c r="L627" s="144"/>
      <c r="M627" s="144"/>
      <c r="N627" s="144"/>
      <c r="O627" s="144"/>
      <c r="P627" s="144"/>
      <c r="Q627" s="144"/>
      <c r="R627" s="144"/>
      <c r="S627" s="144"/>
      <c r="T627" s="144"/>
      <c r="U627" s="144"/>
      <c r="V627" s="144"/>
      <c r="W627" s="144"/>
      <c r="X627" s="144"/>
      <c r="Y627" s="144"/>
      <c r="Z627" s="144"/>
    </row>
    <row r="628" spans="1:26" ht="18.75">
      <c r="A628" s="144"/>
      <c r="B628" s="141"/>
      <c r="C628" s="142"/>
      <c r="D628" s="143"/>
      <c r="E628" s="143"/>
      <c r="F628" s="144"/>
      <c r="G628" s="151"/>
      <c r="H628" s="151"/>
      <c r="I628" s="144"/>
      <c r="J628" s="144"/>
      <c r="K628" s="144"/>
      <c r="L628" s="144"/>
      <c r="M628" s="144"/>
      <c r="N628" s="144"/>
      <c r="O628" s="144"/>
      <c r="P628" s="144"/>
      <c r="Q628" s="144"/>
      <c r="R628" s="144"/>
      <c r="S628" s="144"/>
      <c r="T628" s="144"/>
      <c r="U628" s="144"/>
      <c r="V628" s="144"/>
      <c r="W628" s="144"/>
      <c r="X628" s="144"/>
      <c r="Y628" s="144"/>
      <c r="Z628" s="144"/>
    </row>
    <row r="629" spans="1:26" ht="18.75">
      <c r="A629" s="144"/>
      <c r="B629" s="141"/>
      <c r="C629" s="142"/>
      <c r="D629" s="143"/>
      <c r="E629" s="143"/>
      <c r="F629" s="144"/>
      <c r="G629" s="153"/>
      <c r="H629" s="153"/>
      <c r="I629" s="144"/>
      <c r="J629" s="144"/>
      <c r="K629" s="144"/>
      <c r="L629" s="144"/>
      <c r="M629" s="144"/>
      <c r="N629" s="144"/>
      <c r="O629" s="144"/>
      <c r="P629" s="144"/>
      <c r="Q629" s="144"/>
      <c r="R629" s="144"/>
      <c r="S629" s="144"/>
      <c r="T629" s="144"/>
      <c r="U629" s="144"/>
      <c r="V629" s="144"/>
      <c r="W629" s="144"/>
      <c r="X629" s="144"/>
      <c r="Y629" s="144"/>
      <c r="Z629" s="144"/>
    </row>
    <row r="630" spans="1:26" ht="18.75">
      <c r="A630" s="144"/>
      <c r="B630" s="141"/>
      <c r="C630" s="142"/>
      <c r="D630" s="143"/>
      <c r="E630" s="143"/>
      <c r="F630" s="144"/>
      <c r="G630" s="151"/>
      <c r="H630" s="151"/>
      <c r="I630" s="144"/>
      <c r="J630" s="144"/>
      <c r="K630" s="144"/>
      <c r="L630" s="144"/>
      <c r="M630" s="144"/>
      <c r="N630" s="144"/>
      <c r="O630" s="144"/>
      <c r="P630" s="144"/>
      <c r="Q630" s="144"/>
      <c r="R630" s="144"/>
      <c r="S630" s="144"/>
      <c r="T630" s="144"/>
      <c r="U630" s="144"/>
      <c r="V630" s="144"/>
      <c r="W630" s="144"/>
      <c r="X630" s="144"/>
      <c r="Y630" s="144"/>
      <c r="Z630" s="144"/>
    </row>
    <row r="631" spans="1:26" ht="18.75">
      <c r="A631" s="144"/>
      <c r="B631" s="141"/>
      <c r="C631" s="142"/>
      <c r="D631" s="143"/>
      <c r="E631" s="143"/>
      <c r="F631" s="144"/>
      <c r="G631" s="153"/>
      <c r="H631" s="153"/>
      <c r="I631" s="144"/>
      <c r="J631" s="144"/>
      <c r="K631" s="144"/>
      <c r="L631" s="144"/>
      <c r="M631" s="144"/>
      <c r="N631" s="144"/>
      <c r="O631" s="144"/>
      <c r="P631" s="144"/>
      <c r="Q631" s="144"/>
      <c r="R631" s="144"/>
      <c r="S631" s="144"/>
      <c r="T631" s="144"/>
      <c r="U631" s="144"/>
      <c r="V631" s="144"/>
      <c r="W631" s="144"/>
      <c r="X631" s="144"/>
      <c r="Y631" s="144"/>
      <c r="Z631" s="144"/>
    </row>
    <row r="632" spans="1:26" ht="18.75">
      <c r="A632" s="144"/>
      <c r="B632" s="141"/>
      <c r="C632" s="142"/>
      <c r="D632" s="143"/>
      <c r="E632" s="143"/>
      <c r="F632" s="144"/>
      <c r="G632" s="151"/>
      <c r="H632" s="151"/>
      <c r="I632" s="144"/>
      <c r="J632" s="144"/>
      <c r="K632" s="144"/>
      <c r="L632" s="144"/>
      <c r="M632" s="144"/>
      <c r="N632" s="144"/>
      <c r="O632" s="144"/>
      <c r="P632" s="144"/>
      <c r="Q632" s="144"/>
      <c r="R632" s="144"/>
      <c r="S632" s="144"/>
      <c r="T632" s="144"/>
      <c r="U632" s="144"/>
      <c r="V632" s="144"/>
      <c r="W632" s="144"/>
      <c r="X632" s="144"/>
      <c r="Y632" s="144"/>
      <c r="Z632" s="144"/>
    </row>
    <row r="633" spans="1:26" ht="18.75">
      <c r="A633" s="144"/>
      <c r="B633" s="141"/>
      <c r="C633" s="142"/>
      <c r="D633" s="143"/>
      <c r="E633" s="143"/>
      <c r="F633" s="144"/>
      <c r="G633" s="153"/>
      <c r="H633" s="153"/>
      <c r="I633" s="144"/>
      <c r="J633" s="144"/>
      <c r="K633" s="144"/>
      <c r="L633" s="144"/>
      <c r="M633" s="144"/>
      <c r="N633" s="144"/>
      <c r="O633" s="144"/>
      <c r="P633" s="144"/>
      <c r="Q633" s="144"/>
      <c r="R633" s="144"/>
      <c r="S633" s="144"/>
      <c r="T633" s="144"/>
      <c r="U633" s="144"/>
      <c r="V633" s="144"/>
      <c r="W633" s="144"/>
      <c r="X633" s="144"/>
      <c r="Y633" s="144"/>
      <c r="Z633" s="144"/>
    </row>
    <row r="634" spans="1:26" ht="18.75">
      <c r="A634" s="144"/>
      <c r="B634" s="141"/>
      <c r="C634" s="142"/>
      <c r="D634" s="143"/>
      <c r="E634" s="143"/>
      <c r="F634" s="144"/>
      <c r="G634" s="151"/>
      <c r="H634" s="151"/>
      <c r="I634" s="144"/>
      <c r="J634" s="144"/>
      <c r="K634" s="144"/>
      <c r="L634" s="144"/>
      <c r="M634" s="144"/>
      <c r="N634" s="144"/>
      <c r="O634" s="144"/>
      <c r="P634" s="144"/>
      <c r="Q634" s="144"/>
      <c r="R634" s="144"/>
      <c r="S634" s="144"/>
      <c r="T634" s="144"/>
      <c r="U634" s="144"/>
      <c r="V634" s="144"/>
      <c r="W634" s="144"/>
      <c r="X634" s="144"/>
      <c r="Y634" s="144"/>
      <c r="Z634" s="144"/>
    </row>
    <row r="635" spans="1:26" ht="18.75">
      <c r="A635" s="144"/>
      <c r="B635" s="141"/>
      <c r="C635" s="142"/>
      <c r="D635" s="143"/>
      <c r="E635" s="143"/>
      <c r="F635" s="144"/>
      <c r="G635" s="153"/>
      <c r="H635" s="153"/>
      <c r="I635" s="144"/>
      <c r="J635" s="144"/>
      <c r="K635" s="144"/>
      <c r="L635" s="144"/>
      <c r="M635" s="144"/>
      <c r="N635" s="144"/>
      <c r="O635" s="144"/>
      <c r="P635" s="144"/>
      <c r="Q635" s="144"/>
      <c r="R635" s="144"/>
      <c r="S635" s="144"/>
      <c r="T635" s="144"/>
      <c r="U635" s="144"/>
      <c r="V635" s="144"/>
      <c r="W635" s="144"/>
      <c r="X635" s="144"/>
      <c r="Y635" s="144"/>
      <c r="Z635" s="144"/>
    </row>
    <row r="636" spans="1:26" ht="18.75">
      <c r="A636" s="144"/>
      <c r="B636" s="141"/>
      <c r="C636" s="142"/>
      <c r="D636" s="143"/>
      <c r="E636" s="143"/>
      <c r="F636" s="144"/>
      <c r="G636" s="151"/>
      <c r="H636" s="151"/>
      <c r="I636" s="144"/>
      <c r="J636" s="144"/>
      <c r="K636" s="144"/>
      <c r="L636" s="144"/>
      <c r="M636" s="144"/>
      <c r="N636" s="144"/>
      <c r="O636" s="144"/>
      <c r="P636" s="144"/>
      <c r="Q636" s="144"/>
      <c r="R636" s="144"/>
      <c r="S636" s="144"/>
      <c r="T636" s="144"/>
      <c r="U636" s="144"/>
      <c r="V636" s="144"/>
      <c r="W636" s="144"/>
      <c r="X636" s="144"/>
      <c r="Y636" s="144"/>
      <c r="Z636" s="144"/>
    </row>
    <row r="637" spans="1:26" ht="18.75">
      <c r="A637" s="144"/>
      <c r="B637" s="141"/>
      <c r="C637" s="142"/>
      <c r="D637" s="143"/>
      <c r="E637" s="143"/>
      <c r="F637" s="144"/>
      <c r="G637" s="153"/>
      <c r="H637" s="153"/>
      <c r="I637" s="144"/>
      <c r="J637" s="144"/>
      <c r="K637" s="144"/>
      <c r="L637" s="144"/>
      <c r="M637" s="144"/>
      <c r="N637" s="144"/>
      <c r="O637" s="144"/>
      <c r="P637" s="144"/>
      <c r="Q637" s="144"/>
      <c r="R637" s="144"/>
      <c r="S637" s="144"/>
      <c r="T637" s="144"/>
      <c r="U637" s="144"/>
      <c r="V637" s="144"/>
      <c r="W637" s="144"/>
      <c r="X637" s="144"/>
      <c r="Y637" s="144"/>
      <c r="Z637" s="144"/>
    </row>
    <row r="638" spans="1:26" ht="18.75">
      <c r="A638" s="144"/>
      <c r="B638" s="141"/>
      <c r="C638" s="142"/>
      <c r="D638" s="143"/>
      <c r="E638" s="143"/>
      <c r="F638" s="144"/>
      <c r="G638" s="151"/>
      <c r="H638" s="151"/>
      <c r="I638" s="144"/>
      <c r="J638" s="144"/>
      <c r="K638" s="144"/>
      <c r="L638" s="144"/>
      <c r="M638" s="144"/>
      <c r="N638" s="144"/>
      <c r="O638" s="144"/>
      <c r="P638" s="144"/>
      <c r="Q638" s="144"/>
      <c r="R638" s="144"/>
      <c r="S638" s="144"/>
      <c r="T638" s="144"/>
      <c r="U638" s="144"/>
      <c r="V638" s="144"/>
      <c r="W638" s="144"/>
      <c r="X638" s="144"/>
      <c r="Y638" s="144"/>
      <c r="Z638" s="144"/>
    </row>
    <row r="639" spans="1:26" ht="18.75">
      <c r="A639" s="144"/>
      <c r="B639" s="141"/>
      <c r="C639" s="142"/>
      <c r="D639" s="143"/>
      <c r="E639" s="143"/>
      <c r="F639" s="144"/>
      <c r="G639" s="153"/>
      <c r="H639" s="153"/>
      <c r="I639" s="144"/>
      <c r="J639" s="144"/>
      <c r="K639" s="144"/>
      <c r="L639" s="144"/>
      <c r="M639" s="144"/>
      <c r="N639" s="144"/>
      <c r="O639" s="144"/>
      <c r="P639" s="144"/>
      <c r="Q639" s="144"/>
      <c r="R639" s="144"/>
      <c r="S639" s="144"/>
      <c r="T639" s="144"/>
      <c r="U639" s="144"/>
      <c r="V639" s="144"/>
      <c r="W639" s="144"/>
      <c r="X639" s="144"/>
      <c r="Y639" s="144"/>
      <c r="Z639" s="144"/>
    </row>
    <row r="640" spans="1:26" ht="18.75">
      <c r="A640" s="144"/>
      <c r="B640" s="141"/>
      <c r="C640" s="142"/>
      <c r="D640" s="143"/>
      <c r="E640" s="143"/>
      <c r="F640" s="144"/>
      <c r="G640" s="151"/>
      <c r="H640" s="151"/>
      <c r="I640" s="144"/>
      <c r="J640" s="144"/>
      <c r="K640" s="144"/>
      <c r="L640" s="144"/>
      <c r="M640" s="144"/>
      <c r="N640" s="144"/>
      <c r="O640" s="144"/>
      <c r="P640" s="144"/>
      <c r="Q640" s="144"/>
      <c r="R640" s="144"/>
      <c r="S640" s="144"/>
      <c r="T640" s="144"/>
      <c r="U640" s="144"/>
      <c r="V640" s="144"/>
      <c r="W640" s="144"/>
      <c r="X640" s="144"/>
      <c r="Y640" s="144"/>
      <c r="Z640" s="144"/>
    </row>
    <row r="641" spans="1:26" ht="18.75">
      <c r="A641" s="144"/>
      <c r="B641" s="141"/>
      <c r="C641" s="142"/>
      <c r="D641" s="143"/>
      <c r="E641" s="143"/>
      <c r="F641" s="144"/>
      <c r="G641" s="153"/>
      <c r="H641" s="153"/>
      <c r="I641" s="144"/>
      <c r="J641" s="144"/>
      <c r="K641" s="144"/>
      <c r="L641" s="144"/>
      <c r="M641" s="144"/>
      <c r="N641" s="144"/>
      <c r="O641" s="144"/>
      <c r="P641" s="144"/>
      <c r="Q641" s="144"/>
      <c r="R641" s="144"/>
      <c r="S641" s="144"/>
      <c r="T641" s="144"/>
      <c r="U641" s="144"/>
      <c r="V641" s="144"/>
      <c r="W641" s="144"/>
      <c r="X641" s="144"/>
      <c r="Y641" s="144"/>
      <c r="Z641" s="144"/>
    </row>
    <row r="642" spans="1:26" ht="18.75">
      <c r="A642" s="144"/>
      <c r="B642" s="141"/>
      <c r="C642" s="142"/>
      <c r="D642" s="143"/>
      <c r="E642" s="143"/>
      <c r="F642" s="144"/>
      <c r="G642" s="151"/>
      <c r="H642" s="151"/>
      <c r="I642" s="144"/>
      <c r="J642" s="144"/>
      <c r="K642" s="144"/>
      <c r="L642" s="144"/>
      <c r="M642" s="144"/>
      <c r="N642" s="144"/>
      <c r="O642" s="144"/>
      <c r="P642" s="144"/>
      <c r="Q642" s="144"/>
      <c r="R642" s="144"/>
      <c r="S642" s="144"/>
      <c r="T642" s="144"/>
      <c r="U642" s="144"/>
      <c r="V642" s="144"/>
      <c r="W642" s="144"/>
      <c r="X642" s="144"/>
      <c r="Y642" s="144"/>
      <c r="Z642" s="144"/>
    </row>
    <row r="643" spans="1:26" ht="18.75">
      <c r="A643" s="144"/>
      <c r="B643" s="141"/>
      <c r="C643" s="142"/>
      <c r="D643" s="143"/>
      <c r="E643" s="143"/>
      <c r="F643" s="144"/>
      <c r="G643" s="153"/>
      <c r="H643" s="153"/>
      <c r="I643" s="144"/>
      <c r="J643" s="144"/>
      <c r="K643" s="144"/>
      <c r="L643" s="144"/>
      <c r="M643" s="144"/>
      <c r="N643" s="144"/>
      <c r="O643" s="144"/>
      <c r="P643" s="144"/>
      <c r="Q643" s="144"/>
      <c r="R643" s="144"/>
      <c r="S643" s="144"/>
      <c r="T643" s="144"/>
      <c r="U643" s="144"/>
      <c r="V643" s="144"/>
      <c r="W643" s="144"/>
      <c r="X643" s="144"/>
      <c r="Y643" s="144"/>
      <c r="Z643" s="144"/>
    </row>
    <row r="644" spans="1:26" ht="18.75">
      <c r="A644" s="144"/>
      <c r="B644" s="141"/>
      <c r="C644" s="142"/>
      <c r="D644" s="143"/>
      <c r="E644" s="143"/>
      <c r="F644" s="144"/>
      <c r="G644" s="151"/>
      <c r="H644" s="151"/>
      <c r="I644" s="144"/>
      <c r="J644" s="144"/>
      <c r="K644" s="144"/>
      <c r="L644" s="144"/>
      <c r="M644" s="144"/>
      <c r="N644" s="144"/>
      <c r="O644" s="144"/>
      <c r="P644" s="144"/>
      <c r="Q644" s="144"/>
      <c r="R644" s="144"/>
      <c r="S644" s="144"/>
      <c r="T644" s="144"/>
      <c r="U644" s="144"/>
      <c r="V644" s="144"/>
      <c r="W644" s="144"/>
      <c r="X644" s="144"/>
      <c r="Y644" s="144"/>
      <c r="Z644" s="144"/>
    </row>
    <row r="645" spans="1:26" ht="18.75">
      <c r="A645" s="144"/>
      <c r="B645" s="141"/>
      <c r="C645" s="142"/>
      <c r="D645" s="143"/>
      <c r="E645" s="143"/>
      <c r="F645" s="144"/>
      <c r="G645" s="153"/>
      <c r="H645" s="153"/>
      <c r="I645" s="144"/>
      <c r="J645" s="144"/>
      <c r="K645" s="144"/>
      <c r="L645" s="144"/>
      <c r="M645" s="144"/>
      <c r="N645" s="144"/>
      <c r="O645" s="144"/>
      <c r="P645" s="144"/>
      <c r="Q645" s="144"/>
      <c r="R645" s="144"/>
      <c r="S645" s="144"/>
      <c r="T645" s="144"/>
      <c r="U645" s="144"/>
      <c r="V645" s="144"/>
      <c r="W645" s="144"/>
      <c r="X645" s="144"/>
      <c r="Y645" s="144"/>
      <c r="Z645" s="144"/>
    </row>
    <row r="646" spans="1:26" ht="18.75">
      <c r="A646" s="144"/>
      <c r="B646" s="141"/>
      <c r="C646" s="142"/>
      <c r="D646" s="143"/>
      <c r="E646" s="143"/>
      <c r="F646" s="144"/>
      <c r="G646" s="151"/>
      <c r="H646" s="151"/>
      <c r="I646" s="144"/>
      <c r="J646" s="144"/>
      <c r="K646" s="144"/>
      <c r="L646" s="144"/>
      <c r="M646" s="144"/>
      <c r="N646" s="144"/>
      <c r="O646" s="144"/>
      <c r="P646" s="144"/>
      <c r="Q646" s="144"/>
      <c r="R646" s="144"/>
      <c r="S646" s="144"/>
      <c r="T646" s="144"/>
      <c r="U646" s="144"/>
      <c r="V646" s="144"/>
      <c r="W646" s="144"/>
      <c r="X646" s="144"/>
      <c r="Y646" s="144"/>
      <c r="Z646" s="144"/>
    </row>
    <row r="647" spans="1:26" ht="18.75">
      <c r="A647" s="144"/>
      <c r="B647" s="141"/>
      <c r="C647" s="142"/>
      <c r="D647" s="143"/>
      <c r="E647" s="143"/>
      <c r="F647" s="144"/>
      <c r="G647" s="153"/>
      <c r="H647" s="153"/>
      <c r="I647" s="144"/>
      <c r="J647" s="144"/>
      <c r="K647" s="144"/>
      <c r="L647" s="144"/>
      <c r="M647" s="144"/>
      <c r="N647" s="144"/>
      <c r="O647" s="144"/>
      <c r="P647" s="144"/>
      <c r="Q647" s="144"/>
      <c r="R647" s="144"/>
      <c r="S647" s="144"/>
      <c r="T647" s="144"/>
      <c r="U647" s="144"/>
      <c r="V647" s="144"/>
      <c r="W647" s="144"/>
      <c r="X647" s="144"/>
      <c r="Y647" s="144"/>
      <c r="Z647" s="144"/>
    </row>
    <row r="648" spans="1:26" ht="18.75">
      <c r="A648" s="144"/>
      <c r="B648" s="141"/>
      <c r="C648" s="142"/>
      <c r="D648" s="143"/>
      <c r="E648" s="143"/>
      <c r="F648" s="144"/>
      <c r="G648" s="151"/>
      <c r="H648" s="151"/>
      <c r="I648" s="144"/>
      <c r="J648" s="144"/>
      <c r="K648" s="144"/>
      <c r="L648" s="144"/>
      <c r="M648" s="144"/>
      <c r="N648" s="144"/>
      <c r="O648" s="144"/>
      <c r="P648" s="144"/>
      <c r="Q648" s="144"/>
      <c r="R648" s="144"/>
      <c r="S648" s="144"/>
      <c r="T648" s="144"/>
      <c r="U648" s="144"/>
      <c r="V648" s="144"/>
      <c r="W648" s="144"/>
      <c r="X648" s="144"/>
      <c r="Y648" s="144"/>
      <c r="Z648" s="144"/>
    </row>
    <row r="649" spans="1:26" ht="18.75">
      <c r="A649" s="144"/>
      <c r="B649" s="141"/>
      <c r="C649" s="142"/>
      <c r="D649" s="143"/>
      <c r="E649" s="143"/>
      <c r="F649" s="144"/>
      <c r="G649" s="153"/>
      <c r="H649" s="153"/>
      <c r="I649" s="144"/>
      <c r="J649" s="144"/>
      <c r="K649" s="144"/>
      <c r="L649" s="144"/>
      <c r="M649" s="144"/>
      <c r="N649" s="144"/>
      <c r="O649" s="144"/>
      <c r="P649" s="144"/>
      <c r="Q649" s="144"/>
      <c r="R649" s="144"/>
      <c r="S649" s="144"/>
      <c r="T649" s="144"/>
      <c r="U649" s="144"/>
      <c r="V649" s="144"/>
      <c r="W649" s="144"/>
      <c r="X649" s="144"/>
      <c r="Y649" s="144"/>
      <c r="Z649" s="144"/>
    </row>
    <row r="650" spans="1:26" ht="18.75">
      <c r="A650" s="144"/>
      <c r="B650" s="141"/>
      <c r="C650" s="142"/>
      <c r="D650" s="143"/>
      <c r="E650" s="143"/>
      <c r="F650" s="144"/>
      <c r="G650" s="151"/>
      <c r="H650" s="151"/>
      <c r="I650" s="144"/>
      <c r="J650" s="144"/>
      <c r="K650" s="144"/>
      <c r="L650" s="144"/>
      <c r="M650" s="144"/>
      <c r="N650" s="144"/>
      <c r="O650" s="144"/>
      <c r="P650" s="144"/>
      <c r="Q650" s="144"/>
      <c r="R650" s="144"/>
      <c r="S650" s="144"/>
      <c r="T650" s="144"/>
      <c r="U650" s="144"/>
      <c r="V650" s="144"/>
      <c r="W650" s="144"/>
      <c r="X650" s="144"/>
      <c r="Y650" s="144"/>
      <c r="Z650" s="144"/>
    </row>
    <row r="651" spans="1:26" ht="18.75">
      <c r="A651" s="144"/>
      <c r="B651" s="141"/>
      <c r="C651" s="142"/>
      <c r="D651" s="143"/>
      <c r="E651" s="143"/>
      <c r="F651" s="144"/>
      <c r="G651" s="153"/>
      <c r="H651" s="153"/>
      <c r="I651" s="144"/>
      <c r="J651" s="144"/>
      <c r="K651" s="144"/>
      <c r="L651" s="144"/>
      <c r="M651" s="144"/>
      <c r="N651" s="144"/>
      <c r="O651" s="144"/>
      <c r="P651" s="144"/>
      <c r="Q651" s="144"/>
      <c r="R651" s="144"/>
      <c r="S651" s="144"/>
      <c r="T651" s="144"/>
      <c r="U651" s="144"/>
      <c r="V651" s="144"/>
      <c r="W651" s="144"/>
      <c r="X651" s="144"/>
      <c r="Y651" s="144"/>
      <c r="Z651" s="144"/>
    </row>
    <row r="652" spans="1:26" ht="18.75">
      <c r="A652" s="144"/>
      <c r="B652" s="141"/>
      <c r="C652" s="142"/>
      <c r="D652" s="143"/>
      <c r="E652" s="143"/>
      <c r="F652" s="144"/>
      <c r="G652" s="151"/>
      <c r="H652" s="151"/>
      <c r="I652" s="144"/>
      <c r="J652" s="144"/>
      <c r="K652" s="144"/>
      <c r="L652" s="144"/>
      <c r="M652" s="144"/>
      <c r="N652" s="144"/>
      <c r="O652" s="144"/>
      <c r="P652" s="144"/>
      <c r="Q652" s="144"/>
      <c r="R652" s="144"/>
      <c r="S652" s="144"/>
      <c r="T652" s="144"/>
      <c r="U652" s="144"/>
      <c r="V652" s="144"/>
      <c r="W652" s="144"/>
      <c r="X652" s="144"/>
      <c r="Y652" s="144"/>
      <c r="Z652" s="144"/>
    </row>
    <row r="653" spans="1:26" ht="18.75">
      <c r="A653" s="144"/>
      <c r="B653" s="141"/>
      <c r="C653" s="142"/>
      <c r="D653" s="143"/>
      <c r="E653" s="143"/>
      <c r="F653" s="144"/>
      <c r="G653" s="153"/>
      <c r="H653" s="153"/>
      <c r="I653" s="144"/>
      <c r="J653" s="144"/>
      <c r="K653" s="144"/>
      <c r="L653" s="144"/>
      <c r="M653" s="144"/>
      <c r="N653" s="144"/>
      <c r="O653" s="144"/>
      <c r="P653" s="144"/>
      <c r="Q653" s="144"/>
      <c r="R653" s="144"/>
      <c r="S653" s="144"/>
      <c r="T653" s="144"/>
      <c r="U653" s="144"/>
      <c r="V653" s="144"/>
      <c r="W653" s="144"/>
      <c r="X653" s="144"/>
      <c r="Y653" s="144"/>
      <c r="Z653" s="144"/>
    </row>
    <row r="654" spans="1:26" ht="18.75">
      <c r="A654" s="144"/>
      <c r="B654" s="141"/>
      <c r="C654" s="142"/>
      <c r="D654" s="143"/>
      <c r="E654" s="143"/>
      <c r="F654" s="144"/>
      <c r="G654" s="151"/>
      <c r="H654" s="151"/>
      <c r="I654" s="144"/>
      <c r="J654" s="144"/>
      <c r="K654" s="144"/>
      <c r="L654" s="144"/>
      <c r="M654" s="144"/>
      <c r="N654" s="144"/>
      <c r="O654" s="144"/>
      <c r="P654" s="144"/>
      <c r="Q654" s="144"/>
      <c r="R654" s="144"/>
      <c r="S654" s="144"/>
      <c r="T654" s="144"/>
      <c r="U654" s="144"/>
      <c r="V654" s="144"/>
      <c r="W654" s="144"/>
      <c r="X654" s="144"/>
      <c r="Y654" s="144"/>
      <c r="Z654" s="144"/>
    </row>
    <row r="655" spans="1:26" ht="18.75">
      <c r="A655" s="144"/>
      <c r="B655" s="141"/>
      <c r="C655" s="142"/>
      <c r="D655" s="143"/>
      <c r="E655" s="143"/>
      <c r="F655" s="144"/>
      <c r="G655" s="153"/>
      <c r="H655" s="153"/>
      <c r="I655" s="144"/>
      <c r="J655" s="144"/>
      <c r="K655" s="144"/>
      <c r="L655" s="144"/>
      <c r="M655" s="144"/>
      <c r="N655" s="144"/>
      <c r="O655" s="144"/>
      <c r="P655" s="144"/>
      <c r="Q655" s="144"/>
      <c r="R655" s="144"/>
      <c r="S655" s="144"/>
      <c r="T655" s="144"/>
      <c r="U655" s="144"/>
      <c r="V655" s="144"/>
      <c r="W655" s="144"/>
      <c r="X655" s="144"/>
      <c r="Y655" s="144"/>
      <c r="Z655" s="144"/>
    </row>
    <row r="656" spans="1:26" ht="18.75">
      <c r="A656" s="144"/>
      <c r="B656" s="141"/>
      <c r="C656" s="142"/>
      <c r="D656" s="143"/>
      <c r="E656" s="143"/>
      <c r="F656" s="144"/>
      <c r="G656" s="151"/>
      <c r="H656" s="151"/>
      <c r="I656" s="144"/>
      <c r="J656" s="144"/>
      <c r="K656" s="144"/>
      <c r="L656" s="144"/>
      <c r="M656" s="144"/>
      <c r="N656" s="144"/>
      <c r="O656" s="144"/>
      <c r="P656" s="144"/>
      <c r="Q656" s="144"/>
      <c r="R656" s="144"/>
      <c r="S656" s="144"/>
      <c r="T656" s="144"/>
      <c r="U656" s="144"/>
      <c r="V656" s="144"/>
      <c r="W656" s="144"/>
      <c r="X656" s="144"/>
      <c r="Y656" s="144"/>
      <c r="Z656" s="144"/>
    </row>
    <row r="657" spans="1:26" ht="18.75">
      <c r="A657" s="144"/>
      <c r="B657" s="141"/>
      <c r="C657" s="142"/>
      <c r="D657" s="143"/>
      <c r="E657" s="143"/>
      <c r="F657" s="144"/>
      <c r="G657" s="153"/>
      <c r="H657" s="153"/>
      <c r="I657" s="144"/>
      <c r="J657" s="144"/>
      <c r="K657" s="144"/>
      <c r="L657" s="144"/>
      <c r="M657" s="144"/>
      <c r="N657" s="144"/>
      <c r="O657" s="144"/>
      <c r="P657" s="144"/>
      <c r="Q657" s="144"/>
      <c r="R657" s="144"/>
      <c r="S657" s="144"/>
      <c r="T657" s="144"/>
      <c r="U657" s="144"/>
      <c r="V657" s="144"/>
      <c r="W657" s="144"/>
      <c r="X657" s="144"/>
      <c r="Y657" s="144"/>
      <c r="Z657" s="144"/>
    </row>
    <row r="658" spans="1:26" ht="18.75">
      <c r="A658" s="144"/>
      <c r="B658" s="141"/>
      <c r="C658" s="142"/>
      <c r="D658" s="143"/>
      <c r="E658" s="143"/>
      <c r="F658" s="144"/>
      <c r="G658" s="151"/>
      <c r="H658" s="151"/>
      <c r="I658" s="144"/>
      <c r="J658" s="144"/>
      <c r="K658" s="144"/>
      <c r="L658" s="144"/>
      <c r="M658" s="144"/>
      <c r="N658" s="144"/>
      <c r="O658" s="144"/>
      <c r="P658" s="144"/>
      <c r="Q658" s="144"/>
      <c r="R658" s="144"/>
      <c r="S658" s="144"/>
      <c r="T658" s="144"/>
      <c r="U658" s="144"/>
      <c r="V658" s="144"/>
      <c r="W658" s="144"/>
      <c r="X658" s="144"/>
      <c r="Y658" s="144"/>
      <c r="Z658" s="144"/>
    </row>
    <row r="659" spans="1:26" ht="18.75">
      <c r="A659" s="144"/>
      <c r="B659" s="141"/>
      <c r="C659" s="142"/>
      <c r="D659" s="143"/>
      <c r="E659" s="143"/>
      <c r="F659" s="144"/>
      <c r="G659" s="153"/>
      <c r="H659" s="153"/>
      <c r="I659" s="144"/>
      <c r="J659" s="144"/>
      <c r="K659" s="144"/>
      <c r="L659" s="144"/>
      <c r="M659" s="144"/>
      <c r="N659" s="144"/>
      <c r="O659" s="144"/>
      <c r="P659" s="144"/>
      <c r="Q659" s="144"/>
      <c r="R659" s="144"/>
      <c r="S659" s="144"/>
      <c r="T659" s="144"/>
      <c r="U659" s="144"/>
      <c r="V659" s="144"/>
      <c r="W659" s="144"/>
      <c r="X659" s="144"/>
      <c r="Y659" s="144"/>
      <c r="Z659" s="144"/>
    </row>
    <row r="660" spans="1:26" ht="18.75">
      <c r="A660" s="144"/>
      <c r="B660" s="141"/>
      <c r="C660" s="142"/>
      <c r="D660" s="143"/>
      <c r="E660" s="143"/>
      <c r="F660" s="144"/>
      <c r="G660" s="151"/>
      <c r="H660" s="151"/>
      <c r="I660" s="144"/>
      <c r="J660" s="144"/>
      <c r="K660" s="144"/>
      <c r="L660" s="144"/>
      <c r="M660" s="144"/>
      <c r="N660" s="144"/>
      <c r="O660" s="144"/>
      <c r="P660" s="144"/>
      <c r="Q660" s="144"/>
      <c r="R660" s="144"/>
      <c r="S660" s="144"/>
      <c r="T660" s="144"/>
      <c r="U660" s="144"/>
      <c r="V660" s="144"/>
      <c r="W660" s="144"/>
      <c r="X660" s="144"/>
      <c r="Y660" s="144"/>
      <c r="Z660" s="144"/>
    </row>
    <row r="661" spans="1:26" ht="18.75">
      <c r="A661" s="144"/>
      <c r="B661" s="141"/>
      <c r="C661" s="142"/>
      <c r="D661" s="143"/>
      <c r="E661" s="143"/>
      <c r="F661" s="144"/>
      <c r="G661" s="153"/>
      <c r="H661" s="153"/>
      <c r="I661" s="144"/>
      <c r="J661" s="144"/>
      <c r="K661" s="144"/>
      <c r="L661" s="144"/>
      <c r="M661" s="144"/>
      <c r="N661" s="144"/>
      <c r="O661" s="144"/>
      <c r="P661" s="144"/>
      <c r="Q661" s="144"/>
      <c r="R661" s="144"/>
      <c r="S661" s="144"/>
      <c r="T661" s="144"/>
      <c r="U661" s="144"/>
      <c r="V661" s="144"/>
      <c r="W661" s="144"/>
      <c r="X661" s="144"/>
      <c r="Y661" s="144"/>
      <c r="Z661" s="144"/>
    </row>
    <row r="662" spans="1:26" ht="18.75">
      <c r="A662" s="144"/>
      <c r="B662" s="141"/>
      <c r="C662" s="142"/>
      <c r="D662" s="143"/>
      <c r="E662" s="143"/>
      <c r="F662" s="144"/>
      <c r="G662" s="151"/>
      <c r="H662" s="151"/>
      <c r="I662" s="144"/>
      <c r="J662" s="144"/>
      <c r="K662" s="144"/>
      <c r="L662" s="144"/>
      <c r="M662" s="144"/>
      <c r="N662" s="144"/>
      <c r="O662" s="144"/>
      <c r="P662" s="144"/>
      <c r="Q662" s="144"/>
      <c r="R662" s="144"/>
      <c r="S662" s="144"/>
      <c r="T662" s="144"/>
      <c r="U662" s="144"/>
      <c r="V662" s="144"/>
      <c r="W662" s="144"/>
      <c r="X662" s="144"/>
      <c r="Y662" s="144"/>
      <c r="Z662" s="144"/>
    </row>
    <row r="663" spans="1:26" ht="18.75">
      <c r="A663" s="144"/>
      <c r="B663" s="141"/>
      <c r="C663" s="142"/>
      <c r="D663" s="143"/>
      <c r="E663" s="143"/>
      <c r="F663" s="144"/>
      <c r="G663" s="153"/>
      <c r="H663" s="153"/>
      <c r="I663" s="144"/>
      <c r="J663" s="144"/>
      <c r="K663" s="144"/>
      <c r="L663" s="144"/>
      <c r="M663" s="144"/>
      <c r="N663" s="144"/>
      <c r="O663" s="144"/>
      <c r="P663" s="144"/>
      <c r="Q663" s="144"/>
      <c r="R663" s="144"/>
      <c r="S663" s="144"/>
      <c r="T663" s="144"/>
      <c r="U663" s="144"/>
      <c r="V663" s="144"/>
      <c r="W663" s="144"/>
      <c r="X663" s="144"/>
      <c r="Y663" s="144"/>
      <c r="Z663" s="144"/>
    </row>
    <row r="664" spans="1:26" ht="18.75">
      <c r="A664" s="144"/>
      <c r="B664" s="141"/>
      <c r="C664" s="142"/>
      <c r="D664" s="143"/>
      <c r="E664" s="143"/>
      <c r="F664" s="144"/>
      <c r="G664" s="151"/>
      <c r="H664" s="151"/>
      <c r="I664" s="144"/>
      <c r="J664" s="144"/>
      <c r="K664" s="144"/>
      <c r="L664" s="144"/>
      <c r="M664" s="144"/>
      <c r="N664" s="144"/>
      <c r="O664" s="144"/>
      <c r="P664" s="144"/>
      <c r="Q664" s="144"/>
      <c r="R664" s="144"/>
      <c r="S664" s="144"/>
      <c r="T664" s="144"/>
      <c r="U664" s="144"/>
      <c r="V664" s="144"/>
      <c r="W664" s="144"/>
      <c r="X664" s="144"/>
      <c r="Y664" s="144"/>
      <c r="Z664" s="144"/>
    </row>
    <row r="665" spans="1:26" ht="18.75">
      <c r="A665" s="144"/>
      <c r="B665" s="141"/>
      <c r="C665" s="142"/>
      <c r="D665" s="143"/>
      <c r="E665" s="143"/>
      <c r="F665" s="144"/>
      <c r="G665" s="153"/>
      <c r="H665" s="153"/>
      <c r="I665" s="144"/>
      <c r="J665" s="144"/>
      <c r="K665" s="144"/>
      <c r="L665" s="144"/>
      <c r="M665" s="144"/>
      <c r="N665" s="144"/>
      <c r="O665" s="144"/>
      <c r="P665" s="144"/>
      <c r="Q665" s="144"/>
      <c r="R665" s="144"/>
      <c r="S665" s="144"/>
      <c r="T665" s="144"/>
      <c r="U665" s="144"/>
      <c r="V665" s="144"/>
      <c r="W665" s="144"/>
      <c r="X665" s="144"/>
      <c r="Y665" s="144"/>
      <c r="Z665" s="144"/>
    </row>
    <row r="666" spans="1:26" ht="18.75">
      <c r="A666" s="144"/>
      <c r="B666" s="141"/>
      <c r="C666" s="142"/>
      <c r="D666" s="143"/>
      <c r="E666" s="143"/>
      <c r="F666" s="144"/>
      <c r="G666" s="151"/>
      <c r="H666" s="151"/>
      <c r="I666" s="144"/>
      <c r="J666" s="144"/>
      <c r="K666" s="144"/>
      <c r="L666" s="144"/>
      <c r="M666" s="144"/>
      <c r="N666" s="144"/>
      <c r="O666" s="144"/>
      <c r="P666" s="144"/>
      <c r="Q666" s="144"/>
      <c r="R666" s="144"/>
      <c r="S666" s="144"/>
      <c r="T666" s="144"/>
      <c r="U666" s="144"/>
      <c r="V666" s="144"/>
      <c r="W666" s="144"/>
      <c r="X666" s="144"/>
      <c r="Y666" s="144"/>
      <c r="Z666" s="144"/>
    </row>
    <row r="667" spans="1:26" ht="18.75">
      <c r="A667" s="144"/>
      <c r="B667" s="141"/>
      <c r="C667" s="142"/>
      <c r="D667" s="143"/>
      <c r="E667" s="143"/>
      <c r="F667" s="144"/>
      <c r="G667" s="153"/>
      <c r="H667" s="153"/>
      <c r="I667" s="144"/>
      <c r="J667" s="144"/>
      <c r="K667" s="144"/>
      <c r="L667" s="144"/>
      <c r="M667" s="144"/>
      <c r="N667" s="144"/>
      <c r="O667" s="144"/>
      <c r="P667" s="144"/>
      <c r="Q667" s="144"/>
      <c r="R667" s="144"/>
      <c r="S667" s="144"/>
      <c r="T667" s="144"/>
      <c r="U667" s="144"/>
      <c r="V667" s="144"/>
      <c r="W667" s="144"/>
      <c r="X667" s="144"/>
      <c r="Y667" s="144"/>
      <c r="Z667" s="144"/>
    </row>
    <row r="668" spans="1:26" ht="18.75">
      <c r="A668" s="144"/>
      <c r="B668" s="141"/>
      <c r="C668" s="142"/>
      <c r="D668" s="143"/>
      <c r="E668" s="143"/>
      <c r="F668" s="144"/>
      <c r="G668" s="151"/>
      <c r="H668" s="151"/>
      <c r="I668" s="144"/>
      <c r="J668" s="144"/>
      <c r="K668" s="144"/>
      <c r="L668" s="144"/>
      <c r="M668" s="144"/>
      <c r="N668" s="144"/>
      <c r="O668" s="144"/>
      <c r="P668" s="144"/>
      <c r="Q668" s="144"/>
      <c r="R668" s="144"/>
      <c r="S668" s="144"/>
      <c r="T668" s="144"/>
      <c r="U668" s="144"/>
      <c r="V668" s="144"/>
      <c r="W668" s="144"/>
      <c r="X668" s="144"/>
      <c r="Y668" s="144"/>
      <c r="Z668" s="144"/>
    </row>
    <row r="669" spans="1:26" ht="18.75">
      <c r="A669" s="144"/>
      <c r="B669" s="141"/>
      <c r="C669" s="142"/>
      <c r="D669" s="143"/>
      <c r="E669" s="143"/>
      <c r="F669" s="144"/>
      <c r="G669" s="153"/>
      <c r="H669" s="153"/>
      <c r="I669" s="144"/>
      <c r="J669" s="144"/>
      <c r="K669" s="144"/>
      <c r="L669" s="144"/>
      <c r="M669" s="144"/>
      <c r="N669" s="144"/>
      <c r="O669" s="144"/>
      <c r="P669" s="144"/>
      <c r="Q669" s="144"/>
      <c r="R669" s="144"/>
      <c r="S669" s="144"/>
      <c r="T669" s="144"/>
      <c r="U669" s="144"/>
      <c r="V669" s="144"/>
      <c r="W669" s="144"/>
      <c r="X669" s="144"/>
      <c r="Y669" s="144"/>
      <c r="Z669" s="144"/>
    </row>
    <row r="670" spans="1:26" ht="18.75">
      <c r="A670" s="144"/>
      <c r="B670" s="141"/>
      <c r="C670" s="142"/>
      <c r="D670" s="143"/>
      <c r="E670" s="143"/>
      <c r="F670" s="144"/>
      <c r="G670" s="151"/>
      <c r="H670" s="151"/>
      <c r="I670" s="144"/>
      <c r="J670" s="144"/>
      <c r="K670" s="144"/>
      <c r="L670" s="144"/>
      <c r="M670" s="144"/>
      <c r="N670" s="144"/>
      <c r="O670" s="144"/>
      <c r="P670" s="144"/>
      <c r="Q670" s="144"/>
      <c r="R670" s="144"/>
      <c r="S670" s="144"/>
      <c r="T670" s="144"/>
      <c r="U670" s="144"/>
      <c r="V670" s="144"/>
      <c r="W670" s="144"/>
      <c r="X670" s="144"/>
      <c r="Y670" s="144"/>
      <c r="Z670" s="144"/>
    </row>
    <row r="671" spans="1:26" ht="18.75">
      <c r="A671" s="144"/>
      <c r="B671" s="141"/>
      <c r="C671" s="142"/>
      <c r="D671" s="143"/>
      <c r="E671" s="143"/>
      <c r="F671" s="144"/>
      <c r="G671" s="153"/>
      <c r="H671" s="153"/>
      <c r="I671" s="144"/>
      <c r="J671" s="144"/>
      <c r="K671" s="144"/>
      <c r="L671" s="144"/>
      <c r="M671" s="144"/>
      <c r="N671" s="144"/>
      <c r="O671" s="144"/>
      <c r="P671" s="144"/>
      <c r="Q671" s="144"/>
      <c r="R671" s="144"/>
      <c r="S671" s="144"/>
      <c r="T671" s="144"/>
      <c r="U671" s="144"/>
      <c r="V671" s="144"/>
      <c r="W671" s="144"/>
      <c r="X671" s="144"/>
      <c r="Y671" s="144"/>
      <c r="Z671" s="144"/>
    </row>
    <row r="672" spans="1:26" ht="18.75">
      <c r="A672" s="144"/>
      <c r="B672" s="141"/>
      <c r="C672" s="142"/>
      <c r="D672" s="143"/>
      <c r="E672" s="143"/>
      <c r="F672" s="144"/>
      <c r="G672" s="151"/>
      <c r="H672" s="151"/>
      <c r="I672" s="144"/>
      <c r="J672" s="144"/>
      <c r="K672" s="144"/>
      <c r="L672" s="144"/>
      <c r="M672" s="144"/>
      <c r="N672" s="144"/>
      <c r="O672" s="144"/>
      <c r="P672" s="144"/>
      <c r="Q672" s="144"/>
      <c r="R672" s="144"/>
      <c r="S672" s="144"/>
      <c r="T672" s="144"/>
      <c r="U672" s="144"/>
      <c r="V672" s="144"/>
      <c r="W672" s="144"/>
      <c r="X672" s="144"/>
      <c r="Y672" s="144"/>
      <c r="Z672" s="144"/>
    </row>
    <row r="673" spans="1:26" ht="18.75">
      <c r="A673" s="144"/>
      <c r="B673" s="141"/>
      <c r="C673" s="142"/>
      <c r="D673" s="143"/>
      <c r="E673" s="143"/>
      <c r="F673" s="144"/>
      <c r="G673" s="153"/>
      <c r="H673" s="153"/>
      <c r="I673" s="144"/>
      <c r="J673" s="144"/>
      <c r="K673" s="144"/>
      <c r="L673" s="144"/>
      <c r="M673" s="144"/>
      <c r="N673" s="144"/>
      <c r="O673" s="144"/>
      <c r="P673" s="144"/>
      <c r="Q673" s="144"/>
      <c r="R673" s="144"/>
      <c r="S673" s="144"/>
      <c r="T673" s="144"/>
      <c r="U673" s="144"/>
      <c r="V673" s="144"/>
      <c r="W673" s="144"/>
      <c r="X673" s="144"/>
      <c r="Y673" s="144"/>
      <c r="Z673" s="144"/>
    </row>
    <row r="674" spans="1:26" ht="18.75">
      <c r="A674" s="144"/>
      <c r="B674" s="141"/>
      <c r="C674" s="142"/>
      <c r="D674" s="143"/>
      <c r="E674" s="143"/>
      <c r="F674" s="144"/>
      <c r="G674" s="151"/>
      <c r="H674" s="151"/>
      <c r="I674" s="144"/>
      <c r="J674" s="144"/>
      <c r="K674" s="144"/>
      <c r="L674" s="144"/>
      <c r="M674" s="144"/>
      <c r="N674" s="144"/>
      <c r="O674" s="144"/>
      <c r="P674" s="144"/>
      <c r="Q674" s="144"/>
      <c r="R674" s="144"/>
      <c r="S674" s="144"/>
      <c r="T674" s="144"/>
      <c r="U674" s="144"/>
      <c r="V674" s="144"/>
      <c r="W674" s="144"/>
      <c r="X674" s="144"/>
      <c r="Y674" s="144"/>
      <c r="Z674" s="144"/>
    </row>
    <row r="675" spans="1:26" ht="18.75">
      <c r="A675" s="144"/>
      <c r="B675" s="141"/>
      <c r="C675" s="142"/>
      <c r="D675" s="143"/>
      <c r="E675" s="143"/>
      <c r="F675" s="144"/>
      <c r="G675" s="153"/>
      <c r="H675" s="153"/>
      <c r="I675" s="144"/>
      <c r="J675" s="144"/>
      <c r="K675" s="144"/>
      <c r="L675" s="144"/>
      <c r="M675" s="144"/>
      <c r="N675" s="144"/>
      <c r="O675" s="144"/>
      <c r="P675" s="144"/>
      <c r="Q675" s="144"/>
      <c r="R675" s="144"/>
      <c r="S675" s="144"/>
      <c r="T675" s="144"/>
      <c r="U675" s="144"/>
      <c r="V675" s="144"/>
      <c r="W675" s="144"/>
      <c r="X675" s="144"/>
      <c r="Y675" s="144"/>
      <c r="Z675" s="144"/>
    </row>
    <row r="676" spans="1:26" ht="18.75">
      <c r="A676" s="144"/>
      <c r="B676" s="141"/>
      <c r="C676" s="142"/>
      <c r="D676" s="143"/>
      <c r="E676" s="143"/>
      <c r="F676" s="144"/>
      <c r="G676" s="151"/>
      <c r="H676" s="151"/>
      <c r="I676" s="144"/>
      <c r="J676" s="144"/>
      <c r="K676" s="144"/>
      <c r="L676" s="144"/>
      <c r="M676" s="144"/>
      <c r="N676" s="144"/>
      <c r="O676" s="144"/>
      <c r="P676" s="144"/>
      <c r="Q676" s="144"/>
      <c r="R676" s="144"/>
      <c r="S676" s="144"/>
      <c r="T676" s="144"/>
      <c r="U676" s="144"/>
      <c r="V676" s="144"/>
      <c r="W676" s="144"/>
      <c r="X676" s="144"/>
      <c r="Y676" s="144"/>
      <c r="Z676" s="144"/>
    </row>
    <row r="677" spans="1:26" ht="18.75">
      <c r="A677" s="144"/>
      <c r="B677" s="141"/>
      <c r="C677" s="142"/>
      <c r="D677" s="143"/>
      <c r="E677" s="143"/>
      <c r="F677" s="144"/>
      <c r="G677" s="153"/>
      <c r="H677" s="153"/>
      <c r="I677" s="144"/>
      <c r="J677" s="144"/>
      <c r="K677" s="144"/>
      <c r="L677" s="144"/>
      <c r="M677" s="144"/>
      <c r="N677" s="144"/>
      <c r="O677" s="144"/>
      <c r="P677" s="144"/>
      <c r="Q677" s="144"/>
      <c r="R677" s="144"/>
      <c r="S677" s="144"/>
      <c r="T677" s="144"/>
      <c r="U677" s="144"/>
      <c r="V677" s="144"/>
      <c r="W677" s="144"/>
      <c r="X677" s="144"/>
      <c r="Y677" s="144"/>
      <c r="Z677" s="144"/>
    </row>
    <row r="678" spans="1:26" ht="18.75">
      <c r="A678" s="144"/>
      <c r="B678" s="141"/>
      <c r="C678" s="142"/>
      <c r="D678" s="143"/>
      <c r="E678" s="143"/>
      <c r="F678" s="144"/>
      <c r="G678" s="151"/>
      <c r="H678" s="151"/>
      <c r="I678" s="144"/>
      <c r="J678" s="144"/>
      <c r="K678" s="144"/>
      <c r="L678" s="144"/>
      <c r="M678" s="144"/>
      <c r="N678" s="144"/>
      <c r="O678" s="144"/>
      <c r="P678" s="144"/>
      <c r="Q678" s="144"/>
      <c r="R678" s="144"/>
      <c r="S678" s="144"/>
      <c r="T678" s="144"/>
      <c r="U678" s="144"/>
      <c r="V678" s="144"/>
      <c r="W678" s="144"/>
      <c r="X678" s="144"/>
      <c r="Y678" s="144"/>
      <c r="Z678" s="144"/>
    </row>
    <row r="679" spans="1:26" ht="18.75">
      <c r="A679" s="144"/>
      <c r="B679" s="141"/>
      <c r="C679" s="142"/>
      <c r="D679" s="143"/>
      <c r="E679" s="143"/>
      <c r="F679" s="144"/>
      <c r="G679" s="153"/>
      <c r="H679" s="153"/>
      <c r="I679" s="144"/>
      <c r="J679" s="144"/>
      <c r="K679" s="144"/>
      <c r="L679" s="144"/>
      <c r="M679" s="144"/>
      <c r="N679" s="144"/>
      <c r="O679" s="144"/>
      <c r="P679" s="144"/>
      <c r="Q679" s="144"/>
      <c r="R679" s="144"/>
      <c r="S679" s="144"/>
      <c r="T679" s="144"/>
      <c r="U679" s="144"/>
      <c r="V679" s="144"/>
      <c r="W679" s="144"/>
      <c r="X679" s="144"/>
      <c r="Y679" s="144"/>
      <c r="Z679" s="144"/>
    </row>
    <row r="680" spans="1:26" ht="18.75">
      <c r="A680" s="144"/>
      <c r="B680" s="141"/>
      <c r="C680" s="142"/>
      <c r="D680" s="143"/>
      <c r="E680" s="143"/>
      <c r="F680" s="144"/>
      <c r="G680" s="151"/>
      <c r="H680" s="151"/>
      <c r="I680" s="144"/>
      <c r="J680" s="144"/>
      <c r="K680" s="144"/>
      <c r="L680" s="144"/>
      <c r="M680" s="144"/>
      <c r="N680" s="144"/>
      <c r="O680" s="144"/>
      <c r="P680" s="144"/>
      <c r="Q680" s="144"/>
      <c r="R680" s="144"/>
      <c r="S680" s="144"/>
      <c r="T680" s="144"/>
      <c r="U680" s="144"/>
      <c r="V680" s="144"/>
      <c r="W680" s="144"/>
      <c r="X680" s="144"/>
      <c r="Y680" s="144"/>
      <c r="Z680" s="144"/>
    </row>
    <row r="681" spans="1:26" ht="18.75">
      <c r="A681" s="144"/>
      <c r="B681" s="141"/>
      <c r="C681" s="142"/>
      <c r="D681" s="143"/>
      <c r="E681" s="143"/>
      <c r="F681" s="144"/>
      <c r="G681" s="153"/>
      <c r="H681" s="153"/>
      <c r="I681" s="144"/>
      <c r="J681" s="144"/>
      <c r="K681" s="144"/>
      <c r="L681" s="144"/>
      <c r="M681" s="144"/>
      <c r="N681" s="144"/>
      <c r="O681" s="144"/>
      <c r="P681" s="144"/>
      <c r="Q681" s="144"/>
      <c r="R681" s="144"/>
      <c r="S681" s="144"/>
      <c r="T681" s="144"/>
      <c r="U681" s="144"/>
      <c r="V681" s="144"/>
      <c r="W681" s="144"/>
      <c r="X681" s="144"/>
      <c r="Y681" s="144"/>
      <c r="Z681" s="144"/>
    </row>
    <row r="682" spans="1:26" ht="18.75">
      <c r="A682" s="144"/>
      <c r="B682" s="141"/>
      <c r="C682" s="142"/>
      <c r="D682" s="143"/>
      <c r="E682" s="143"/>
      <c r="F682" s="144"/>
      <c r="G682" s="151"/>
      <c r="H682" s="151"/>
      <c r="I682" s="144"/>
      <c r="J682" s="144"/>
      <c r="K682" s="144"/>
      <c r="L682" s="144"/>
      <c r="M682" s="144"/>
      <c r="N682" s="144"/>
      <c r="O682" s="144"/>
      <c r="P682" s="144"/>
      <c r="Q682" s="144"/>
      <c r="R682" s="144"/>
      <c r="S682" s="144"/>
      <c r="T682" s="144"/>
      <c r="U682" s="144"/>
      <c r="V682" s="144"/>
      <c r="W682" s="144"/>
      <c r="X682" s="144"/>
      <c r="Y682" s="144"/>
      <c r="Z682" s="144"/>
    </row>
    <row r="683" spans="1:26" ht="18.75">
      <c r="A683" s="144"/>
      <c r="B683" s="141"/>
      <c r="C683" s="142"/>
      <c r="D683" s="143"/>
      <c r="E683" s="143"/>
      <c r="F683" s="144"/>
      <c r="G683" s="153"/>
      <c r="H683" s="153"/>
      <c r="I683" s="144"/>
      <c r="J683" s="144"/>
      <c r="K683" s="144"/>
      <c r="L683" s="144"/>
      <c r="M683" s="144"/>
      <c r="N683" s="144"/>
      <c r="O683" s="144"/>
      <c r="P683" s="144"/>
      <c r="Q683" s="144"/>
      <c r="R683" s="144"/>
      <c r="S683" s="144"/>
      <c r="T683" s="144"/>
      <c r="U683" s="144"/>
      <c r="V683" s="144"/>
      <c r="W683" s="144"/>
      <c r="X683" s="144"/>
      <c r="Y683" s="144"/>
      <c r="Z683" s="144"/>
    </row>
    <row r="684" spans="1:26" ht="18.75">
      <c r="A684" s="144"/>
      <c r="B684" s="141"/>
      <c r="C684" s="142"/>
      <c r="D684" s="143"/>
      <c r="E684" s="143"/>
      <c r="F684" s="144"/>
      <c r="G684" s="151"/>
      <c r="H684" s="151"/>
      <c r="I684" s="144"/>
      <c r="J684" s="144"/>
      <c r="K684" s="144"/>
      <c r="L684" s="144"/>
      <c r="M684" s="144"/>
      <c r="N684" s="144"/>
      <c r="O684" s="144"/>
      <c r="P684" s="144"/>
      <c r="Q684" s="144"/>
      <c r="R684" s="144"/>
      <c r="S684" s="144"/>
      <c r="T684" s="144"/>
      <c r="U684" s="144"/>
      <c r="V684" s="144"/>
      <c r="W684" s="144"/>
      <c r="X684" s="144"/>
      <c r="Y684" s="144"/>
      <c r="Z684" s="144"/>
    </row>
    <row r="685" spans="1:26" ht="18.75">
      <c r="A685" s="144"/>
      <c r="B685" s="141"/>
      <c r="C685" s="142"/>
      <c r="D685" s="143"/>
      <c r="E685" s="143"/>
      <c r="F685" s="144"/>
      <c r="G685" s="153"/>
      <c r="H685" s="153"/>
      <c r="I685" s="144"/>
      <c r="J685" s="144"/>
      <c r="K685" s="144"/>
      <c r="L685" s="144"/>
      <c r="M685" s="144"/>
      <c r="N685" s="144"/>
      <c r="O685" s="144"/>
      <c r="P685" s="144"/>
      <c r="Q685" s="144"/>
      <c r="R685" s="144"/>
      <c r="S685" s="144"/>
      <c r="T685" s="144"/>
      <c r="U685" s="144"/>
      <c r="V685" s="144"/>
      <c r="W685" s="144"/>
      <c r="X685" s="144"/>
      <c r="Y685" s="144"/>
      <c r="Z685" s="144"/>
    </row>
    <row r="686" spans="1:26" ht="18.75">
      <c r="A686" s="144"/>
      <c r="B686" s="141"/>
      <c r="C686" s="142"/>
      <c r="D686" s="143"/>
      <c r="E686" s="143"/>
      <c r="F686" s="144"/>
      <c r="G686" s="151"/>
      <c r="H686" s="151"/>
      <c r="I686" s="144"/>
      <c r="J686" s="144"/>
      <c r="K686" s="144"/>
      <c r="L686" s="144"/>
      <c r="M686" s="144"/>
      <c r="N686" s="144"/>
      <c r="O686" s="144"/>
      <c r="P686" s="144"/>
      <c r="Q686" s="144"/>
      <c r="R686" s="144"/>
      <c r="S686" s="144"/>
      <c r="T686" s="144"/>
      <c r="U686" s="144"/>
      <c r="V686" s="144"/>
      <c r="W686" s="144"/>
      <c r="X686" s="144"/>
      <c r="Y686" s="144"/>
      <c r="Z686" s="144"/>
    </row>
    <row r="687" spans="1:26" ht="18.75">
      <c r="A687" s="144"/>
      <c r="B687" s="141"/>
      <c r="C687" s="142"/>
      <c r="D687" s="143"/>
      <c r="E687" s="143"/>
      <c r="F687" s="144"/>
      <c r="G687" s="153"/>
      <c r="H687" s="153"/>
      <c r="I687" s="144"/>
      <c r="J687" s="144"/>
      <c r="K687" s="144"/>
      <c r="L687" s="144"/>
      <c r="M687" s="144"/>
      <c r="N687" s="144"/>
      <c r="O687" s="144"/>
      <c r="P687" s="144"/>
      <c r="Q687" s="144"/>
      <c r="R687" s="144"/>
      <c r="S687" s="144"/>
      <c r="T687" s="144"/>
      <c r="U687" s="144"/>
      <c r="V687" s="144"/>
      <c r="W687" s="144"/>
      <c r="X687" s="144"/>
      <c r="Y687" s="144"/>
      <c r="Z687" s="144"/>
    </row>
    <row r="688" spans="1:26" ht="18.75">
      <c r="A688" s="144"/>
      <c r="B688" s="141"/>
      <c r="C688" s="142"/>
      <c r="D688" s="143"/>
      <c r="E688" s="143"/>
      <c r="F688" s="144"/>
      <c r="G688" s="151"/>
      <c r="H688" s="151"/>
      <c r="I688" s="144"/>
      <c r="J688" s="144"/>
      <c r="K688" s="144"/>
      <c r="L688" s="144"/>
      <c r="M688" s="144"/>
      <c r="N688" s="144"/>
      <c r="O688" s="144"/>
      <c r="P688" s="144"/>
      <c r="Q688" s="144"/>
      <c r="R688" s="144"/>
      <c r="S688" s="144"/>
      <c r="T688" s="144"/>
      <c r="U688" s="144"/>
      <c r="V688" s="144"/>
      <c r="W688" s="144"/>
      <c r="X688" s="144"/>
      <c r="Y688" s="144"/>
      <c r="Z688" s="144"/>
    </row>
    <row r="689" spans="1:26" ht="18.75">
      <c r="A689" s="144"/>
      <c r="B689" s="141"/>
      <c r="C689" s="142"/>
      <c r="D689" s="143"/>
      <c r="E689" s="143"/>
      <c r="F689" s="144"/>
      <c r="G689" s="153"/>
      <c r="H689" s="153"/>
      <c r="I689" s="144"/>
      <c r="J689" s="144"/>
      <c r="K689" s="144"/>
      <c r="L689" s="144"/>
      <c r="M689" s="144"/>
      <c r="N689" s="144"/>
      <c r="O689" s="144"/>
      <c r="P689" s="144"/>
      <c r="Q689" s="144"/>
      <c r="R689" s="144"/>
      <c r="S689" s="144"/>
      <c r="T689" s="144"/>
      <c r="U689" s="144"/>
      <c r="V689" s="144"/>
      <c r="W689" s="144"/>
      <c r="X689" s="144"/>
      <c r="Y689" s="144"/>
      <c r="Z689" s="144"/>
    </row>
    <row r="690" spans="1:26" ht="18.75">
      <c r="A690" s="144"/>
      <c r="B690" s="141"/>
      <c r="C690" s="142"/>
      <c r="D690" s="143"/>
      <c r="E690" s="143"/>
      <c r="F690" s="144"/>
      <c r="G690" s="151"/>
      <c r="H690" s="151"/>
      <c r="I690" s="144"/>
      <c r="J690" s="144"/>
      <c r="K690" s="144"/>
      <c r="L690" s="144"/>
      <c r="M690" s="144"/>
      <c r="N690" s="144"/>
      <c r="O690" s="144"/>
      <c r="P690" s="144"/>
      <c r="Q690" s="144"/>
      <c r="R690" s="144"/>
      <c r="S690" s="144"/>
      <c r="T690" s="144"/>
      <c r="U690" s="144"/>
      <c r="V690" s="144"/>
      <c r="W690" s="144"/>
      <c r="X690" s="144"/>
      <c r="Y690" s="144"/>
      <c r="Z690" s="144"/>
    </row>
    <row r="691" spans="1:26" ht="18.75">
      <c r="A691" s="144"/>
      <c r="B691" s="141"/>
      <c r="C691" s="142"/>
      <c r="D691" s="143"/>
      <c r="E691" s="143"/>
      <c r="F691" s="144"/>
      <c r="G691" s="153"/>
      <c r="H691" s="153"/>
      <c r="I691" s="144"/>
      <c r="J691" s="144"/>
      <c r="K691" s="144"/>
      <c r="L691" s="144"/>
      <c r="M691" s="144"/>
      <c r="N691" s="144"/>
      <c r="O691" s="144"/>
      <c r="P691" s="144"/>
      <c r="Q691" s="144"/>
      <c r="R691" s="144"/>
      <c r="S691" s="144"/>
      <c r="T691" s="144"/>
      <c r="U691" s="144"/>
      <c r="V691" s="144"/>
      <c r="W691" s="144"/>
      <c r="X691" s="144"/>
      <c r="Y691" s="144"/>
      <c r="Z691" s="144"/>
    </row>
    <row r="692" spans="1:26" ht="18.75">
      <c r="A692" s="144"/>
      <c r="B692" s="141"/>
      <c r="C692" s="142"/>
      <c r="D692" s="143"/>
      <c r="E692" s="143"/>
      <c r="F692" s="144"/>
      <c r="G692" s="151"/>
      <c r="H692" s="151"/>
      <c r="I692" s="144"/>
      <c r="J692" s="144"/>
      <c r="K692" s="144"/>
      <c r="L692" s="144"/>
      <c r="M692" s="144"/>
      <c r="N692" s="144"/>
      <c r="O692" s="144"/>
      <c r="P692" s="144"/>
      <c r="Q692" s="144"/>
      <c r="R692" s="144"/>
      <c r="S692" s="144"/>
      <c r="T692" s="144"/>
      <c r="U692" s="144"/>
      <c r="V692" s="144"/>
      <c r="W692" s="144"/>
      <c r="X692" s="144"/>
      <c r="Y692" s="144"/>
      <c r="Z692" s="144"/>
    </row>
    <row r="693" spans="1:26" ht="18.75">
      <c r="A693" s="144"/>
      <c r="B693" s="141"/>
      <c r="C693" s="142"/>
      <c r="D693" s="143"/>
      <c r="E693" s="143"/>
      <c r="F693" s="144"/>
      <c r="G693" s="153"/>
      <c r="H693" s="153"/>
      <c r="I693" s="144"/>
      <c r="J693" s="144"/>
      <c r="K693" s="144"/>
      <c r="L693" s="144"/>
      <c r="M693" s="144"/>
      <c r="N693" s="144"/>
      <c r="O693" s="144"/>
      <c r="P693" s="144"/>
      <c r="Q693" s="144"/>
      <c r="R693" s="144"/>
      <c r="S693" s="144"/>
      <c r="T693" s="144"/>
      <c r="U693" s="144"/>
      <c r="V693" s="144"/>
      <c r="W693" s="144"/>
      <c r="X693" s="144"/>
      <c r="Y693" s="144"/>
      <c r="Z693" s="144"/>
    </row>
    <row r="694" spans="1:26" ht="18.75">
      <c r="A694" s="144"/>
      <c r="B694" s="141"/>
      <c r="C694" s="142"/>
      <c r="D694" s="143"/>
      <c r="E694" s="143"/>
      <c r="F694" s="144"/>
      <c r="G694" s="151"/>
      <c r="H694" s="151"/>
      <c r="I694" s="144"/>
      <c r="J694" s="144"/>
      <c r="K694" s="144"/>
      <c r="L694" s="144"/>
      <c r="M694" s="144"/>
      <c r="N694" s="144"/>
      <c r="O694" s="144"/>
      <c r="P694" s="144"/>
      <c r="Q694" s="144"/>
      <c r="R694" s="144"/>
      <c r="S694" s="144"/>
      <c r="T694" s="144"/>
      <c r="U694" s="144"/>
      <c r="V694" s="144"/>
      <c r="W694" s="144"/>
      <c r="X694" s="144"/>
      <c r="Y694" s="144"/>
      <c r="Z694" s="144"/>
    </row>
    <row r="695" spans="1:26" ht="18.75">
      <c r="A695" s="144"/>
      <c r="B695" s="141"/>
      <c r="C695" s="142"/>
      <c r="D695" s="143"/>
      <c r="E695" s="143"/>
      <c r="F695" s="144"/>
      <c r="G695" s="153"/>
      <c r="H695" s="153"/>
      <c r="I695" s="144"/>
      <c r="J695" s="144"/>
      <c r="K695" s="144"/>
      <c r="L695" s="144"/>
      <c r="M695" s="144"/>
      <c r="N695" s="144"/>
      <c r="O695" s="144"/>
      <c r="P695" s="144"/>
      <c r="Q695" s="144"/>
      <c r="R695" s="144"/>
      <c r="S695" s="144"/>
      <c r="T695" s="144"/>
      <c r="U695" s="144"/>
      <c r="V695" s="144"/>
      <c r="W695" s="144"/>
      <c r="X695" s="144"/>
      <c r="Y695" s="144"/>
      <c r="Z695" s="144"/>
    </row>
    <row r="696" spans="1:26" ht="18.75">
      <c r="A696" s="144"/>
      <c r="B696" s="141"/>
      <c r="C696" s="142"/>
      <c r="D696" s="143"/>
      <c r="E696" s="143"/>
      <c r="F696" s="144"/>
      <c r="G696" s="151"/>
      <c r="H696" s="151"/>
      <c r="I696" s="144"/>
      <c r="J696" s="144"/>
      <c r="K696" s="144"/>
      <c r="L696" s="144"/>
      <c r="M696" s="144"/>
      <c r="N696" s="144"/>
      <c r="O696" s="144"/>
      <c r="P696" s="144"/>
      <c r="Q696" s="144"/>
      <c r="R696" s="144"/>
      <c r="S696" s="144"/>
      <c r="T696" s="144"/>
      <c r="U696" s="144"/>
      <c r="V696" s="144"/>
      <c r="W696" s="144"/>
      <c r="X696" s="144"/>
      <c r="Y696" s="144"/>
      <c r="Z696" s="144"/>
    </row>
    <row r="697" spans="1:26" ht="18.75">
      <c r="A697" s="144"/>
      <c r="B697" s="141"/>
      <c r="C697" s="142"/>
      <c r="D697" s="143"/>
      <c r="E697" s="143"/>
      <c r="F697" s="144"/>
      <c r="G697" s="153"/>
      <c r="H697" s="153"/>
      <c r="I697" s="144"/>
      <c r="J697" s="144"/>
      <c r="K697" s="144"/>
      <c r="L697" s="144"/>
      <c r="M697" s="144"/>
      <c r="N697" s="144"/>
      <c r="O697" s="144"/>
      <c r="P697" s="144"/>
      <c r="Q697" s="144"/>
      <c r="R697" s="144"/>
      <c r="S697" s="144"/>
      <c r="T697" s="144"/>
      <c r="U697" s="144"/>
      <c r="V697" s="144"/>
      <c r="W697" s="144"/>
      <c r="X697" s="144"/>
      <c r="Y697" s="144"/>
      <c r="Z697" s="144"/>
    </row>
    <row r="698" spans="1:26" ht="18.75">
      <c r="A698" s="144"/>
      <c r="B698" s="141"/>
      <c r="C698" s="142"/>
      <c r="D698" s="143"/>
      <c r="E698" s="143"/>
      <c r="F698" s="144"/>
      <c r="G698" s="151"/>
      <c r="H698" s="151"/>
      <c r="I698" s="144"/>
      <c r="J698" s="144"/>
      <c r="K698" s="144"/>
      <c r="L698" s="144"/>
      <c r="M698" s="144"/>
      <c r="N698" s="144"/>
      <c r="O698" s="144"/>
      <c r="P698" s="144"/>
      <c r="Q698" s="144"/>
      <c r="R698" s="144"/>
      <c r="S698" s="144"/>
      <c r="T698" s="144"/>
      <c r="U698" s="144"/>
      <c r="V698" s="144"/>
      <c r="W698" s="144"/>
      <c r="X698" s="144"/>
      <c r="Y698" s="144"/>
      <c r="Z698" s="144"/>
    </row>
    <row r="699" spans="1:26" ht="18.75">
      <c r="A699" s="144"/>
      <c r="B699" s="141"/>
      <c r="C699" s="142"/>
      <c r="D699" s="143"/>
      <c r="E699" s="143"/>
      <c r="F699" s="144"/>
      <c r="G699" s="153"/>
      <c r="H699" s="153"/>
      <c r="I699" s="144"/>
      <c r="J699" s="144"/>
      <c r="K699" s="144"/>
      <c r="L699" s="144"/>
      <c r="M699" s="144"/>
      <c r="N699" s="144"/>
      <c r="O699" s="144"/>
      <c r="P699" s="144"/>
      <c r="Q699" s="144"/>
      <c r="R699" s="144"/>
      <c r="S699" s="144"/>
      <c r="T699" s="144"/>
      <c r="U699" s="144"/>
      <c r="V699" s="144"/>
      <c r="W699" s="144"/>
      <c r="X699" s="144"/>
      <c r="Y699" s="144"/>
      <c r="Z699" s="144"/>
    </row>
    <row r="700" spans="1:26" ht="18.75">
      <c r="A700" s="144"/>
      <c r="B700" s="141"/>
      <c r="C700" s="142"/>
      <c r="D700" s="143"/>
      <c r="E700" s="143"/>
      <c r="F700" s="144"/>
      <c r="G700" s="151"/>
      <c r="H700" s="151"/>
      <c r="I700" s="144"/>
      <c r="J700" s="144"/>
      <c r="K700" s="144"/>
      <c r="L700" s="144"/>
      <c r="M700" s="144"/>
      <c r="N700" s="144"/>
      <c r="O700" s="144"/>
      <c r="P700" s="144"/>
      <c r="Q700" s="144"/>
      <c r="R700" s="144"/>
      <c r="S700" s="144"/>
      <c r="T700" s="144"/>
      <c r="U700" s="144"/>
      <c r="V700" s="144"/>
      <c r="W700" s="144"/>
      <c r="X700" s="144"/>
      <c r="Y700" s="144"/>
      <c r="Z700" s="144"/>
    </row>
    <row r="701" spans="1:26" ht="18.75">
      <c r="A701" s="144"/>
      <c r="B701" s="141"/>
      <c r="C701" s="142"/>
      <c r="D701" s="143"/>
      <c r="E701" s="143"/>
      <c r="F701" s="144"/>
      <c r="G701" s="153"/>
      <c r="H701" s="153"/>
      <c r="I701" s="144"/>
      <c r="J701" s="144"/>
      <c r="K701" s="144"/>
      <c r="L701" s="144"/>
      <c r="M701" s="144"/>
      <c r="N701" s="144"/>
      <c r="O701" s="144"/>
      <c r="P701" s="144"/>
      <c r="Q701" s="144"/>
      <c r="R701" s="144"/>
      <c r="S701" s="144"/>
      <c r="T701" s="144"/>
      <c r="U701" s="144"/>
      <c r="V701" s="144"/>
      <c r="W701" s="144"/>
      <c r="X701" s="144"/>
      <c r="Y701" s="144"/>
      <c r="Z701" s="144"/>
    </row>
    <row r="702" spans="1:26" ht="18.75">
      <c r="A702" s="144"/>
      <c r="B702" s="141"/>
      <c r="C702" s="142"/>
      <c r="D702" s="143"/>
      <c r="E702" s="143"/>
      <c r="F702" s="144"/>
      <c r="G702" s="151"/>
      <c r="H702" s="151"/>
      <c r="I702" s="144"/>
      <c r="J702" s="144"/>
      <c r="K702" s="144"/>
      <c r="L702" s="144"/>
      <c r="M702" s="144"/>
      <c r="N702" s="144"/>
      <c r="O702" s="144"/>
      <c r="P702" s="144"/>
      <c r="Q702" s="144"/>
      <c r="R702" s="144"/>
      <c r="S702" s="144"/>
      <c r="T702" s="144"/>
      <c r="U702" s="144"/>
      <c r="V702" s="144"/>
      <c r="W702" s="144"/>
      <c r="X702" s="144"/>
      <c r="Y702" s="144"/>
      <c r="Z702" s="144"/>
    </row>
    <row r="703" spans="1:26" ht="18.75">
      <c r="A703" s="144"/>
      <c r="B703" s="141"/>
      <c r="C703" s="142"/>
      <c r="D703" s="143"/>
      <c r="E703" s="143"/>
      <c r="F703" s="144"/>
      <c r="G703" s="153"/>
      <c r="H703" s="153"/>
      <c r="I703" s="144"/>
      <c r="J703" s="144"/>
      <c r="K703" s="144"/>
      <c r="L703" s="144"/>
      <c r="M703" s="144"/>
      <c r="N703" s="144"/>
      <c r="O703" s="144"/>
      <c r="P703" s="144"/>
      <c r="Q703" s="144"/>
      <c r="R703" s="144"/>
      <c r="S703" s="144"/>
      <c r="T703" s="144"/>
      <c r="U703" s="144"/>
      <c r="V703" s="144"/>
      <c r="W703" s="144"/>
      <c r="X703" s="144"/>
      <c r="Y703" s="144"/>
      <c r="Z703" s="144"/>
    </row>
    <row r="704" spans="1:26" ht="18.75">
      <c r="A704" s="144"/>
      <c r="B704" s="141"/>
      <c r="C704" s="142"/>
      <c r="D704" s="143"/>
      <c r="E704" s="143"/>
      <c r="F704" s="144"/>
      <c r="G704" s="151"/>
      <c r="H704" s="151"/>
      <c r="I704" s="144"/>
      <c r="J704" s="144"/>
      <c r="K704" s="144"/>
      <c r="L704" s="144"/>
      <c r="M704" s="144"/>
      <c r="N704" s="144"/>
      <c r="O704" s="144"/>
      <c r="P704" s="144"/>
      <c r="Q704" s="144"/>
      <c r="R704" s="144"/>
      <c r="S704" s="144"/>
      <c r="T704" s="144"/>
      <c r="U704" s="144"/>
      <c r="V704" s="144"/>
      <c r="W704" s="144"/>
      <c r="X704" s="144"/>
      <c r="Y704" s="144"/>
      <c r="Z704" s="144"/>
    </row>
    <row r="705" spans="1:26" ht="18.75">
      <c r="A705" s="144"/>
      <c r="B705" s="141"/>
      <c r="C705" s="142"/>
      <c r="D705" s="143"/>
      <c r="E705" s="143"/>
      <c r="F705" s="144"/>
      <c r="G705" s="153"/>
      <c r="H705" s="153"/>
      <c r="I705" s="144"/>
      <c r="J705" s="144"/>
      <c r="K705" s="144"/>
      <c r="L705" s="144"/>
      <c r="M705" s="144"/>
      <c r="N705" s="144"/>
      <c r="O705" s="144"/>
      <c r="P705" s="144"/>
      <c r="Q705" s="144"/>
      <c r="R705" s="144"/>
      <c r="S705" s="144"/>
      <c r="T705" s="144"/>
      <c r="U705" s="144"/>
      <c r="V705" s="144"/>
      <c r="W705" s="144"/>
      <c r="X705" s="144"/>
      <c r="Y705" s="144"/>
      <c r="Z705" s="144"/>
    </row>
    <row r="706" spans="1:26" ht="18.75">
      <c r="A706" s="144"/>
      <c r="B706" s="141"/>
      <c r="C706" s="142"/>
      <c r="D706" s="143"/>
      <c r="E706" s="143"/>
      <c r="F706" s="144"/>
      <c r="G706" s="151"/>
      <c r="H706" s="151"/>
      <c r="I706" s="144"/>
      <c r="J706" s="144"/>
      <c r="K706" s="144"/>
      <c r="L706" s="144"/>
      <c r="M706" s="144"/>
      <c r="N706" s="144"/>
      <c r="O706" s="144"/>
      <c r="P706" s="144"/>
      <c r="Q706" s="144"/>
      <c r="R706" s="144"/>
      <c r="S706" s="144"/>
      <c r="T706" s="144"/>
      <c r="U706" s="144"/>
      <c r="V706" s="144"/>
      <c r="W706" s="144"/>
      <c r="X706" s="144"/>
      <c r="Y706" s="144"/>
      <c r="Z706" s="144"/>
    </row>
    <row r="707" spans="1:26" ht="18.75">
      <c r="A707" s="144"/>
      <c r="B707" s="141"/>
      <c r="C707" s="142"/>
      <c r="D707" s="143"/>
      <c r="E707" s="143"/>
      <c r="F707" s="144"/>
      <c r="G707" s="153"/>
      <c r="H707" s="153"/>
      <c r="I707" s="144"/>
      <c r="J707" s="144"/>
      <c r="K707" s="144"/>
      <c r="L707" s="144"/>
      <c r="M707" s="144"/>
      <c r="N707" s="144"/>
      <c r="O707" s="144"/>
      <c r="P707" s="144"/>
      <c r="Q707" s="144"/>
      <c r="R707" s="144"/>
      <c r="S707" s="144"/>
      <c r="T707" s="144"/>
      <c r="U707" s="144"/>
      <c r="V707" s="144"/>
      <c r="W707" s="144"/>
      <c r="X707" s="144"/>
      <c r="Y707" s="144"/>
      <c r="Z707" s="144"/>
    </row>
    <row r="708" spans="1:26" ht="18.75">
      <c r="A708" s="144"/>
      <c r="B708" s="141"/>
      <c r="C708" s="142"/>
      <c r="D708" s="143"/>
      <c r="E708" s="143"/>
      <c r="F708" s="144"/>
      <c r="G708" s="151"/>
      <c r="H708" s="151"/>
      <c r="I708" s="144"/>
      <c r="J708" s="144"/>
      <c r="K708" s="144"/>
      <c r="L708" s="144"/>
      <c r="M708" s="144"/>
      <c r="N708" s="144"/>
      <c r="O708" s="144"/>
      <c r="P708" s="144"/>
      <c r="Q708" s="144"/>
      <c r="R708" s="144"/>
      <c r="S708" s="144"/>
      <c r="T708" s="144"/>
      <c r="U708" s="144"/>
      <c r="V708" s="144"/>
      <c r="W708" s="144"/>
      <c r="X708" s="144"/>
      <c r="Y708" s="144"/>
      <c r="Z708" s="144"/>
    </row>
    <row r="709" spans="1:26" ht="18.75">
      <c r="A709" s="144"/>
      <c r="B709" s="141"/>
      <c r="C709" s="142"/>
      <c r="D709" s="143"/>
      <c r="E709" s="143"/>
      <c r="F709" s="144"/>
      <c r="G709" s="153"/>
      <c r="H709" s="153"/>
      <c r="I709" s="144"/>
      <c r="J709" s="144"/>
      <c r="K709" s="144"/>
      <c r="L709" s="144"/>
      <c r="M709" s="144"/>
      <c r="N709" s="144"/>
      <c r="O709" s="144"/>
      <c r="P709" s="144"/>
      <c r="Q709" s="144"/>
      <c r="R709" s="144"/>
      <c r="S709" s="144"/>
      <c r="T709" s="144"/>
      <c r="U709" s="144"/>
      <c r="V709" s="144"/>
      <c r="W709" s="144"/>
      <c r="X709" s="144"/>
      <c r="Y709" s="144"/>
      <c r="Z709" s="144"/>
    </row>
    <row r="710" spans="1:26" ht="18.75">
      <c r="A710" s="144"/>
      <c r="B710" s="141"/>
      <c r="C710" s="142"/>
      <c r="D710" s="143"/>
      <c r="E710" s="143"/>
      <c r="F710" s="144"/>
      <c r="G710" s="151"/>
      <c r="H710" s="151"/>
      <c r="I710" s="144"/>
      <c r="J710" s="144"/>
      <c r="K710" s="144"/>
      <c r="L710" s="144"/>
      <c r="M710" s="144"/>
      <c r="N710" s="144"/>
      <c r="O710" s="144"/>
      <c r="P710" s="144"/>
      <c r="Q710" s="144"/>
      <c r="R710" s="144"/>
      <c r="S710" s="144"/>
      <c r="T710" s="144"/>
      <c r="U710" s="144"/>
      <c r="V710" s="144"/>
      <c r="W710" s="144"/>
      <c r="X710" s="144"/>
      <c r="Y710" s="144"/>
      <c r="Z710" s="144"/>
    </row>
    <row r="711" spans="1:26" ht="18.75">
      <c r="A711" s="144"/>
      <c r="B711" s="141"/>
      <c r="C711" s="142"/>
      <c r="D711" s="143"/>
      <c r="E711" s="143"/>
      <c r="F711" s="144"/>
      <c r="G711" s="153"/>
      <c r="H711" s="153"/>
      <c r="I711" s="144"/>
      <c r="J711" s="144"/>
      <c r="K711" s="144"/>
      <c r="L711" s="144"/>
      <c r="M711" s="144"/>
      <c r="N711" s="144"/>
      <c r="O711" s="144"/>
      <c r="P711" s="144"/>
      <c r="Q711" s="144"/>
      <c r="R711" s="144"/>
      <c r="S711" s="144"/>
      <c r="T711" s="144"/>
      <c r="U711" s="144"/>
      <c r="V711" s="144"/>
      <c r="W711" s="144"/>
      <c r="X711" s="144"/>
      <c r="Y711" s="144"/>
      <c r="Z711" s="144"/>
    </row>
    <row r="712" spans="1:26" ht="18.75">
      <c r="A712" s="144"/>
      <c r="B712" s="141"/>
      <c r="C712" s="142"/>
      <c r="D712" s="143"/>
      <c r="E712" s="143"/>
      <c r="F712" s="144"/>
      <c r="G712" s="151"/>
      <c r="H712" s="151"/>
      <c r="I712" s="144"/>
      <c r="J712" s="144"/>
      <c r="K712" s="144"/>
      <c r="L712" s="144"/>
      <c r="M712" s="144"/>
      <c r="N712" s="144"/>
      <c r="O712" s="144"/>
      <c r="P712" s="144"/>
      <c r="Q712" s="144"/>
      <c r="R712" s="144"/>
      <c r="S712" s="144"/>
      <c r="T712" s="144"/>
      <c r="U712" s="144"/>
      <c r="V712" s="144"/>
      <c r="W712" s="144"/>
      <c r="X712" s="144"/>
      <c r="Y712" s="144"/>
      <c r="Z712" s="144"/>
    </row>
    <row r="713" spans="1:26" ht="18.75">
      <c r="A713" s="144"/>
      <c r="B713" s="141"/>
      <c r="C713" s="142"/>
      <c r="D713" s="143"/>
      <c r="E713" s="143"/>
      <c r="F713" s="144"/>
      <c r="G713" s="153"/>
      <c r="H713" s="153"/>
      <c r="I713" s="144"/>
      <c r="J713" s="144"/>
      <c r="K713" s="144"/>
      <c r="L713" s="144"/>
      <c r="M713" s="144"/>
      <c r="N713" s="144"/>
      <c r="O713" s="144"/>
      <c r="P713" s="144"/>
      <c r="Q713" s="144"/>
      <c r="R713" s="144"/>
      <c r="S713" s="144"/>
      <c r="T713" s="144"/>
      <c r="U713" s="144"/>
      <c r="V713" s="144"/>
      <c r="W713" s="144"/>
      <c r="X713" s="144"/>
      <c r="Y713" s="144"/>
      <c r="Z713" s="144"/>
    </row>
    <row r="714" spans="1:26" ht="18.75">
      <c r="A714" s="144"/>
      <c r="B714" s="141"/>
      <c r="C714" s="142"/>
      <c r="D714" s="143"/>
      <c r="E714" s="143"/>
      <c r="F714" s="144"/>
      <c r="G714" s="151"/>
      <c r="H714" s="151"/>
      <c r="I714" s="144"/>
      <c r="J714" s="144"/>
      <c r="K714" s="144"/>
      <c r="L714" s="144"/>
      <c r="M714" s="144"/>
      <c r="N714" s="144"/>
      <c r="O714" s="144"/>
      <c r="P714" s="144"/>
      <c r="Q714" s="144"/>
      <c r="R714" s="144"/>
      <c r="S714" s="144"/>
      <c r="T714" s="144"/>
      <c r="U714" s="144"/>
      <c r="V714" s="144"/>
      <c r="W714" s="144"/>
      <c r="X714" s="144"/>
      <c r="Y714" s="144"/>
      <c r="Z714" s="144"/>
    </row>
    <row r="715" spans="1:26" ht="18.75">
      <c r="A715" s="144"/>
      <c r="B715" s="141"/>
      <c r="C715" s="142"/>
      <c r="D715" s="143"/>
      <c r="E715" s="143"/>
      <c r="F715" s="144"/>
      <c r="G715" s="153"/>
      <c r="H715" s="153"/>
      <c r="I715" s="144"/>
      <c r="J715" s="144"/>
      <c r="K715" s="144"/>
      <c r="L715" s="144"/>
      <c r="M715" s="144"/>
      <c r="N715" s="144"/>
      <c r="O715" s="144"/>
      <c r="P715" s="144"/>
      <c r="Q715" s="144"/>
      <c r="R715" s="144"/>
      <c r="S715" s="144"/>
      <c r="T715" s="144"/>
      <c r="U715" s="144"/>
      <c r="V715" s="144"/>
      <c r="W715" s="144"/>
      <c r="X715" s="144"/>
      <c r="Y715" s="144"/>
      <c r="Z715" s="144"/>
    </row>
    <row r="716" spans="1:26" ht="18.75">
      <c r="A716" s="144"/>
      <c r="B716" s="141"/>
      <c r="C716" s="142"/>
      <c r="D716" s="143"/>
      <c r="E716" s="143"/>
      <c r="F716" s="144"/>
      <c r="G716" s="151"/>
      <c r="H716" s="151"/>
      <c r="I716" s="144"/>
      <c r="J716" s="144"/>
      <c r="K716" s="144"/>
      <c r="L716" s="144"/>
      <c r="M716" s="144"/>
      <c r="N716" s="144"/>
      <c r="O716" s="144"/>
      <c r="P716" s="144"/>
      <c r="Q716" s="144"/>
      <c r="R716" s="144"/>
      <c r="S716" s="144"/>
      <c r="T716" s="144"/>
      <c r="U716" s="144"/>
      <c r="V716" s="144"/>
      <c r="W716" s="144"/>
      <c r="X716" s="144"/>
      <c r="Y716" s="144"/>
      <c r="Z716" s="144"/>
    </row>
    <row r="717" spans="1:26" ht="18.75">
      <c r="A717" s="144"/>
      <c r="B717" s="141"/>
      <c r="C717" s="142"/>
      <c r="D717" s="143"/>
      <c r="E717" s="143"/>
      <c r="F717" s="144"/>
      <c r="G717" s="153"/>
      <c r="H717" s="153"/>
      <c r="I717" s="144"/>
      <c r="J717" s="144"/>
      <c r="K717" s="144"/>
      <c r="L717" s="144"/>
      <c r="M717" s="144"/>
      <c r="N717" s="144"/>
      <c r="O717" s="144"/>
      <c r="P717" s="144"/>
      <c r="Q717" s="144"/>
      <c r="R717" s="144"/>
      <c r="S717" s="144"/>
      <c r="T717" s="144"/>
      <c r="U717" s="144"/>
      <c r="V717" s="144"/>
      <c r="W717" s="144"/>
      <c r="X717" s="144"/>
      <c r="Y717" s="144"/>
      <c r="Z717" s="144"/>
    </row>
    <row r="718" spans="1:26" ht="18.75">
      <c r="A718" s="144"/>
      <c r="B718" s="141"/>
      <c r="C718" s="142"/>
      <c r="D718" s="143"/>
      <c r="E718" s="143"/>
      <c r="F718" s="144"/>
      <c r="G718" s="151"/>
      <c r="H718" s="151"/>
      <c r="I718" s="144"/>
      <c r="J718" s="144"/>
      <c r="K718" s="144"/>
      <c r="L718" s="144"/>
      <c r="M718" s="144"/>
      <c r="N718" s="144"/>
      <c r="O718" s="144"/>
      <c r="P718" s="144"/>
      <c r="Q718" s="144"/>
      <c r="R718" s="144"/>
      <c r="S718" s="144"/>
      <c r="T718" s="144"/>
      <c r="U718" s="144"/>
      <c r="V718" s="144"/>
      <c r="W718" s="144"/>
      <c r="X718" s="144"/>
      <c r="Y718" s="144"/>
      <c r="Z718" s="144"/>
    </row>
    <row r="719" spans="1:26" ht="18.75">
      <c r="A719" s="144"/>
      <c r="B719" s="141"/>
      <c r="C719" s="142"/>
      <c r="D719" s="143"/>
      <c r="E719" s="143"/>
      <c r="F719" s="144"/>
      <c r="G719" s="153"/>
      <c r="H719" s="153"/>
      <c r="I719" s="144"/>
      <c r="J719" s="144"/>
      <c r="K719" s="144"/>
      <c r="L719" s="144"/>
      <c r="M719" s="144"/>
      <c r="N719" s="144"/>
      <c r="O719" s="144"/>
      <c r="P719" s="144"/>
      <c r="Q719" s="144"/>
      <c r="R719" s="144"/>
      <c r="S719" s="144"/>
      <c r="T719" s="144"/>
      <c r="U719" s="144"/>
      <c r="V719" s="144"/>
      <c r="W719" s="144"/>
      <c r="X719" s="144"/>
      <c r="Y719" s="144"/>
      <c r="Z719" s="144"/>
    </row>
    <row r="720" spans="1:26" ht="18.75">
      <c r="A720" s="144"/>
      <c r="B720" s="141"/>
      <c r="C720" s="142"/>
      <c r="D720" s="143"/>
      <c r="E720" s="143"/>
      <c r="F720" s="144"/>
      <c r="G720" s="151"/>
      <c r="H720" s="151"/>
      <c r="I720" s="144"/>
      <c r="J720" s="144"/>
      <c r="K720" s="144"/>
      <c r="L720" s="144"/>
      <c r="M720" s="144"/>
      <c r="N720" s="144"/>
      <c r="O720" s="144"/>
      <c r="P720" s="144"/>
      <c r="Q720" s="144"/>
      <c r="R720" s="144"/>
      <c r="S720" s="144"/>
      <c r="T720" s="144"/>
      <c r="U720" s="144"/>
      <c r="V720" s="144"/>
      <c r="W720" s="144"/>
      <c r="X720" s="144"/>
      <c r="Y720" s="144"/>
      <c r="Z720" s="144"/>
    </row>
    <row r="721" spans="1:26" ht="18.75">
      <c r="A721" s="144"/>
      <c r="B721" s="141"/>
      <c r="C721" s="142"/>
      <c r="D721" s="143"/>
      <c r="E721" s="143"/>
      <c r="F721" s="144"/>
      <c r="G721" s="153"/>
      <c r="H721" s="153"/>
      <c r="I721" s="144"/>
      <c r="J721" s="144"/>
      <c r="K721" s="144"/>
      <c r="L721" s="144"/>
      <c r="M721" s="144"/>
      <c r="N721" s="144"/>
      <c r="O721" s="144"/>
      <c r="P721" s="144"/>
      <c r="Q721" s="144"/>
      <c r="R721" s="144"/>
      <c r="S721" s="144"/>
      <c r="T721" s="144"/>
      <c r="U721" s="144"/>
      <c r="V721" s="144"/>
      <c r="W721" s="144"/>
      <c r="X721" s="144"/>
      <c r="Y721" s="144"/>
      <c r="Z721" s="144"/>
    </row>
    <row r="722" spans="1:26" ht="18.75">
      <c r="A722" s="144"/>
      <c r="B722" s="141"/>
      <c r="C722" s="142"/>
      <c r="D722" s="143"/>
      <c r="E722" s="143"/>
      <c r="F722" s="144"/>
      <c r="G722" s="151"/>
      <c r="H722" s="151"/>
      <c r="I722" s="144"/>
      <c r="J722" s="144"/>
      <c r="K722" s="144"/>
      <c r="L722" s="144"/>
      <c r="M722" s="144"/>
      <c r="N722" s="144"/>
      <c r="O722" s="144"/>
      <c r="P722" s="144"/>
      <c r="Q722" s="144"/>
      <c r="R722" s="144"/>
      <c r="S722" s="144"/>
      <c r="T722" s="144"/>
      <c r="U722" s="144"/>
      <c r="V722" s="144"/>
      <c r="W722" s="144"/>
      <c r="X722" s="144"/>
      <c r="Y722" s="144"/>
      <c r="Z722" s="144"/>
    </row>
    <row r="723" spans="1:26" ht="18.75">
      <c r="A723" s="144"/>
      <c r="B723" s="141"/>
      <c r="C723" s="142"/>
      <c r="D723" s="143"/>
      <c r="E723" s="143"/>
      <c r="F723" s="144"/>
      <c r="G723" s="153"/>
      <c r="H723" s="153"/>
      <c r="I723" s="144"/>
      <c r="J723" s="144"/>
      <c r="K723" s="144"/>
      <c r="L723" s="144"/>
      <c r="M723" s="144"/>
      <c r="N723" s="144"/>
      <c r="O723" s="144"/>
      <c r="P723" s="144"/>
      <c r="Q723" s="144"/>
      <c r="R723" s="144"/>
      <c r="S723" s="144"/>
      <c r="T723" s="144"/>
      <c r="U723" s="144"/>
      <c r="V723" s="144"/>
      <c r="W723" s="144"/>
      <c r="X723" s="144"/>
      <c r="Y723" s="144"/>
      <c r="Z723" s="144"/>
    </row>
    <row r="724" spans="1:26" ht="18.75">
      <c r="A724" s="144"/>
      <c r="B724" s="141"/>
      <c r="C724" s="142"/>
      <c r="D724" s="143"/>
      <c r="E724" s="143"/>
      <c r="F724" s="144"/>
      <c r="G724" s="151"/>
      <c r="H724" s="151"/>
      <c r="I724" s="144"/>
      <c r="J724" s="144"/>
      <c r="K724" s="144"/>
      <c r="L724" s="144"/>
      <c r="M724" s="144"/>
      <c r="N724" s="144"/>
      <c r="O724" s="144"/>
      <c r="P724" s="144"/>
      <c r="Q724" s="144"/>
      <c r="R724" s="144"/>
      <c r="S724" s="144"/>
      <c r="T724" s="144"/>
      <c r="U724" s="144"/>
      <c r="V724" s="144"/>
      <c r="W724" s="144"/>
      <c r="X724" s="144"/>
      <c r="Y724" s="144"/>
      <c r="Z724" s="144"/>
    </row>
    <row r="725" spans="1:26" ht="18.75">
      <c r="A725" s="144"/>
      <c r="B725" s="141"/>
      <c r="C725" s="142"/>
      <c r="D725" s="143"/>
      <c r="E725" s="143"/>
      <c r="F725" s="144"/>
      <c r="G725" s="153"/>
      <c r="H725" s="153"/>
      <c r="I725" s="144"/>
      <c r="J725" s="144"/>
      <c r="K725" s="144"/>
      <c r="L725" s="144"/>
      <c r="M725" s="144"/>
      <c r="N725" s="144"/>
      <c r="O725" s="144"/>
      <c r="P725" s="144"/>
      <c r="Q725" s="144"/>
      <c r="R725" s="144"/>
      <c r="S725" s="144"/>
      <c r="T725" s="144"/>
      <c r="U725" s="144"/>
      <c r="V725" s="144"/>
      <c r="W725" s="144"/>
      <c r="X725" s="144"/>
      <c r="Y725" s="144"/>
      <c r="Z725" s="144"/>
    </row>
    <row r="726" spans="1:26" ht="18.75">
      <c r="A726" s="144"/>
      <c r="B726" s="141"/>
      <c r="C726" s="142"/>
      <c r="D726" s="143"/>
      <c r="E726" s="143"/>
      <c r="F726" s="144"/>
      <c r="G726" s="151"/>
      <c r="H726" s="151"/>
      <c r="I726" s="144"/>
      <c r="J726" s="144"/>
      <c r="K726" s="144"/>
      <c r="L726" s="144"/>
      <c r="M726" s="144"/>
      <c r="N726" s="144"/>
      <c r="O726" s="144"/>
      <c r="P726" s="144"/>
      <c r="Q726" s="144"/>
      <c r="R726" s="144"/>
      <c r="S726" s="144"/>
      <c r="T726" s="144"/>
      <c r="U726" s="144"/>
      <c r="V726" s="144"/>
      <c r="W726" s="144"/>
      <c r="X726" s="144"/>
      <c r="Y726" s="144"/>
      <c r="Z726" s="144"/>
    </row>
    <row r="727" spans="1:26" ht="18.75">
      <c r="A727" s="144"/>
      <c r="B727" s="141"/>
      <c r="C727" s="142"/>
      <c r="D727" s="143"/>
      <c r="E727" s="143"/>
      <c r="F727" s="144"/>
      <c r="G727" s="153"/>
      <c r="H727" s="153"/>
      <c r="I727" s="144"/>
      <c r="J727" s="144"/>
      <c r="K727" s="144"/>
      <c r="L727" s="144"/>
      <c r="M727" s="144"/>
      <c r="N727" s="144"/>
      <c r="O727" s="144"/>
      <c r="P727" s="144"/>
      <c r="Q727" s="144"/>
      <c r="R727" s="144"/>
      <c r="S727" s="144"/>
      <c r="T727" s="144"/>
      <c r="U727" s="144"/>
      <c r="V727" s="144"/>
      <c r="W727" s="144"/>
      <c r="X727" s="144"/>
      <c r="Y727" s="144"/>
      <c r="Z727" s="144"/>
    </row>
    <row r="728" spans="1:26" ht="18.75">
      <c r="A728" s="144"/>
      <c r="B728" s="141"/>
      <c r="C728" s="142"/>
      <c r="D728" s="143"/>
      <c r="E728" s="143"/>
      <c r="F728" s="144"/>
      <c r="G728" s="151"/>
      <c r="H728" s="151"/>
      <c r="I728" s="144"/>
      <c r="J728" s="144"/>
      <c r="K728" s="144"/>
      <c r="L728" s="144"/>
      <c r="M728" s="144"/>
      <c r="N728" s="144"/>
      <c r="O728" s="144"/>
      <c r="P728" s="144"/>
      <c r="Q728" s="144"/>
      <c r="R728" s="144"/>
      <c r="S728" s="144"/>
      <c r="T728" s="144"/>
      <c r="U728" s="144"/>
      <c r="V728" s="144"/>
      <c r="W728" s="144"/>
      <c r="X728" s="144"/>
      <c r="Y728" s="144"/>
      <c r="Z728" s="144"/>
    </row>
    <row r="729" spans="1:26" ht="18.75">
      <c r="A729" s="144"/>
      <c r="B729" s="141"/>
      <c r="C729" s="142"/>
      <c r="D729" s="143"/>
      <c r="E729" s="143"/>
      <c r="F729" s="144"/>
      <c r="G729" s="153"/>
      <c r="H729" s="153"/>
      <c r="I729" s="144"/>
      <c r="J729" s="144"/>
      <c r="K729" s="144"/>
      <c r="L729" s="144"/>
      <c r="M729" s="144"/>
      <c r="N729" s="144"/>
      <c r="O729" s="144"/>
      <c r="P729" s="144"/>
      <c r="Q729" s="144"/>
      <c r="R729" s="144"/>
      <c r="S729" s="144"/>
      <c r="T729" s="144"/>
      <c r="U729" s="144"/>
      <c r="V729" s="144"/>
      <c r="W729" s="144"/>
      <c r="X729" s="144"/>
      <c r="Y729" s="144"/>
      <c r="Z729" s="144"/>
    </row>
    <row r="730" spans="1:26" ht="18.75">
      <c r="A730" s="144"/>
      <c r="B730" s="141"/>
      <c r="C730" s="142"/>
      <c r="D730" s="143"/>
      <c r="E730" s="143"/>
      <c r="F730" s="144"/>
      <c r="G730" s="151"/>
      <c r="H730" s="151"/>
      <c r="I730" s="144"/>
      <c r="J730" s="144"/>
      <c r="K730" s="144"/>
      <c r="L730" s="144"/>
      <c r="M730" s="144"/>
      <c r="N730" s="144"/>
      <c r="O730" s="144"/>
      <c r="P730" s="144"/>
      <c r="Q730" s="144"/>
      <c r="R730" s="144"/>
      <c r="S730" s="144"/>
      <c r="T730" s="144"/>
      <c r="U730" s="144"/>
      <c r="V730" s="144"/>
      <c r="W730" s="144"/>
      <c r="X730" s="144"/>
      <c r="Y730" s="144"/>
      <c r="Z730" s="144"/>
    </row>
    <row r="731" spans="1:26" ht="18.75">
      <c r="A731" s="144"/>
      <c r="B731" s="141"/>
      <c r="C731" s="142"/>
      <c r="D731" s="143"/>
      <c r="E731" s="143"/>
      <c r="F731" s="144"/>
      <c r="G731" s="153"/>
      <c r="H731" s="153"/>
      <c r="I731" s="144"/>
      <c r="J731" s="144"/>
      <c r="K731" s="144"/>
      <c r="L731" s="144"/>
      <c r="M731" s="144"/>
      <c r="N731" s="144"/>
      <c r="O731" s="144"/>
      <c r="P731" s="144"/>
      <c r="Q731" s="144"/>
      <c r="R731" s="144"/>
      <c r="S731" s="144"/>
      <c r="T731" s="144"/>
      <c r="U731" s="144"/>
      <c r="V731" s="144"/>
      <c r="W731" s="144"/>
      <c r="X731" s="144"/>
      <c r="Y731" s="144"/>
      <c r="Z731" s="144"/>
    </row>
    <row r="732" spans="1:26" ht="18.75">
      <c r="A732" s="144"/>
      <c r="B732" s="141"/>
      <c r="C732" s="142"/>
      <c r="D732" s="143"/>
      <c r="E732" s="143"/>
      <c r="F732" s="144"/>
      <c r="G732" s="151"/>
      <c r="H732" s="151"/>
      <c r="I732" s="144"/>
      <c r="J732" s="144"/>
      <c r="K732" s="144"/>
      <c r="L732" s="144"/>
      <c r="M732" s="144"/>
      <c r="N732" s="144"/>
      <c r="O732" s="144"/>
      <c r="P732" s="144"/>
      <c r="Q732" s="144"/>
      <c r="R732" s="144"/>
      <c r="S732" s="144"/>
      <c r="T732" s="144"/>
      <c r="U732" s="144"/>
      <c r="V732" s="144"/>
      <c r="W732" s="144"/>
      <c r="X732" s="144"/>
      <c r="Y732" s="144"/>
      <c r="Z732" s="144"/>
    </row>
    <row r="733" spans="1:26" ht="18.75">
      <c r="A733" s="144"/>
      <c r="B733" s="141"/>
      <c r="C733" s="142"/>
      <c r="D733" s="143"/>
      <c r="E733" s="143"/>
      <c r="F733" s="144"/>
      <c r="G733" s="153"/>
      <c r="H733" s="153"/>
      <c r="I733" s="144"/>
      <c r="J733" s="144"/>
      <c r="K733" s="144"/>
      <c r="L733" s="144"/>
      <c r="M733" s="144"/>
      <c r="N733" s="144"/>
      <c r="O733" s="144"/>
      <c r="P733" s="144"/>
      <c r="Q733" s="144"/>
      <c r="R733" s="144"/>
      <c r="S733" s="144"/>
      <c r="T733" s="144"/>
      <c r="U733" s="144"/>
      <c r="V733" s="144"/>
      <c r="W733" s="144"/>
      <c r="X733" s="144"/>
      <c r="Y733" s="144"/>
      <c r="Z733" s="144"/>
    </row>
    <row r="734" spans="1:26" ht="18.75">
      <c r="A734" s="144"/>
      <c r="B734" s="141"/>
      <c r="C734" s="142"/>
      <c r="D734" s="143"/>
      <c r="E734" s="143"/>
      <c r="F734" s="144"/>
      <c r="G734" s="151"/>
      <c r="H734" s="151"/>
      <c r="I734" s="144"/>
      <c r="J734" s="144"/>
      <c r="K734" s="144"/>
      <c r="L734" s="144"/>
      <c r="M734" s="144"/>
      <c r="N734" s="144"/>
      <c r="O734" s="144"/>
      <c r="P734" s="144"/>
      <c r="Q734" s="144"/>
      <c r="R734" s="144"/>
      <c r="S734" s="144"/>
      <c r="T734" s="144"/>
      <c r="U734" s="144"/>
      <c r="V734" s="144"/>
      <c r="W734" s="144"/>
      <c r="X734" s="144"/>
      <c r="Y734" s="144"/>
      <c r="Z734" s="144"/>
    </row>
    <row r="735" spans="1:26" ht="18.75">
      <c r="A735" s="144"/>
      <c r="B735" s="141"/>
      <c r="C735" s="142"/>
      <c r="D735" s="143"/>
      <c r="E735" s="143"/>
      <c r="F735" s="144"/>
      <c r="G735" s="153"/>
      <c r="H735" s="153"/>
      <c r="I735" s="144"/>
      <c r="J735" s="144"/>
      <c r="K735" s="144"/>
      <c r="L735" s="144"/>
      <c r="M735" s="144"/>
      <c r="N735" s="144"/>
      <c r="O735" s="144"/>
      <c r="P735" s="144"/>
      <c r="Q735" s="144"/>
      <c r="R735" s="144"/>
      <c r="S735" s="144"/>
      <c r="T735" s="144"/>
      <c r="U735" s="144"/>
      <c r="V735" s="144"/>
      <c r="W735" s="144"/>
      <c r="X735" s="144"/>
      <c r="Y735" s="144"/>
      <c r="Z735" s="144"/>
    </row>
    <row r="736" spans="1:26" ht="18.75">
      <c r="A736" s="144"/>
      <c r="B736" s="141"/>
      <c r="C736" s="142"/>
      <c r="D736" s="143"/>
      <c r="E736" s="143"/>
      <c r="F736" s="144"/>
      <c r="G736" s="151"/>
      <c r="H736" s="151"/>
      <c r="I736" s="144"/>
      <c r="J736" s="144"/>
      <c r="K736" s="144"/>
      <c r="L736" s="144"/>
      <c r="M736" s="144"/>
      <c r="N736" s="144"/>
      <c r="O736" s="144"/>
      <c r="P736" s="144"/>
      <c r="Q736" s="144"/>
      <c r="R736" s="144"/>
      <c r="S736" s="144"/>
      <c r="T736" s="144"/>
      <c r="U736" s="144"/>
      <c r="V736" s="144"/>
      <c r="W736" s="144"/>
      <c r="X736" s="144"/>
      <c r="Y736" s="144"/>
      <c r="Z736" s="144"/>
    </row>
    <row r="737" spans="1:26" ht="18.75">
      <c r="A737" s="144"/>
      <c r="B737" s="141"/>
      <c r="C737" s="142"/>
      <c r="D737" s="143"/>
      <c r="E737" s="143"/>
      <c r="F737" s="144"/>
      <c r="G737" s="153"/>
      <c r="H737" s="153"/>
      <c r="I737" s="144"/>
      <c r="J737" s="144"/>
      <c r="K737" s="144"/>
      <c r="L737" s="144"/>
      <c r="M737" s="144"/>
      <c r="N737" s="144"/>
      <c r="O737" s="144"/>
      <c r="P737" s="144"/>
      <c r="Q737" s="144"/>
      <c r="R737" s="144"/>
      <c r="S737" s="144"/>
      <c r="T737" s="144"/>
      <c r="U737" s="144"/>
      <c r="V737" s="144"/>
      <c r="W737" s="144"/>
      <c r="X737" s="144"/>
      <c r="Y737" s="144"/>
      <c r="Z737" s="144"/>
    </row>
    <row r="738" spans="1:26" ht="18.75">
      <c r="A738" s="144"/>
      <c r="B738" s="141"/>
      <c r="C738" s="142"/>
      <c r="D738" s="143"/>
      <c r="E738" s="143"/>
      <c r="F738" s="144"/>
      <c r="G738" s="151"/>
      <c r="H738" s="151"/>
      <c r="I738" s="144"/>
      <c r="J738" s="144"/>
      <c r="K738" s="144"/>
      <c r="L738" s="144"/>
      <c r="M738" s="144"/>
      <c r="N738" s="144"/>
      <c r="O738" s="144"/>
      <c r="P738" s="144"/>
      <c r="Q738" s="144"/>
      <c r="R738" s="144"/>
      <c r="S738" s="144"/>
      <c r="T738" s="144"/>
      <c r="U738" s="144"/>
      <c r="V738" s="144"/>
      <c r="W738" s="144"/>
      <c r="X738" s="144"/>
      <c r="Y738" s="144"/>
      <c r="Z738" s="144"/>
    </row>
    <row r="739" spans="1:26" ht="18.75">
      <c r="A739" s="144"/>
      <c r="B739" s="141"/>
      <c r="C739" s="142"/>
      <c r="D739" s="143"/>
      <c r="E739" s="143"/>
      <c r="F739" s="144"/>
      <c r="G739" s="153"/>
      <c r="H739" s="153"/>
      <c r="I739" s="144"/>
      <c r="J739" s="144"/>
      <c r="K739" s="144"/>
      <c r="L739" s="144"/>
      <c r="M739" s="144"/>
      <c r="N739" s="144"/>
      <c r="O739" s="144"/>
      <c r="P739" s="144"/>
      <c r="Q739" s="144"/>
      <c r="R739" s="144"/>
      <c r="S739" s="144"/>
      <c r="T739" s="144"/>
      <c r="U739" s="144"/>
      <c r="V739" s="144"/>
      <c r="W739" s="144"/>
      <c r="X739" s="144"/>
      <c r="Y739" s="144"/>
      <c r="Z739" s="144"/>
    </row>
    <row r="740" spans="1:26" ht="18.75">
      <c r="A740" s="144"/>
      <c r="B740" s="141"/>
      <c r="C740" s="142"/>
      <c r="D740" s="143"/>
      <c r="E740" s="143"/>
      <c r="F740" s="144"/>
      <c r="G740" s="151"/>
      <c r="H740" s="151"/>
      <c r="I740" s="144"/>
      <c r="J740" s="144"/>
      <c r="K740" s="144"/>
      <c r="L740" s="144"/>
      <c r="M740" s="144"/>
      <c r="N740" s="144"/>
      <c r="O740" s="144"/>
      <c r="P740" s="144"/>
      <c r="Q740" s="144"/>
      <c r="R740" s="144"/>
      <c r="S740" s="144"/>
      <c r="T740" s="144"/>
      <c r="U740" s="144"/>
      <c r="V740" s="144"/>
      <c r="W740" s="144"/>
      <c r="X740" s="144"/>
      <c r="Y740" s="144"/>
      <c r="Z740" s="144"/>
    </row>
    <row r="741" spans="1:26" ht="18.75">
      <c r="A741" s="144"/>
      <c r="B741" s="141"/>
      <c r="C741" s="142"/>
      <c r="D741" s="143"/>
      <c r="E741" s="143"/>
      <c r="F741" s="144"/>
      <c r="G741" s="153"/>
      <c r="H741" s="153"/>
      <c r="I741" s="144"/>
      <c r="J741" s="144"/>
      <c r="K741" s="144"/>
      <c r="L741" s="144"/>
      <c r="M741" s="144"/>
      <c r="N741" s="144"/>
      <c r="O741" s="144"/>
      <c r="P741" s="144"/>
      <c r="Q741" s="144"/>
      <c r="R741" s="144"/>
      <c r="S741" s="144"/>
      <c r="T741" s="144"/>
      <c r="U741" s="144"/>
      <c r="V741" s="144"/>
      <c r="W741" s="144"/>
      <c r="X741" s="144"/>
      <c r="Y741" s="144"/>
      <c r="Z741" s="144"/>
    </row>
    <row r="742" spans="1:26" ht="18.75">
      <c r="A742" s="144"/>
      <c r="B742" s="141"/>
      <c r="C742" s="142"/>
      <c r="D742" s="143"/>
      <c r="E742" s="143"/>
      <c r="F742" s="144"/>
      <c r="G742" s="151"/>
      <c r="H742" s="151"/>
      <c r="I742" s="144"/>
      <c r="J742" s="144"/>
      <c r="K742" s="144"/>
      <c r="L742" s="144"/>
      <c r="M742" s="144"/>
      <c r="N742" s="144"/>
      <c r="O742" s="144"/>
      <c r="P742" s="144"/>
      <c r="Q742" s="144"/>
      <c r="R742" s="144"/>
      <c r="S742" s="144"/>
      <c r="T742" s="144"/>
      <c r="U742" s="144"/>
      <c r="V742" s="144"/>
      <c r="W742" s="144"/>
      <c r="X742" s="144"/>
      <c r="Y742" s="144"/>
      <c r="Z742" s="144"/>
    </row>
    <row r="743" spans="1:26" ht="18.75">
      <c r="A743" s="144"/>
      <c r="B743" s="141"/>
      <c r="C743" s="142"/>
      <c r="D743" s="143"/>
      <c r="E743" s="143"/>
      <c r="F743" s="144"/>
      <c r="G743" s="153"/>
      <c r="H743" s="153"/>
      <c r="I743" s="144"/>
      <c r="J743" s="144"/>
      <c r="K743" s="144"/>
      <c r="L743" s="144"/>
      <c r="M743" s="144"/>
      <c r="N743" s="144"/>
      <c r="O743" s="144"/>
      <c r="P743" s="144"/>
      <c r="Q743" s="144"/>
      <c r="R743" s="144"/>
      <c r="S743" s="144"/>
      <c r="T743" s="144"/>
      <c r="U743" s="144"/>
      <c r="V743" s="144"/>
      <c r="W743" s="144"/>
      <c r="X743" s="144"/>
      <c r="Y743" s="144"/>
      <c r="Z743" s="144"/>
    </row>
    <row r="744" spans="1:26" ht="18.75">
      <c r="A744" s="144"/>
      <c r="B744" s="141"/>
      <c r="C744" s="142"/>
      <c r="D744" s="143"/>
      <c r="E744" s="143"/>
      <c r="F744" s="144"/>
      <c r="G744" s="151"/>
      <c r="H744" s="151"/>
      <c r="I744" s="144"/>
      <c r="J744" s="144"/>
      <c r="K744" s="144"/>
      <c r="L744" s="144"/>
      <c r="M744" s="144"/>
      <c r="N744" s="144"/>
      <c r="O744" s="144"/>
      <c r="P744" s="144"/>
      <c r="Q744" s="144"/>
      <c r="R744" s="144"/>
      <c r="S744" s="144"/>
      <c r="T744" s="144"/>
      <c r="U744" s="144"/>
      <c r="V744" s="144"/>
      <c r="W744" s="144"/>
      <c r="X744" s="144"/>
      <c r="Y744" s="144"/>
      <c r="Z744" s="144"/>
    </row>
    <row r="745" spans="1:26" ht="18.75">
      <c r="A745" s="144"/>
      <c r="B745" s="141"/>
      <c r="C745" s="142"/>
      <c r="D745" s="143"/>
      <c r="E745" s="143"/>
      <c r="F745" s="144"/>
      <c r="G745" s="153"/>
      <c r="H745" s="153"/>
      <c r="I745" s="144"/>
      <c r="J745" s="144"/>
      <c r="K745" s="144"/>
      <c r="L745" s="144"/>
      <c r="M745" s="144"/>
      <c r="N745" s="144"/>
      <c r="O745" s="144"/>
      <c r="P745" s="144"/>
      <c r="Q745" s="144"/>
      <c r="R745" s="144"/>
      <c r="S745" s="144"/>
      <c r="T745" s="144"/>
      <c r="U745" s="144"/>
      <c r="V745" s="144"/>
      <c r="W745" s="144"/>
      <c r="X745" s="144"/>
      <c r="Y745" s="144"/>
      <c r="Z745" s="144"/>
    </row>
    <row r="746" spans="1:26" ht="18.75">
      <c r="A746" s="144"/>
      <c r="B746" s="141"/>
      <c r="C746" s="142"/>
      <c r="D746" s="143"/>
      <c r="E746" s="143"/>
      <c r="F746" s="144"/>
      <c r="G746" s="151"/>
      <c r="H746" s="151"/>
      <c r="I746" s="144"/>
      <c r="J746" s="144"/>
      <c r="K746" s="144"/>
      <c r="L746" s="144"/>
      <c r="M746" s="144"/>
      <c r="N746" s="144"/>
      <c r="O746" s="144"/>
      <c r="P746" s="144"/>
      <c r="Q746" s="144"/>
      <c r="R746" s="144"/>
      <c r="S746" s="144"/>
      <c r="T746" s="144"/>
      <c r="U746" s="144"/>
      <c r="V746" s="144"/>
      <c r="W746" s="144"/>
      <c r="X746" s="144"/>
      <c r="Y746" s="144"/>
      <c r="Z746" s="144"/>
    </row>
    <row r="747" spans="1:26" ht="18.75">
      <c r="A747" s="144"/>
      <c r="B747" s="141"/>
      <c r="C747" s="142"/>
      <c r="D747" s="143"/>
      <c r="E747" s="143"/>
      <c r="F747" s="144"/>
      <c r="G747" s="153"/>
      <c r="H747" s="153"/>
      <c r="I747" s="144"/>
      <c r="J747" s="144"/>
      <c r="K747" s="144"/>
      <c r="L747" s="144"/>
      <c r="M747" s="144"/>
      <c r="N747" s="144"/>
      <c r="O747" s="144"/>
      <c r="P747" s="144"/>
      <c r="Q747" s="144"/>
      <c r="R747" s="144"/>
      <c r="S747" s="144"/>
      <c r="T747" s="144"/>
      <c r="U747" s="144"/>
      <c r="V747" s="144"/>
      <c r="W747" s="144"/>
      <c r="X747" s="144"/>
      <c r="Y747" s="144"/>
      <c r="Z747" s="144"/>
    </row>
    <row r="748" spans="1:26" ht="18.75">
      <c r="A748" s="144"/>
      <c r="B748" s="141"/>
      <c r="C748" s="142"/>
      <c r="D748" s="143"/>
      <c r="E748" s="143"/>
      <c r="F748" s="144"/>
      <c r="G748" s="151"/>
      <c r="H748" s="151"/>
      <c r="I748" s="144"/>
      <c r="J748" s="144"/>
      <c r="K748" s="144"/>
      <c r="L748" s="144"/>
      <c r="M748" s="144"/>
      <c r="N748" s="144"/>
      <c r="O748" s="144"/>
      <c r="P748" s="144"/>
      <c r="Q748" s="144"/>
      <c r="R748" s="144"/>
      <c r="S748" s="144"/>
      <c r="T748" s="144"/>
      <c r="U748" s="144"/>
      <c r="V748" s="144"/>
      <c r="W748" s="144"/>
      <c r="X748" s="144"/>
      <c r="Y748" s="144"/>
      <c r="Z748" s="144"/>
    </row>
    <row r="749" spans="1:26" ht="18.75">
      <c r="A749" s="144"/>
      <c r="B749" s="141"/>
      <c r="C749" s="142"/>
      <c r="D749" s="143"/>
      <c r="E749" s="143"/>
      <c r="F749" s="144"/>
      <c r="G749" s="153"/>
      <c r="H749" s="153"/>
      <c r="I749" s="144"/>
      <c r="J749" s="144"/>
      <c r="K749" s="144"/>
      <c r="L749" s="144"/>
      <c r="M749" s="144"/>
      <c r="N749" s="144"/>
      <c r="O749" s="144"/>
      <c r="P749" s="144"/>
      <c r="Q749" s="144"/>
      <c r="R749" s="144"/>
      <c r="S749" s="144"/>
      <c r="T749" s="144"/>
      <c r="U749" s="144"/>
      <c r="V749" s="144"/>
      <c r="W749" s="144"/>
      <c r="X749" s="144"/>
      <c r="Y749" s="144"/>
      <c r="Z749" s="144"/>
    </row>
    <row r="750" spans="1:26" ht="18.75">
      <c r="A750" s="144"/>
      <c r="B750" s="141"/>
      <c r="C750" s="142"/>
      <c r="D750" s="143"/>
      <c r="E750" s="143"/>
      <c r="F750" s="144"/>
      <c r="G750" s="151"/>
      <c r="H750" s="151"/>
      <c r="I750" s="144"/>
      <c r="J750" s="144"/>
      <c r="K750" s="144"/>
      <c r="L750" s="144"/>
      <c r="M750" s="144"/>
      <c r="N750" s="144"/>
      <c r="O750" s="144"/>
      <c r="P750" s="144"/>
      <c r="Q750" s="144"/>
      <c r="R750" s="144"/>
      <c r="S750" s="144"/>
      <c r="T750" s="144"/>
      <c r="U750" s="144"/>
      <c r="V750" s="144"/>
      <c r="W750" s="144"/>
      <c r="X750" s="144"/>
      <c r="Y750" s="144"/>
      <c r="Z750" s="144"/>
    </row>
    <row r="751" spans="1:26" ht="18.75">
      <c r="A751" s="144"/>
      <c r="B751" s="141"/>
      <c r="C751" s="142"/>
      <c r="D751" s="143"/>
      <c r="E751" s="143"/>
      <c r="F751" s="144"/>
      <c r="G751" s="153"/>
      <c r="H751" s="153"/>
      <c r="I751" s="144"/>
      <c r="J751" s="144"/>
      <c r="K751" s="144"/>
      <c r="L751" s="144"/>
      <c r="M751" s="144"/>
      <c r="N751" s="144"/>
      <c r="O751" s="144"/>
      <c r="P751" s="144"/>
      <c r="Q751" s="144"/>
      <c r="R751" s="144"/>
      <c r="S751" s="144"/>
      <c r="T751" s="144"/>
      <c r="U751" s="144"/>
      <c r="V751" s="144"/>
      <c r="W751" s="144"/>
      <c r="X751" s="144"/>
      <c r="Y751" s="144"/>
      <c r="Z751" s="144"/>
    </row>
    <row r="752" spans="1:26" ht="18.75">
      <c r="A752" s="144"/>
      <c r="B752" s="141"/>
      <c r="C752" s="142"/>
      <c r="D752" s="143"/>
      <c r="E752" s="143"/>
      <c r="F752" s="144"/>
      <c r="G752" s="151"/>
      <c r="H752" s="151"/>
      <c r="I752" s="144"/>
      <c r="J752" s="144"/>
      <c r="K752" s="144"/>
      <c r="L752" s="144"/>
      <c r="M752" s="144"/>
      <c r="N752" s="144"/>
      <c r="O752" s="144"/>
      <c r="P752" s="144"/>
      <c r="Q752" s="144"/>
      <c r="R752" s="144"/>
      <c r="S752" s="144"/>
      <c r="T752" s="144"/>
      <c r="U752" s="144"/>
      <c r="V752" s="144"/>
      <c r="W752" s="144"/>
      <c r="X752" s="144"/>
      <c r="Y752" s="144"/>
      <c r="Z752" s="144"/>
    </row>
    <row r="753" spans="1:26" ht="18.75">
      <c r="A753" s="144"/>
      <c r="B753" s="141"/>
      <c r="C753" s="142"/>
      <c r="D753" s="143"/>
      <c r="E753" s="143"/>
      <c r="F753" s="144"/>
      <c r="G753" s="153"/>
      <c r="H753" s="153"/>
      <c r="I753" s="144"/>
      <c r="J753" s="144"/>
      <c r="K753" s="144"/>
      <c r="L753" s="144"/>
      <c r="M753" s="144"/>
      <c r="N753" s="144"/>
      <c r="O753" s="144"/>
      <c r="P753" s="144"/>
      <c r="Q753" s="144"/>
      <c r="R753" s="144"/>
      <c r="S753" s="144"/>
      <c r="T753" s="144"/>
      <c r="U753" s="144"/>
      <c r="V753" s="144"/>
      <c r="W753" s="144"/>
      <c r="X753" s="144"/>
      <c r="Y753" s="144"/>
      <c r="Z753" s="144"/>
    </row>
    <row r="754" spans="1:26" ht="18.75">
      <c r="A754" s="144"/>
      <c r="B754" s="141"/>
      <c r="C754" s="142"/>
      <c r="D754" s="143"/>
      <c r="E754" s="143"/>
      <c r="F754" s="144"/>
      <c r="G754" s="151"/>
      <c r="H754" s="151"/>
      <c r="I754" s="144"/>
      <c r="J754" s="144"/>
      <c r="K754" s="144"/>
      <c r="L754" s="144"/>
      <c r="M754" s="144"/>
      <c r="N754" s="144"/>
      <c r="O754" s="144"/>
      <c r="P754" s="144"/>
      <c r="Q754" s="144"/>
      <c r="R754" s="144"/>
      <c r="S754" s="144"/>
      <c r="T754" s="144"/>
      <c r="U754" s="144"/>
      <c r="V754" s="144"/>
      <c r="W754" s="144"/>
      <c r="X754" s="144"/>
      <c r="Y754" s="144"/>
      <c r="Z754" s="144"/>
    </row>
    <row r="755" spans="1:26" ht="18.75">
      <c r="A755" s="144"/>
      <c r="B755" s="141"/>
      <c r="C755" s="142"/>
      <c r="D755" s="143"/>
      <c r="E755" s="143"/>
      <c r="F755" s="144"/>
      <c r="G755" s="153"/>
      <c r="H755" s="153"/>
      <c r="I755" s="144"/>
      <c r="J755" s="144"/>
      <c r="K755" s="144"/>
      <c r="L755" s="144"/>
      <c r="M755" s="144"/>
      <c r="N755" s="144"/>
      <c r="O755" s="144"/>
      <c r="P755" s="144"/>
      <c r="Q755" s="144"/>
      <c r="R755" s="144"/>
      <c r="S755" s="144"/>
      <c r="T755" s="144"/>
      <c r="U755" s="144"/>
      <c r="V755" s="144"/>
      <c r="W755" s="144"/>
      <c r="X755" s="144"/>
      <c r="Y755" s="144"/>
      <c r="Z755" s="144"/>
    </row>
    <row r="756" spans="1:26" ht="18.75">
      <c r="A756" s="144"/>
      <c r="B756" s="141"/>
      <c r="C756" s="142"/>
      <c r="D756" s="143"/>
      <c r="E756" s="143"/>
      <c r="F756" s="144"/>
      <c r="G756" s="151"/>
      <c r="H756" s="151"/>
      <c r="I756" s="144"/>
      <c r="J756" s="144"/>
      <c r="K756" s="144"/>
      <c r="L756" s="144"/>
      <c r="M756" s="144"/>
      <c r="N756" s="144"/>
      <c r="O756" s="144"/>
      <c r="P756" s="144"/>
      <c r="Q756" s="144"/>
      <c r="R756" s="144"/>
      <c r="S756" s="144"/>
      <c r="T756" s="144"/>
      <c r="U756" s="144"/>
      <c r="V756" s="144"/>
      <c r="W756" s="144"/>
      <c r="X756" s="144"/>
      <c r="Y756" s="144"/>
      <c r="Z756" s="144"/>
    </row>
    <row r="757" spans="1:26" ht="18.75">
      <c r="A757" s="144"/>
      <c r="B757" s="141"/>
      <c r="C757" s="142"/>
      <c r="D757" s="143"/>
      <c r="E757" s="143"/>
      <c r="F757" s="144"/>
      <c r="G757" s="153"/>
      <c r="H757" s="153"/>
      <c r="I757" s="144"/>
      <c r="J757" s="144"/>
      <c r="K757" s="144"/>
      <c r="L757" s="144"/>
      <c r="M757" s="144"/>
      <c r="N757" s="144"/>
      <c r="O757" s="144"/>
      <c r="P757" s="144"/>
      <c r="Q757" s="144"/>
      <c r="R757" s="144"/>
      <c r="S757" s="144"/>
      <c r="T757" s="144"/>
      <c r="U757" s="144"/>
      <c r="V757" s="144"/>
      <c r="W757" s="144"/>
      <c r="X757" s="144"/>
      <c r="Y757" s="144"/>
      <c r="Z757" s="144"/>
    </row>
    <row r="758" spans="1:26" ht="18.75">
      <c r="A758" s="144"/>
      <c r="B758" s="141"/>
      <c r="C758" s="142"/>
      <c r="D758" s="143"/>
      <c r="E758" s="143"/>
      <c r="F758" s="144"/>
      <c r="G758" s="151"/>
      <c r="H758" s="151"/>
      <c r="I758" s="144"/>
      <c r="J758" s="144"/>
      <c r="K758" s="144"/>
      <c r="L758" s="144"/>
      <c r="M758" s="144"/>
      <c r="N758" s="144"/>
      <c r="O758" s="144"/>
      <c r="P758" s="144"/>
      <c r="Q758" s="144"/>
      <c r="R758" s="144"/>
      <c r="S758" s="144"/>
      <c r="T758" s="144"/>
      <c r="U758" s="144"/>
      <c r="V758" s="144"/>
      <c r="W758" s="144"/>
      <c r="X758" s="144"/>
      <c r="Y758" s="144"/>
      <c r="Z758" s="144"/>
    </row>
    <row r="759" spans="1:26" ht="18.75">
      <c r="A759" s="144"/>
      <c r="B759" s="141"/>
      <c r="C759" s="142"/>
      <c r="D759" s="143"/>
      <c r="E759" s="143"/>
      <c r="F759" s="144"/>
      <c r="G759" s="153"/>
      <c r="H759" s="153"/>
      <c r="I759" s="144"/>
      <c r="J759" s="144"/>
      <c r="K759" s="144"/>
      <c r="L759" s="144"/>
      <c r="M759" s="144"/>
      <c r="N759" s="144"/>
      <c r="O759" s="144"/>
      <c r="P759" s="144"/>
      <c r="Q759" s="144"/>
      <c r="R759" s="144"/>
      <c r="S759" s="144"/>
      <c r="T759" s="144"/>
      <c r="U759" s="144"/>
      <c r="V759" s="144"/>
      <c r="W759" s="144"/>
      <c r="X759" s="144"/>
      <c r="Y759" s="144"/>
      <c r="Z759" s="144"/>
    </row>
    <row r="760" spans="1:26" ht="18.75">
      <c r="A760" s="144"/>
      <c r="B760" s="141"/>
      <c r="C760" s="142"/>
      <c r="D760" s="143"/>
      <c r="E760" s="143"/>
      <c r="F760" s="144"/>
      <c r="G760" s="151"/>
      <c r="H760" s="151"/>
      <c r="I760" s="144"/>
      <c r="J760" s="144"/>
      <c r="K760" s="144"/>
      <c r="L760" s="144"/>
      <c r="M760" s="144"/>
      <c r="N760" s="144"/>
      <c r="O760" s="144"/>
      <c r="P760" s="144"/>
      <c r="Q760" s="144"/>
      <c r="R760" s="144"/>
      <c r="S760" s="144"/>
      <c r="T760" s="144"/>
      <c r="U760" s="144"/>
      <c r="V760" s="144"/>
      <c r="W760" s="144"/>
      <c r="X760" s="144"/>
      <c r="Y760" s="144"/>
      <c r="Z760" s="144"/>
    </row>
    <row r="761" spans="1:26" ht="18.75">
      <c r="A761" s="144"/>
      <c r="B761" s="141"/>
      <c r="C761" s="142"/>
      <c r="D761" s="143"/>
      <c r="E761" s="143"/>
      <c r="F761" s="144"/>
      <c r="G761" s="153"/>
      <c r="H761" s="153"/>
      <c r="I761" s="144"/>
      <c r="J761" s="144"/>
      <c r="K761" s="144"/>
      <c r="L761" s="144"/>
      <c r="M761" s="144"/>
      <c r="N761" s="144"/>
      <c r="O761" s="144"/>
      <c r="P761" s="144"/>
      <c r="Q761" s="144"/>
      <c r="R761" s="144"/>
      <c r="S761" s="144"/>
      <c r="T761" s="144"/>
      <c r="U761" s="144"/>
      <c r="V761" s="144"/>
      <c r="W761" s="144"/>
      <c r="X761" s="144"/>
      <c r="Y761" s="144"/>
      <c r="Z761" s="144"/>
    </row>
    <row r="762" spans="1:26" ht="18.75">
      <c r="A762" s="144"/>
      <c r="B762" s="141"/>
      <c r="C762" s="142"/>
      <c r="D762" s="143"/>
      <c r="E762" s="143"/>
      <c r="F762" s="144"/>
      <c r="G762" s="151"/>
      <c r="H762" s="151"/>
      <c r="I762" s="144"/>
      <c r="J762" s="144"/>
      <c r="K762" s="144"/>
      <c r="L762" s="144"/>
      <c r="M762" s="144"/>
      <c r="N762" s="144"/>
      <c r="O762" s="144"/>
      <c r="P762" s="144"/>
      <c r="Q762" s="144"/>
      <c r="R762" s="144"/>
      <c r="S762" s="144"/>
      <c r="T762" s="144"/>
      <c r="U762" s="144"/>
      <c r="V762" s="144"/>
      <c r="W762" s="144"/>
      <c r="X762" s="144"/>
      <c r="Y762" s="144"/>
      <c r="Z762" s="144"/>
    </row>
    <row r="763" spans="1:26" ht="18.75">
      <c r="A763" s="144"/>
      <c r="B763" s="141"/>
      <c r="C763" s="142"/>
      <c r="D763" s="143"/>
      <c r="E763" s="143"/>
      <c r="F763" s="144"/>
      <c r="G763" s="153"/>
      <c r="H763" s="153"/>
      <c r="I763" s="144"/>
      <c r="J763" s="144"/>
      <c r="K763" s="144"/>
      <c r="L763" s="144"/>
      <c r="M763" s="144"/>
      <c r="N763" s="144"/>
      <c r="O763" s="144"/>
      <c r="P763" s="144"/>
      <c r="Q763" s="144"/>
      <c r="R763" s="144"/>
      <c r="S763" s="144"/>
      <c r="T763" s="144"/>
      <c r="U763" s="144"/>
      <c r="V763" s="144"/>
      <c r="W763" s="144"/>
      <c r="X763" s="144"/>
      <c r="Y763" s="144"/>
      <c r="Z763" s="144"/>
    </row>
    <row r="764" spans="1:26" ht="18.75">
      <c r="A764" s="144"/>
      <c r="B764" s="141"/>
      <c r="C764" s="142"/>
      <c r="D764" s="143"/>
      <c r="E764" s="143"/>
      <c r="F764" s="144"/>
      <c r="G764" s="151"/>
      <c r="H764" s="151"/>
      <c r="I764" s="144"/>
      <c r="J764" s="144"/>
      <c r="K764" s="144"/>
      <c r="L764" s="144"/>
      <c r="M764" s="144"/>
      <c r="N764" s="144"/>
      <c r="O764" s="144"/>
      <c r="P764" s="144"/>
      <c r="Q764" s="144"/>
      <c r="R764" s="144"/>
      <c r="S764" s="144"/>
      <c r="T764" s="144"/>
      <c r="U764" s="144"/>
      <c r="V764" s="144"/>
      <c r="W764" s="144"/>
      <c r="X764" s="144"/>
      <c r="Y764" s="144"/>
      <c r="Z764" s="144"/>
    </row>
    <row r="765" spans="1:26" ht="18.75">
      <c r="A765" s="144"/>
      <c r="B765" s="141"/>
      <c r="C765" s="142"/>
      <c r="D765" s="143"/>
      <c r="E765" s="143"/>
      <c r="F765" s="144"/>
      <c r="G765" s="153"/>
      <c r="H765" s="153"/>
      <c r="I765" s="144"/>
      <c r="J765" s="144"/>
      <c r="K765" s="144"/>
      <c r="L765" s="144"/>
      <c r="M765" s="144"/>
      <c r="N765" s="144"/>
      <c r="O765" s="144"/>
      <c r="P765" s="144"/>
      <c r="Q765" s="144"/>
      <c r="R765" s="144"/>
      <c r="S765" s="144"/>
      <c r="T765" s="144"/>
      <c r="U765" s="144"/>
      <c r="V765" s="144"/>
      <c r="W765" s="144"/>
      <c r="X765" s="144"/>
      <c r="Y765" s="144"/>
      <c r="Z765" s="144"/>
    </row>
    <row r="766" spans="1:26" ht="18.75">
      <c r="A766" s="144"/>
      <c r="B766" s="141"/>
      <c r="C766" s="142"/>
      <c r="D766" s="143"/>
      <c r="E766" s="143"/>
      <c r="F766" s="144"/>
      <c r="G766" s="151"/>
      <c r="H766" s="151"/>
      <c r="I766" s="144"/>
      <c r="J766" s="144"/>
      <c r="K766" s="144"/>
      <c r="L766" s="144"/>
      <c r="M766" s="144"/>
      <c r="N766" s="144"/>
      <c r="O766" s="144"/>
      <c r="P766" s="144"/>
      <c r="Q766" s="144"/>
      <c r="R766" s="144"/>
      <c r="S766" s="144"/>
      <c r="T766" s="144"/>
      <c r="U766" s="144"/>
      <c r="V766" s="144"/>
      <c r="W766" s="144"/>
      <c r="X766" s="144"/>
      <c r="Y766" s="144"/>
      <c r="Z766" s="144"/>
    </row>
    <row r="767" spans="1:26" ht="18.75">
      <c r="A767" s="144"/>
      <c r="B767" s="141"/>
      <c r="C767" s="142"/>
      <c r="D767" s="143"/>
      <c r="E767" s="143"/>
      <c r="F767" s="144"/>
      <c r="G767" s="153"/>
      <c r="H767" s="153"/>
      <c r="I767" s="144"/>
      <c r="J767" s="144"/>
      <c r="K767" s="144"/>
      <c r="L767" s="144"/>
      <c r="M767" s="144"/>
      <c r="N767" s="144"/>
      <c r="O767" s="144"/>
      <c r="P767" s="144"/>
      <c r="Q767" s="144"/>
      <c r="R767" s="144"/>
      <c r="S767" s="144"/>
      <c r="T767" s="144"/>
      <c r="U767" s="144"/>
      <c r="V767" s="144"/>
      <c r="W767" s="144"/>
      <c r="X767" s="144"/>
      <c r="Y767" s="144"/>
      <c r="Z767" s="144"/>
    </row>
    <row r="768" spans="1:26" ht="18.75">
      <c r="A768" s="144"/>
      <c r="B768" s="141"/>
      <c r="C768" s="142"/>
      <c r="D768" s="143"/>
      <c r="E768" s="143"/>
      <c r="F768" s="144"/>
      <c r="G768" s="151"/>
      <c r="H768" s="151"/>
      <c r="I768" s="144"/>
      <c r="J768" s="144"/>
      <c r="K768" s="144"/>
      <c r="L768" s="144"/>
      <c r="M768" s="144"/>
      <c r="N768" s="144"/>
      <c r="O768" s="144"/>
      <c r="P768" s="144"/>
      <c r="Q768" s="144"/>
      <c r="R768" s="144"/>
      <c r="S768" s="144"/>
      <c r="T768" s="144"/>
      <c r="U768" s="144"/>
      <c r="V768" s="144"/>
      <c r="W768" s="144"/>
      <c r="X768" s="144"/>
      <c r="Y768" s="144"/>
      <c r="Z768" s="144"/>
    </row>
    <row r="769" spans="1:26" ht="18.75">
      <c r="A769" s="144"/>
      <c r="B769" s="141"/>
      <c r="C769" s="142"/>
      <c r="D769" s="143"/>
      <c r="E769" s="143"/>
      <c r="F769" s="144"/>
      <c r="G769" s="153"/>
      <c r="H769" s="153"/>
      <c r="I769" s="144"/>
      <c r="J769" s="144"/>
      <c r="K769" s="144"/>
      <c r="L769" s="144"/>
      <c r="M769" s="144"/>
      <c r="N769" s="144"/>
      <c r="O769" s="144"/>
      <c r="P769" s="144"/>
      <c r="Q769" s="144"/>
      <c r="R769" s="144"/>
      <c r="S769" s="144"/>
      <c r="T769" s="144"/>
      <c r="U769" s="144"/>
      <c r="V769" s="144"/>
      <c r="W769" s="144"/>
      <c r="X769" s="144"/>
      <c r="Y769" s="144"/>
      <c r="Z769" s="144"/>
    </row>
    <row r="770" spans="1:26" ht="18.75">
      <c r="A770" s="144"/>
      <c r="B770" s="141"/>
      <c r="C770" s="142"/>
      <c r="D770" s="143"/>
      <c r="E770" s="143"/>
      <c r="F770" s="144"/>
      <c r="G770" s="151"/>
      <c r="H770" s="151"/>
      <c r="I770" s="144"/>
      <c r="J770" s="144"/>
      <c r="K770" s="144"/>
      <c r="L770" s="144"/>
      <c r="M770" s="144"/>
      <c r="N770" s="144"/>
      <c r="O770" s="144"/>
      <c r="P770" s="144"/>
      <c r="Q770" s="144"/>
      <c r="R770" s="144"/>
      <c r="S770" s="144"/>
      <c r="T770" s="144"/>
      <c r="U770" s="144"/>
      <c r="V770" s="144"/>
      <c r="W770" s="144"/>
      <c r="X770" s="144"/>
      <c r="Y770" s="144"/>
      <c r="Z770" s="144"/>
    </row>
    <row r="771" spans="1:26" ht="18.75">
      <c r="A771" s="144"/>
      <c r="B771" s="141"/>
      <c r="C771" s="142"/>
      <c r="D771" s="143"/>
      <c r="E771" s="143"/>
      <c r="F771" s="144"/>
      <c r="G771" s="153"/>
      <c r="H771" s="153"/>
      <c r="I771" s="144"/>
      <c r="J771" s="144"/>
      <c r="K771" s="144"/>
      <c r="L771" s="144"/>
      <c r="M771" s="144"/>
      <c r="N771" s="144"/>
      <c r="O771" s="144"/>
      <c r="P771" s="144"/>
      <c r="Q771" s="144"/>
      <c r="R771" s="144"/>
      <c r="S771" s="144"/>
      <c r="T771" s="144"/>
      <c r="U771" s="144"/>
      <c r="V771" s="144"/>
      <c r="W771" s="144"/>
      <c r="X771" s="144"/>
      <c r="Y771" s="144"/>
      <c r="Z771" s="144"/>
    </row>
    <row r="772" spans="1:26" ht="18.75">
      <c r="A772" s="144"/>
      <c r="B772" s="141"/>
      <c r="C772" s="142"/>
      <c r="D772" s="143"/>
      <c r="E772" s="143"/>
      <c r="F772" s="144"/>
      <c r="G772" s="151"/>
      <c r="H772" s="151"/>
      <c r="I772" s="144"/>
      <c r="J772" s="144"/>
      <c r="K772" s="144"/>
      <c r="L772" s="144"/>
      <c r="M772" s="144"/>
      <c r="N772" s="144"/>
      <c r="O772" s="144"/>
      <c r="P772" s="144"/>
      <c r="Q772" s="144"/>
      <c r="R772" s="144"/>
      <c r="S772" s="144"/>
      <c r="T772" s="144"/>
      <c r="U772" s="144"/>
      <c r="V772" s="144"/>
      <c r="W772" s="144"/>
      <c r="X772" s="144"/>
      <c r="Y772" s="144"/>
      <c r="Z772" s="144"/>
    </row>
    <row r="773" spans="1:26" ht="18.75">
      <c r="A773" s="144"/>
      <c r="B773" s="141"/>
      <c r="C773" s="142"/>
      <c r="D773" s="143"/>
      <c r="E773" s="143"/>
      <c r="F773" s="144"/>
      <c r="G773" s="153"/>
      <c r="H773" s="153"/>
      <c r="I773" s="144"/>
      <c r="J773" s="144"/>
      <c r="K773" s="144"/>
      <c r="L773" s="144"/>
      <c r="M773" s="144"/>
      <c r="N773" s="144"/>
      <c r="O773" s="144"/>
      <c r="P773" s="144"/>
      <c r="Q773" s="144"/>
      <c r="R773" s="144"/>
      <c r="S773" s="144"/>
      <c r="T773" s="144"/>
      <c r="U773" s="144"/>
      <c r="V773" s="144"/>
      <c r="W773" s="144"/>
      <c r="X773" s="144"/>
      <c r="Y773" s="144"/>
      <c r="Z773" s="144"/>
    </row>
    <row r="774" spans="1:26" ht="18.75">
      <c r="A774" s="144"/>
      <c r="B774" s="141"/>
      <c r="C774" s="142"/>
      <c r="D774" s="143"/>
      <c r="E774" s="143"/>
      <c r="F774" s="144"/>
      <c r="G774" s="151"/>
      <c r="H774" s="151"/>
      <c r="I774" s="144"/>
      <c r="J774" s="144"/>
      <c r="K774" s="144"/>
      <c r="L774" s="144"/>
      <c r="M774" s="144"/>
      <c r="N774" s="144"/>
      <c r="O774" s="144"/>
      <c r="P774" s="144"/>
      <c r="Q774" s="144"/>
      <c r="R774" s="144"/>
      <c r="S774" s="144"/>
      <c r="T774" s="144"/>
      <c r="U774" s="144"/>
      <c r="V774" s="144"/>
      <c r="W774" s="144"/>
      <c r="X774" s="144"/>
      <c r="Y774" s="144"/>
      <c r="Z774" s="144"/>
    </row>
    <row r="775" spans="1:26" ht="18.75">
      <c r="A775" s="144"/>
      <c r="B775" s="141"/>
      <c r="C775" s="142"/>
      <c r="D775" s="143"/>
      <c r="E775" s="143"/>
      <c r="F775" s="144"/>
      <c r="G775" s="153"/>
      <c r="H775" s="153"/>
      <c r="I775" s="144"/>
      <c r="J775" s="144"/>
      <c r="K775" s="144"/>
      <c r="L775" s="144"/>
      <c r="M775" s="144"/>
      <c r="N775" s="144"/>
      <c r="O775" s="144"/>
      <c r="P775" s="144"/>
      <c r="Q775" s="144"/>
      <c r="R775" s="144"/>
      <c r="S775" s="144"/>
      <c r="T775" s="144"/>
      <c r="U775" s="144"/>
      <c r="V775" s="144"/>
      <c r="W775" s="144"/>
      <c r="X775" s="144"/>
      <c r="Y775" s="144"/>
      <c r="Z775" s="144"/>
    </row>
    <row r="776" spans="1:26" ht="18.75">
      <c r="A776" s="144"/>
      <c r="B776" s="141"/>
      <c r="C776" s="142"/>
      <c r="D776" s="143"/>
      <c r="E776" s="143"/>
      <c r="F776" s="144"/>
      <c r="G776" s="151"/>
      <c r="H776" s="151"/>
      <c r="I776" s="144"/>
      <c r="J776" s="144"/>
      <c r="K776" s="144"/>
      <c r="L776" s="144"/>
      <c r="M776" s="144"/>
      <c r="N776" s="144"/>
      <c r="O776" s="144"/>
      <c r="P776" s="144"/>
      <c r="Q776" s="144"/>
      <c r="R776" s="144"/>
      <c r="S776" s="144"/>
      <c r="T776" s="144"/>
      <c r="U776" s="144"/>
      <c r="V776" s="144"/>
      <c r="W776" s="144"/>
      <c r="X776" s="144"/>
      <c r="Y776" s="144"/>
      <c r="Z776" s="144"/>
    </row>
    <row r="777" spans="1:26" ht="18.75">
      <c r="A777" s="144"/>
      <c r="B777" s="141"/>
      <c r="C777" s="142"/>
      <c r="D777" s="143"/>
      <c r="E777" s="143"/>
      <c r="F777" s="144"/>
      <c r="G777" s="153"/>
      <c r="H777" s="153"/>
      <c r="I777" s="144"/>
      <c r="J777" s="144"/>
      <c r="K777" s="144"/>
      <c r="L777" s="144"/>
      <c r="M777" s="144"/>
      <c r="N777" s="144"/>
      <c r="O777" s="144"/>
      <c r="P777" s="144"/>
      <c r="Q777" s="144"/>
      <c r="R777" s="144"/>
      <c r="S777" s="144"/>
      <c r="T777" s="144"/>
      <c r="U777" s="144"/>
      <c r="V777" s="144"/>
      <c r="W777" s="144"/>
      <c r="X777" s="144"/>
      <c r="Y777" s="144"/>
      <c r="Z777" s="144"/>
    </row>
    <row r="778" spans="1:26" ht="18.75">
      <c r="A778" s="144"/>
      <c r="B778" s="141"/>
      <c r="C778" s="142"/>
      <c r="D778" s="143"/>
      <c r="E778" s="143"/>
      <c r="F778" s="144"/>
      <c r="G778" s="151"/>
      <c r="H778" s="151"/>
      <c r="I778" s="144"/>
      <c r="J778" s="144"/>
      <c r="K778" s="144"/>
      <c r="L778" s="144"/>
      <c r="M778" s="144"/>
      <c r="N778" s="144"/>
      <c r="O778" s="144"/>
      <c r="P778" s="144"/>
      <c r="Q778" s="144"/>
      <c r="R778" s="144"/>
      <c r="S778" s="144"/>
      <c r="T778" s="144"/>
      <c r="U778" s="144"/>
      <c r="V778" s="144"/>
      <c r="W778" s="144"/>
      <c r="X778" s="144"/>
      <c r="Y778" s="144"/>
      <c r="Z778" s="144"/>
    </row>
    <row r="779" spans="1:26" ht="18.75">
      <c r="A779" s="144"/>
      <c r="B779" s="141"/>
      <c r="C779" s="142"/>
      <c r="D779" s="143"/>
      <c r="E779" s="143"/>
      <c r="F779" s="144"/>
      <c r="G779" s="153"/>
      <c r="H779" s="153"/>
      <c r="I779" s="144"/>
      <c r="J779" s="144"/>
      <c r="K779" s="144"/>
      <c r="L779" s="144"/>
      <c r="M779" s="144"/>
      <c r="N779" s="144"/>
      <c r="O779" s="144"/>
      <c r="P779" s="144"/>
      <c r="Q779" s="144"/>
      <c r="R779" s="144"/>
      <c r="S779" s="144"/>
      <c r="T779" s="144"/>
      <c r="U779" s="144"/>
      <c r="V779" s="144"/>
      <c r="W779" s="144"/>
      <c r="X779" s="144"/>
      <c r="Y779" s="144"/>
      <c r="Z779" s="144"/>
    </row>
    <row r="780" spans="1:26" ht="18.75">
      <c r="A780" s="144"/>
      <c r="B780" s="141"/>
      <c r="C780" s="142"/>
      <c r="D780" s="143"/>
      <c r="E780" s="143"/>
      <c r="F780" s="144"/>
      <c r="G780" s="151"/>
      <c r="H780" s="151"/>
      <c r="I780" s="144"/>
      <c r="J780" s="144"/>
      <c r="K780" s="144"/>
      <c r="L780" s="144"/>
      <c r="M780" s="144"/>
      <c r="N780" s="144"/>
      <c r="O780" s="144"/>
      <c r="P780" s="144"/>
      <c r="Q780" s="144"/>
      <c r="R780" s="144"/>
      <c r="S780" s="144"/>
      <c r="T780" s="144"/>
      <c r="U780" s="144"/>
      <c r="V780" s="144"/>
      <c r="W780" s="144"/>
      <c r="X780" s="144"/>
      <c r="Y780" s="144"/>
      <c r="Z780" s="144"/>
    </row>
    <row r="781" spans="1:26" ht="18.75">
      <c r="A781" s="144"/>
      <c r="B781" s="141"/>
      <c r="C781" s="142"/>
      <c r="D781" s="143"/>
      <c r="E781" s="143"/>
      <c r="F781" s="144"/>
      <c r="G781" s="153"/>
      <c r="H781" s="153"/>
      <c r="I781" s="144"/>
      <c r="J781" s="144"/>
      <c r="K781" s="144"/>
      <c r="L781" s="144"/>
      <c r="M781" s="144"/>
      <c r="N781" s="144"/>
      <c r="O781" s="144"/>
      <c r="P781" s="144"/>
      <c r="Q781" s="144"/>
      <c r="R781" s="144"/>
      <c r="S781" s="144"/>
      <c r="T781" s="144"/>
      <c r="U781" s="144"/>
      <c r="V781" s="144"/>
      <c r="W781" s="144"/>
      <c r="X781" s="144"/>
      <c r="Y781" s="144"/>
      <c r="Z781" s="144"/>
    </row>
    <row r="782" spans="1:26" ht="18.75">
      <c r="A782" s="144"/>
      <c r="B782" s="141"/>
      <c r="C782" s="142"/>
      <c r="D782" s="143"/>
      <c r="E782" s="143"/>
      <c r="F782" s="144"/>
      <c r="G782" s="151"/>
      <c r="H782" s="151"/>
      <c r="I782" s="144"/>
      <c r="J782" s="144"/>
      <c r="K782" s="144"/>
      <c r="L782" s="144"/>
      <c r="M782" s="144"/>
      <c r="N782" s="144"/>
      <c r="O782" s="144"/>
      <c r="P782" s="144"/>
      <c r="Q782" s="144"/>
      <c r="R782" s="144"/>
      <c r="S782" s="144"/>
      <c r="T782" s="144"/>
      <c r="U782" s="144"/>
      <c r="V782" s="144"/>
      <c r="W782" s="144"/>
      <c r="X782" s="144"/>
      <c r="Y782" s="144"/>
      <c r="Z782" s="144"/>
    </row>
    <row r="783" spans="1:26" ht="18.75">
      <c r="A783" s="144"/>
      <c r="B783" s="141"/>
      <c r="C783" s="142"/>
      <c r="D783" s="143"/>
      <c r="E783" s="143"/>
      <c r="F783" s="144"/>
      <c r="G783" s="153"/>
      <c r="H783" s="153"/>
      <c r="I783" s="144"/>
      <c r="J783" s="144"/>
      <c r="K783" s="144"/>
      <c r="L783" s="144"/>
      <c r="M783" s="144"/>
      <c r="N783" s="144"/>
      <c r="O783" s="144"/>
      <c r="P783" s="144"/>
      <c r="Q783" s="144"/>
      <c r="R783" s="144"/>
      <c r="S783" s="144"/>
      <c r="T783" s="144"/>
      <c r="U783" s="144"/>
      <c r="V783" s="144"/>
      <c r="W783" s="144"/>
      <c r="X783" s="144"/>
      <c r="Y783" s="144"/>
      <c r="Z783" s="144"/>
    </row>
    <row r="784" spans="1:26" ht="18.75">
      <c r="A784" s="144"/>
      <c r="B784" s="141"/>
      <c r="C784" s="142"/>
      <c r="D784" s="143"/>
      <c r="E784" s="143"/>
      <c r="F784" s="144"/>
      <c r="G784" s="151"/>
      <c r="H784" s="151"/>
      <c r="I784" s="144"/>
      <c r="J784" s="144"/>
      <c r="K784" s="144"/>
      <c r="L784" s="144"/>
      <c r="M784" s="144"/>
      <c r="N784" s="144"/>
      <c r="O784" s="144"/>
      <c r="P784" s="144"/>
      <c r="Q784" s="144"/>
      <c r="R784" s="144"/>
      <c r="S784" s="144"/>
      <c r="T784" s="144"/>
      <c r="U784" s="144"/>
      <c r="V784" s="144"/>
      <c r="W784" s="144"/>
      <c r="X784" s="144"/>
      <c r="Y784" s="144"/>
      <c r="Z784" s="144"/>
    </row>
    <row r="785" spans="1:26" ht="18.75">
      <c r="A785" s="144"/>
      <c r="B785" s="141"/>
      <c r="C785" s="142"/>
      <c r="D785" s="143"/>
      <c r="E785" s="143"/>
      <c r="F785" s="144"/>
      <c r="G785" s="153"/>
      <c r="H785" s="153"/>
      <c r="I785" s="144"/>
      <c r="J785" s="144"/>
      <c r="K785" s="144"/>
      <c r="L785" s="144"/>
      <c r="M785" s="144"/>
      <c r="N785" s="144"/>
      <c r="O785" s="144"/>
      <c r="P785" s="144"/>
      <c r="Q785" s="144"/>
      <c r="R785" s="144"/>
      <c r="S785" s="144"/>
      <c r="T785" s="144"/>
      <c r="U785" s="144"/>
      <c r="V785" s="144"/>
      <c r="W785" s="144"/>
      <c r="X785" s="144"/>
      <c r="Y785" s="144"/>
      <c r="Z785" s="144"/>
    </row>
    <row r="786" spans="1:26" ht="18.75">
      <c r="A786" s="144"/>
      <c r="B786" s="141"/>
      <c r="C786" s="142"/>
      <c r="D786" s="143"/>
      <c r="E786" s="143"/>
      <c r="F786" s="144"/>
      <c r="G786" s="151"/>
      <c r="H786" s="151"/>
      <c r="I786" s="144"/>
      <c r="J786" s="144"/>
      <c r="K786" s="144"/>
      <c r="L786" s="144"/>
      <c r="M786" s="144"/>
      <c r="N786" s="144"/>
      <c r="O786" s="144"/>
      <c r="P786" s="144"/>
      <c r="Q786" s="144"/>
      <c r="R786" s="144"/>
      <c r="S786" s="144"/>
      <c r="T786" s="144"/>
      <c r="U786" s="144"/>
      <c r="V786" s="144"/>
      <c r="W786" s="144"/>
      <c r="X786" s="144"/>
      <c r="Y786" s="144"/>
      <c r="Z786" s="144"/>
    </row>
    <row r="787" spans="1:26" ht="18.75">
      <c r="A787" s="144"/>
      <c r="B787" s="141"/>
      <c r="C787" s="142"/>
      <c r="D787" s="143"/>
      <c r="E787" s="143"/>
      <c r="F787" s="144"/>
      <c r="G787" s="153"/>
      <c r="H787" s="153"/>
      <c r="I787" s="144"/>
      <c r="J787" s="144"/>
      <c r="K787" s="144"/>
      <c r="L787" s="144"/>
      <c r="M787" s="144"/>
      <c r="N787" s="144"/>
      <c r="O787" s="144"/>
      <c r="P787" s="144"/>
      <c r="Q787" s="144"/>
      <c r="R787" s="144"/>
      <c r="S787" s="144"/>
      <c r="T787" s="144"/>
      <c r="U787" s="144"/>
      <c r="V787" s="144"/>
      <c r="W787" s="144"/>
      <c r="X787" s="144"/>
      <c r="Y787" s="144"/>
      <c r="Z787" s="144"/>
    </row>
    <row r="788" spans="1:26" ht="18.75">
      <c r="A788" s="144"/>
      <c r="B788" s="141"/>
      <c r="C788" s="142"/>
      <c r="D788" s="143"/>
      <c r="E788" s="143"/>
      <c r="F788" s="144"/>
      <c r="G788" s="151"/>
      <c r="H788" s="151"/>
      <c r="I788" s="144"/>
      <c r="J788" s="144"/>
      <c r="K788" s="144"/>
      <c r="L788" s="144"/>
      <c r="M788" s="144"/>
      <c r="N788" s="144"/>
      <c r="O788" s="144"/>
      <c r="P788" s="144"/>
      <c r="Q788" s="144"/>
      <c r="R788" s="144"/>
      <c r="S788" s="144"/>
      <c r="T788" s="144"/>
      <c r="U788" s="144"/>
      <c r="V788" s="144"/>
      <c r="W788" s="144"/>
      <c r="X788" s="144"/>
      <c r="Y788" s="144"/>
      <c r="Z788" s="144"/>
    </row>
    <row r="789" spans="1:26" ht="18.75">
      <c r="A789" s="144"/>
      <c r="B789" s="141"/>
      <c r="C789" s="142"/>
      <c r="D789" s="143"/>
      <c r="E789" s="143"/>
      <c r="F789" s="144"/>
      <c r="G789" s="153"/>
      <c r="H789" s="153"/>
      <c r="I789" s="144"/>
      <c r="J789" s="144"/>
      <c r="K789" s="144"/>
      <c r="L789" s="144"/>
      <c r="M789" s="144"/>
      <c r="N789" s="144"/>
      <c r="O789" s="144"/>
      <c r="P789" s="144"/>
      <c r="Q789" s="144"/>
      <c r="R789" s="144"/>
      <c r="S789" s="144"/>
      <c r="T789" s="144"/>
      <c r="U789" s="144"/>
      <c r="V789" s="144"/>
      <c r="W789" s="144"/>
      <c r="X789" s="144"/>
      <c r="Y789" s="144"/>
      <c r="Z789" s="144"/>
    </row>
    <row r="790" spans="1:26" ht="18.75">
      <c r="A790" s="144"/>
      <c r="B790" s="141"/>
      <c r="C790" s="142"/>
      <c r="D790" s="143"/>
      <c r="E790" s="143"/>
      <c r="F790" s="144"/>
      <c r="G790" s="151"/>
      <c r="H790" s="151"/>
      <c r="I790" s="144"/>
      <c r="J790" s="144"/>
      <c r="K790" s="144"/>
      <c r="L790" s="144"/>
      <c r="M790" s="144"/>
      <c r="N790" s="144"/>
      <c r="O790" s="144"/>
      <c r="P790" s="144"/>
      <c r="Q790" s="144"/>
      <c r="R790" s="144"/>
      <c r="S790" s="144"/>
      <c r="T790" s="144"/>
      <c r="U790" s="144"/>
      <c r="V790" s="144"/>
      <c r="W790" s="144"/>
      <c r="X790" s="144"/>
      <c r="Y790" s="144"/>
      <c r="Z790" s="144"/>
    </row>
    <row r="791" spans="1:26" ht="18.75">
      <c r="A791" s="144"/>
      <c r="B791" s="141"/>
      <c r="C791" s="142"/>
      <c r="D791" s="143"/>
      <c r="E791" s="143"/>
      <c r="F791" s="144"/>
      <c r="G791" s="153"/>
      <c r="H791" s="153"/>
      <c r="I791" s="144"/>
      <c r="J791" s="144"/>
      <c r="K791" s="144"/>
      <c r="L791" s="144"/>
      <c r="M791" s="144"/>
      <c r="N791" s="144"/>
      <c r="O791" s="144"/>
      <c r="P791" s="144"/>
      <c r="Q791" s="144"/>
      <c r="R791" s="144"/>
      <c r="S791" s="144"/>
      <c r="T791" s="144"/>
      <c r="U791" s="144"/>
      <c r="V791" s="144"/>
      <c r="W791" s="144"/>
      <c r="X791" s="144"/>
      <c r="Y791" s="144"/>
      <c r="Z791" s="144"/>
    </row>
    <row r="792" spans="1:26" ht="18.75">
      <c r="A792" s="144"/>
      <c r="B792" s="141"/>
      <c r="C792" s="142"/>
      <c r="D792" s="143"/>
      <c r="E792" s="143"/>
      <c r="F792" s="144"/>
      <c r="G792" s="151"/>
      <c r="H792" s="151"/>
      <c r="I792" s="144"/>
      <c r="J792" s="144"/>
      <c r="K792" s="144"/>
      <c r="L792" s="144"/>
      <c r="M792" s="144"/>
      <c r="N792" s="144"/>
      <c r="O792" s="144"/>
      <c r="P792" s="144"/>
      <c r="Q792" s="144"/>
      <c r="R792" s="144"/>
      <c r="S792" s="144"/>
      <c r="T792" s="144"/>
      <c r="U792" s="144"/>
      <c r="V792" s="144"/>
      <c r="W792" s="144"/>
      <c r="X792" s="144"/>
      <c r="Y792" s="144"/>
      <c r="Z792" s="144"/>
    </row>
    <row r="793" spans="1:26" ht="18.75">
      <c r="A793" s="144"/>
      <c r="B793" s="141"/>
      <c r="C793" s="142"/>
      <c r="D793" s="143"/>
      <c r="E793" s="143"/>
      <c r="F793" s="144"/>
      <c r="G793" s="153"/>
      <c r="H793" s="153"/>
      <c r="I793" s="144"/>
      <c r="J793" s="144"/>
      <c r="K793" s="144"/>
      <c r="L793" s="144"/>
      <c r="M793" s="144"/>
      <c r="N793" s="144"/>
      <c r="O793" s="144"/>
      <c r="P793" s="144"/>
      <c r="Q793" s="144"/>
      <c r="R793" s="144"/>
      <c r="S793" s="144"/>
      <c r="T793" s="144"/>
      <c r="U793" s="144"/>
      <c r="V793" s="144"/>
      <c r="W793" s="144"/>
      <c r="X793" s="144"/>
      <c r="Y793" s="144"/>
      <c r="Z793" s="144"/>
    </row>
    <row r="794" spans="1:26" ht="18.75">
      <c r="A794" s="144"/>
      <c r="B794" s="141"/>
      <c r="C794" s="142"/>
      <c r="D794" s="143"/>
      <c r="E794" s="143"/>
      <c r="F794" s="144"/>
      <c r="G794" s="151"/>
      <c r="H794" s="151"/>
      <c r="I794" s="144"/>
      <c r="J794" s="144"/>
      <c r="K794" s="144"/>
      <c r="L794" s="144"/>
      <c r="M794" s="144"/>
      <c r="N794" s="144"/>
      <c r="O794" s="144"/>
      <c r="P794" s="144"/>
      <c r="Q794" s="144"/>
      <c r="R794" s="144"/>
      <c r="S794" s="144"/>
      <c r="T794" s="144"/>
      <c r="U794" s="144"/>
      <c r="V794" s="144"/>
      <c r="W794" s="144"/>
      <c r="X794" s="144"/>
      <c r="Y794" s="144"/>
      <c r="Z794" s="144"/>
    </row>
    <row r="795" spans="1:26" ht="18.75">
      <c r="A795" s="144"/>
      <c r="B795" s="141"/>
      <c r="C795" s="142"/>
      <c r="D795" s="143"/>
      <c r="E795" s="143"/>
      <c r="F795" s="144"/>
      <c r="G795" s="153"/>
      <c r="H795" s="153"/>
      <c r="I795" s="144"/>
      <c r="J795" s="144"/>
      <c r="K795" s="144"/>
      <c r="L795" s="144"/>
      <c r="M795" s="144"/>
      <c r="N795" s="144"/>
      <c r="O795" s="144"/>
      <c r="P795" s="144"/>
      <c r="Q795" s="144"/>
      <c r="R795" s="144"/>
      <c r="S795" s="144"/>
      <c r="T795" s="144"/>
      <c r="U795" s="144"/>
      <c r="V795" s="144"/>
      <c r="W795" s="144"/>
      <c r="X795" s="144"/>
      <c r="Y795" s="144"/>
      <c r="Z795" s="144"/>
    </row>
    <row r="796" spans="1:26" ht="18.75">
      <c r="A796" s="144"/>
      <c r="B796" s="141"/>
      <c r="C796" s="142"/>
      <c r="D796" s="143"/>
      <c r="E796" s="143"/>
      <c r="F796" s="144"/>
      <c r="G796" s="151"/>
      <c r="H796" s="151"/>
      <c r="I796" s="144"/>
      <c r="J796" s="144"/>
      <c r="K796" s="144"/>
      <c r="L796" s="144"/>
      <c r="M796" s="144"/>
      <c r="N796" s="144"/>
      <c r="O796" s="144"/>
      <c r="P796" s="144"/>
      <c r="Q796" s="144"/>
      <c r="R796" s="144"/>
      <c r="S796" s="144"/>
      <c r="T796" s="144"/>
      <c r="U796" s="144"/>
      <c r="V796" s="144"/>
      <c r="W796" s="144"/>
      <c r="X796" s="144"/>
      <c r="Y796" s="144"/>
      <c r="Z796" s="144"/>
    </row>
    <row r="797" spans="1:26" ht="18.75">
      <c r="A797" s="144"/>
      <c r="B797" s="141"/>
      <c r="C797" s="142"/>
      <c r="D797" s="143"/>
      <c r="E797" s="143"/>
      <c r="F797" s="144"/>
      <c r="G797" s="153"/>
      <c r="H797" s="153"/>
      <c r="I797" s="144"/>
      <c r="J797" s="144"/>
      <c r="K797" s="144"/>
      <c r="L797" s="144"/>
      <c r="M797" s="144"/>
      <c r="N797" s="144"/>
      <c r="O797" s="144"/>
      <c r="P797" s="144"/>
      <c r="Q797" s="144"/>
      <c r="R797" s="144"/>
      <c r="S797" s="144"/>
      <c r="T797" s="144"/>
      <c r="U797" s="144"/>
      <c r="V797" s="144"/>
      <c r="W797" s="144"/>
      <c r="X797" s="144"/>
      <c r="Y797" s="144"/>
      <c r="Z797" s="144"/>
    </row>
    <row r="798" spans="1:26" ht="18.75">
      <c r="A798" s="144"/>
      <c r="B798" s="141"/>
      <c r="C798" s="142"/>
      <c r="D798" s="143"/>
      <c r="E798" s="143"/>
      <c r="F798" s="144"/>
      <c r="G798" s="151"/>
      <c r="H798" s="151"/>
      <c r="I798" s="144"/>
      <c r="J798" s="144"/>
      <c r="K798" s="144"/>
      <c r="L798" s="144"/>
      <c r="M798" s="144"/>
      <c r="N798" s="144"/>
      <c r="O798" s="144"/>
      <c r="P798" s="144"/>
      <c r="Q798" s="144"/>
      <c r="R798" s="144"/>
      <c r="S798" s="144"/>
      <c r="T798" s="144"/>
      <c r="U798" s="144"/>
      <c r="V798" s="144"/>
      <c r="W798" s="144"/>
      <c r="X798" s="144"/>
      <c r="Y798" s="144"/>
      <c r="Z798" s="144"/>
    </row>
    <row r="799" spans="1:26" ht="18.75">
      <c r="A799" s="144"/>
      <c r="B799" s="141"/>
      <c r="C799" s="142"/>
      <c r="D799" s="143"/>
      <c r="E799" s="143"/>
      <c r="F799" s="144"/>
      <c r="G799" s="153"/>
      <c r="H799" s="153"/>
      <c r="I799" s="144"/>
      <c r="J799" s="144"/>
      <c r="K799" s="144"/>
      <c r="L799" s="144"/>
      <c r="M799" s="144"/>
      <c r="N799" s="144"/>
      <c r="O799" s="144"/>
      <c r="P799" s="144"/>
      <c r="Q799" s="144"/>
      <c r="R799" s="144"/>
      <c r="S799" s="144"/>
      <c r="T799" s="144"/>
      <c r="U799" s="144"/>
      <c r="V799" s="144"/>
      <c r="W799" s="144"/>
      <c r="X799" s="144"/>
      <c r="Y799" s="144"/>
      <c r="Z799" s="144"/>
    </row>
    <row r="800" spans="1:26" ht="18.75">
      <c r="A800" s="144"/>
      <c r="B800" s="141"/>
      <c r="C800" s="142"/>
      <c r="D800" s="143"/>
      <c r="E800" s="143"/>
      <c r="F800" s="144"/>
      <c r="G800" s="151"/>
      <c r="H800" s="151"/>
      <c r="I800" s="144"/>
      <c r="J800" s="144"/>
      <c r="K800" s="144"/>
      <c r="L800" s="144"/>
      <c r="M800" s="144"/>
      <c r="N800" s="144"/>
      <c r="O800" s="144"/>
      <c r="P800" s="144"/>
      <c r="Q800" s="144"/>
      <c r="R800" s="144"/>
      <c r="S800" s="144"/>
      <c r="T800" s="144"/>
      <c r="U800" s="144"/>
      <c r="V800" s="144"/>
      <c r="W800" s="144"/>
      <c r="X800" s="144"/>
      <c r="Y800" s="144"/>
      <c r="Z800" s="144"/>
    </row>
    <row r="801" spans="1:26" ht="18.75">
      <c r="A801" s="144"/>
      <c r="B801" s="141"/>
      <c r="C801" s="142"/>
      <c r="D801" s="143"/>
      <c r="E801" s="143"/>
      <c r="F801" s="144"/>
      <c r="G801" s="153"/>
      <c r="H801" s="153"/>
      <c r="I801" s="144"/>
      <c r="J801" s="144"/>
      <c r="K801" s="144"/>
      <c r="L801" s="144"/>
      <c r="M801" s="144"/>
      <c r="N801" s="144"/>
      <c r="O801" s="144"/>
      <c r="P801" s="144"/>
      <c r="Q801" s="144"/>
      <c r="R801" s="144"/>
      <c r="S801" s="144"/>
      <c r="T801" s="144"/>
      <c r="U801" s="144"/>
      <c r="V801" s="144"/>
      <c r="W801" s="144"/>
      <c r="X801" s="144"/>
      <c r="Y801" s="144"/>
      <c r="Z801" s="144"/>
    </row>
    <row r="802" spans="1:26" ht="18.75">
      <c r="A802" s="144"/>
      <c r="B802" s="141"/>
      <c r="C802" s="142"/>
      <c r="D802" s="143"/>
      <c r="E802" s="143"/>
      <c r="F802" s="144"/>
      <c r="G802" s="151"/>
      <c r="H802" s="151"/>
      <c r="I802" s="144"/>
      <c r="J802" s="144"/>
      <c r="K802" s="144"/>
      <c r="L802" s="144"/>
      <c r="M802" s="144"/>
      <c r="N802" s="144"/>
      <c r="O802" s="144"/>
      <c r="P802" s="144"/>
      <c r="Q802" s="144"/>
      <c r="R802" s="144"/>
      <c r="S802" s="144"/>
      <c r="T802" s="144"/>
      <c r="U802" s="144"/>
      <c r="V802" s="144"/>
      <c r="W802" s="144"/>
      <c r="X802" s="144"/>
      <c r="Y802" s="144"/>
      <c r="Z802" s="144"/>
    </row>
    <row r="803" spans="1:26" ht="18.75">
      <c r="A803" s="144"/>
      <c r="B803" s="141"/>
      <c r="C803" s="142"/>
      <c r="D803" s="143"/>
      <c r="E803" s="143"/>
      <c r="F803" s="144"/>
      <c r="G803" s="153"/>
      <c r="H803" s="153"/>
      <c r="I803" s="144"/>
      <c r="J803" s="144"/>
      <c r="K803" s="144"/>
      <c r="L803" s="144"/>
      <c r="M803" s="144"/>
      <c r="N803" s="144"/>
      <c r="O803" s="144"/>
      <c r="P803" s="144"/>
      <c r="Q803" s="144"/>
      <c r="R803" s="144"/>
      <c r="S803" s="144"/>
      <c r="T803" s="144"/>
      <c r="U803" s="144"/>
      <c r="V803" s="144"/>
      <c r="W803" s="144"/>
      <c r="X803" s="144"/>
      <c r="Y803" s="144"/>
      <c r="Z803" s="144"/>
    </row>
    <row r="804" spans="1:26" ht="18.75">
      <c r="A804" s="144"/>
      <c r="B804" s="141"/>
      <c r="C804" s="142"/>
      <c r="D804" s="143"/>
      <c r="E804" s="143"/>
      <c r="F804" s="144"/>
      <c r="G804" s="151"/>
      <c r="H804" s="151"/>
      <c r="I804" s="144"/>
      <c r="J804" s="144"/>
      <c r="K804" s="144"/>
      <c r="L804" s="144"/>
      <c r="M804" s="144"/>
      <c r="N804" s="144"/>
      <c r="O804" s="144"/>
      <c r="P804" s="144"/>
      <c r="Q804" s="144"/>
      <c r="R804" s="144"/>
      <c r="S804" s="144"/>
      <c r="T804" s="144"/>
      <c r="U804" s="144"/>
      <c r="V804" s="144"/>
      <c r="W804" s="144"/>
      <c r="X804" s="144"/>
      <c r="Y804" s="144"/>
      <c r="Z804" s="144"/>
    </row>
    <row r="805" spans="1:26" ht="18.75">
      <c r="A805" s="144"/>
      <c r="B805" s="141"/>
      <c r="C805" s="142"/>
      <c r="D805" s="143"/>
      <c r="E805" s="143"/>
      <c r="F805" s="144"/>
      <c r="G805" s="153"/>
      <c r="H805" s="153"/>
      <c r="I805" s="144"/>
      <c r="J805" s="144"/>
      <c r="K805" s="144"/>
      <c r="L805" s="144"/>
      <c r="M805" s="144"/>
      <c r="N805" s="144"/>
      <c r="O805" s="144"/>
      <c r="P805" s="144"/>
      <c r="Q805" s="144"/>
      <c r="R805" s="144"/>
      <c r="S805" s="144"/>
      <c r="T805" s="144"/>
      <c r="U805" s="144"/>
      <c r="V805" s="144"/>
      <c r="W805" s="144"/>
      <c r="X805" s="144"/>
      <c r="Y805" s="144"/>
      <c r="Z805" s="144"/>
    </row>
    <row r="806" spans="1:26" ht="18.75">
      <c r="A806" s="144"/>
      <c r="B806" s="141"/>
      <c r="C806" s="142"/>
      <c r="D806" s="143"/>
      <c r="E806" s="143"/>
      <c r="F806" s="144"/>
      <c r="G806" s="151"/>
      <c r="H806" s="151"/>
      <c r="I806" s="144"/>
      <c r="J806" s="144"/>
      <c r="K806" s="144"/>
      <c r="L806" s="144"/>
      <c r="M806" s="144"/>
      <c r="N806" s="144"/>
      <c r="O806" s="144"/>
      <c r="P806" s="144"/>
      <c r="Q806" s="144"/>
      <c r="R806" s="144"/>
      <c r="S806" s="144"/>
      <c r="T806" s="144"/>
      <c r="U806" s="144"/>
      <c r="V806" s="144"/>
      <c r="W806" s="144"/>
      <c r="X806" s="144"/>
      <c r="Y806" s="144"/>
      <c r="Z806" s="144"/>
    </row>
    <row r="807" spans="1:26" ht="18.75">
      <c r="A807" s="144"/>
      <c r="B807" s="141"/>
      <c r="C807" s="142"/>
      <c r="D807" s="143"/>
      <c r="E807" s="143"/>
      <c r="F807" s="144"/>
      <c r="G807" s="153"/>
      <c r="H807" s="153"/>
      <c r="I807" s="144"/>
      <c r="J807" s="144"/>
      <c r="K807" s="144"/>
      <c r="L807" s="144"/>
      <c r="M807" s="144"/>
      <c r="N807" s="144"/>
      <c r="O807" s="144"/>
      <c r="P807" s="144"/>
      <c r="Q807" s="144"/>
      <c r="R807" s="144"/>
      <c r="S807" s="144"/>
      <c r="T807" s="144"/>
      <c r="U807" s="144"/>
      <c r="V807" s="144"/>
      <c r="W807" s="144"/>
      <c r="X807" s="144"/>
      <c r="Y807" s="144"/>
      <c r="Z807" s="144"/>
    </row>
    <row r="808" spans="1:26" ht="18.75">
      <c r="A808" s="144"/>
      <c r="B808" s="141"/>
      <c r="C808" s="142"/>
      <c r="D808" s="143"/>
      <c r="E808" s="143"/>
      <c r="F808" s="144"/>
      <c r="G808" s="151"/>
      <c r="H808" s="151"/>
      <c r="I808" s="144"/>
      <c r="J808" s="144"/>
      <c r="K808" s="144"/>
      <c r="L808" s="144"/>
      <c r="M808" s="144"/>
      <c r="N808" s="144"/>
      <c r="O808" s="144"/>
      <c r="P808" s="144"/>
      <c r="Q808" s="144"/>
      <c r="R808" s="144"/>
      <c r="S808" s="144"/>
      <c r="T808" s="144"/>
      <c r="U808" s="144"/>
      <c r="V808" s="144"/>
      <c r="W808" s="144"/>
      <c r="X808" s="144"/>
      <c r="Y808" s="144"/>
      <c r="Z808" s="144"/>
    </row>
    <row r="809" spans="1:26" ht="18.75">
      <c r="A809" s="144"/>
      <c r="B809" s="141"/>
      <c r="C809" s="142"/>
      <c r="D809" s="143"/>
      <c r="E809" s="143"/>
      <c r="F809" s="144"/>
      <c r="G809" s="153"/>
      <c r="H809" s="153"/>
      <c r="I809" s="144"/>
      <c r="J809" s="144"/>
      <c r="K809" s="144"/>
      <c r="L809" s="144"/>
      <c r="M809" s="144"/>
      <c r="N809" s="144"/>
      <c r="O809" s="144"/>
      <c r="P809" s="144"/>
      <c r="Q809" s="144"/>
      <c r="R809" s="144"/>
      <c r="S809" s="144"/>
      <c r="T809" s="144"/>
      <c r="U809" s="144"/>
      <c r="V809" s="144"/>
      <c r="W809" s="144"/>
      <c r="X809" s="144"/>
      <c r="Y809" s="144"/>
      <c r="Z809" s="144"/>
    </row>
    <row r="810" spans="1:26" ht="18.75">
      <c r="A810" s="144"/>
      <c r="B810" s="141"/>
      <c r="C810" s="142"/>
      <c r="D810" s="143"/>
      <c r="E810" s="143"/>
      <c r="F810" s="144"/>
      <c r="G810" s="151"/>
      <c r="H810" s="151"/>
      <c r="I810" s="144"/>
      <c r="J810" s="144"/>
      <c r="K810" s="144"/>
      <c r="L810" s="144"/>
      <c r="M810" s="144"/>
      <c r="N810" s="144"/>
      <c r="O810" s="144"/>
      <c r="P810" s="144"/>
      <c r="Q810" s="144"/>
      <c r="R810" s="144"/>
      <c r="S810" s="144"/>
      <c r="T810" s="144"/>
      <c r="U810" s="144"/>
      <c r="V810" s="144"/>
      <c r="W810" s="144"/>
      <c r="X810" s="144"/>
      <c r="Y810" s="144"/>
      <c r="Z810" s="144"/>
    </row>
    <row r="811" spans="1:26" ht="18.75">
      <c r="A811" s="144"/>
      <c r="B811" s="141"/>
      <c r="C811" s="142"/>
      <c r="D811" s="143"/>
      <c r="E811" s="143"/>
      <c r="F811" s="144"/>
      <c r="G811" s="153"/>
      <c r="H811" s="153"/>
      <c r="I811" s="144"/>
      <c r="J811" s="144"/>
      <c r="K811" s="144"/>
      <c r="L811" s="144"/>
      <c r="M811" s="144"/>
      <c r="N811" s="144"/>
      <c r="O811" s="144"/>
      <c r="P811" s="144"/>
      <c r="Q811" s="144"/>
      <c r="R811" s="144"/>
      <c r="S811" s="144"/>
      <c r="T811" s="144"/>
      <c r="U811" s="144"/>
      <c r="V811" s="144"/>
      <c r="W811" s="144"/>
      <c r="X811" s="144"/>
      <c r="Y811" s="144"/>
      <c r="Z811" s="144"/>
    </row>
    <row r="812" spans="1:26" ht="18.75">
      <c r="A812" s="144"/>
      <c r="B812" s="141"/>
      <c r="C812" s="142"/>
      <c r="D812" s="143"/>
      <c r="E812" s="143"/>
      <c r="F812" s="144"/>
      <c r="G812" s="151"/>
      <c r="H812" s="151"/>
      <c r="I812" s="144"/>
      <c r="J812" s="144"/>
      <c r="K812" s="144"/>
      <c r="L812" s="144"/>
      <c r="M812" s="144"/>
      <c r="N812" s="144"/>
      <c r="O812" s="144"/>
      <c r="P812" s="144"/>
      <c r="Q812" s="144"/>
      <c r="R812" s="144"/>
      <c r="S812" s="144"/>
      <c r="T812" s="144"/>
      <c r="U812" s="144"/>
      <c r="V812" s="144"/>
      <c r="W812" s="144"/>
      <c r="X812" s="144"/>
      <c r="Y812" s="144"/>
      <c r="Z812" s="144"/>
    </row>
    <row r="813" spans="1:26" ht="18.75">
      <c r="A813" s="144"/>
      <c r="B813" s="141"/>
      <c r="C813" s="142"/>
      <c r="D813" s="143"/>
      <c r="E813" s="143"/>
      <c r="F813" s="144"/>
      <c r="G813" s="153"/>
      <c r="H813" s="153"/>
      <c r="I813" s="144"/>
      <c r="J813" s="144"/>
      <c r="K813" s="144"/>
      <c r="L813" s="144"/>
      <c r="M813" s="144"/>
      <c r="N813" s="144"/>
      <c r="O813" s="144"/>
      <c r="P813" s="144"/>
      <c r="Q813" s="144"/>
      <c r="R813" s="144"/>
      <c r="S813" s="144"/>
      <c r="T813" s="144"/>
      <c r="U813" s="144"/>
      <c r="V813" s="144"/>
      <c r="W813" s="144"/>
      <c r="X813" s="144"/>
      <c r="Y813" s="144"/>
      <c r="Z813" s="144"/>
    </row>
    <row r="814" spans="1:26" ht="18.75">
      <c r="A814" s="144"/>
      <c r="B814" s="141"/>
      <c r="C814" s="142"/>
      <c r="D814" s="143"/>
      <c r="E814" s="143"/>
      <c r="F814" s="144"/>
      <c r="G814" s="151"/>
      <c r="H814" s="151"/>
      <c r="I814" s="144"/>
      <c r="J814" s="144"/>
      <c r="K814" s="144"/>
      <c r="L814" s="144"/>
      <c r="M814" s="144"/>
      <c r="N814" s="144"/>
      <c r="O814" s="144"/>
      <c r="P814" s="144"/>
      <c r="Q814" s="144"/>
      <c r="R814" s="144"/>
      <c r="S814" s="144"/>
      <c r="T814" s="144"/>
      <c r="U814" s="144"/>
      <c r="V814" s="144"/>
      <c r="W814" s="144"/>
      <c r="X814" s="144"/>
      <c r="Y814" s="144"/>
      <c r="Z814" s="144"/>
    </row>
    <row r="815" spans="1:26" ht="18.75">
      <c r="A815" s="144"/>
      <c r="B815" s="141"/>
      <c r="C815" s="142"/>
      <c r="D815" s="143"/>
      <c r="E815" s="143"/>
      <c r="F815" s="144"/>
      <c r="G815" s="153"/>
      <c r="H815" s="153"/>
      <c r="I815" s="144"/>
      <c r="J815" s="144"/>
      <c r="K815" s="144"/>
      <c r="L815" s="144"/>
      <c r="M815" s="144"/>
      <c r="N815" s="144"/>
      <c r="O815" s="144"/>
      <c r="P815" s="144"/>
      <c r="Q815" s="144"/>
      <c r="R815" s="144"/>
      <c r="S815" s="144"/>
      <c r="T815" s="144"/>
      <c r="U815" s="144"/>
      <c r="V815" s="144"/>
      <c r="W815" s="144"/>
      <c r="X815" s="144"/>
      <c r="Y815" s="144"/>
      <c r="Z815" s="144"/>
    </row>
    <row r="816" spans="1:26" ht="18.75">
      <c r="A816" s="144"/>
      <c r="B816" s="141"/>
      <c r="C816" s="142"/>
      <c r="D816" s="143"/>
      <c r="E816" s="143"/>
      <c r="F816" s="144"/>
      <c r="G816" s="151"/>
      <c r="H816" s="151"/>
      <c r="I816" s="144"/>
      <c r="J816" s="144"/>
      <c r="K816" s="144"/>
      <c r="L816" s="144"/>
      <c r="M816" s="144"/>
      <c r="N816" s="144"/>
      <c r="O816" s="144"/>
      <c r="P816" s="144"/>
      <c r="Q816" s="144"/>
      <c r="R816" s="144"/>
      <c r="S816" s="144"/>
      <c r="T816" s="144"/>
      <c r="U816" s="144"/>
      <c r="V816" s="144"/>
      <c r="W816" s="144"/>
      <c r="X816" s="144"/>
      <c r="Y816" s="144"/>
      <c r="Z816" s="144"/>
    </row>
    <row r="817" spans="1:26" ht="18.75">
      <c r="A817" s="144"/>
      <c r="B817" s="141"/>
      <c r="C817" s="142"/>
      <c r="D817" s="143"/>
      <c r="E817" s="143"/>
      <c r="F817" s="144"/>
      <c r="G817" s="153"/>
      <c r="H817" s="153"/>
      <c r="I817" s="144"/>
      <c r="J817" s="144"/>
      <c r="K817" s="144"/>
      <c r="L817" s="144"/>
      <c r="M817" s="144"/>
      <c r="N817" s="144"/>
      <c r="O817" s="144"/>
      <c r="P817" s="144"/>
      <c r="Q817" s="144"/>
      <c r="R817" s="144"/>
      <c r="S817" s="144"/>
      <c r="T817" s="144"/>
      <c r="U817" s="144"/>
      <c r="V817" s="144"/>
      <c r="W817" s="144"/>
      <c r="X817" s="144"/>
      <c r="Y817" s="144"/>
      <c r="Z817" s="144"/>
    </row>
    <row r="818" spans="1:26" ht="18.75">
      <c r="A818" s="144"/>
      <c r="B818" s="141"/>
      <c r="C818" s="142"/>
      <c r="D818" s="143"/>
      <c r="E818" s="143"/>
      <c r="F818" s="144"/>
      <c r="G818" s="151"/>
      <c r="H818" s="151"/>
      <c r="I818" s="144"/>
      <c r="J818" s="144"/>
      <c r="K818" s="144"/>
      <c r="L818" s="144"/>
      <c r="M818" s="144"/>
      <c r="N818" s="144"/>
      <c r="O818" s="144"/>
      <c r="P818" s="144"/>
      <c r="Q818" s="144"/>
      <c r="R818" s="144"/>
      <c r="S818" s="144"/>
      <c r="T818" s="144"/>
      <c r="U818" s="144"/>
      <c r="V818" s="144"/>
      <c r="W818" s="144"/>
      <c r="X818" s="144"/>
      <c r="Y818" s="144"/>
      <c r="Z818" s="144"/>
    </row>
    <row r="819" spans="1:26" ht="18.75">
      <c r="A819" s="144"/>
      <c r="B819" s="141"/>
      <c r="C819" s="142"/>
      <c r="D819" s="143"/>
      <c r="E819" s="143"/>
      <c r="F819" s="144"/>
      <c r="G819" s="153"/>
      <c r="H819" s="153"/>
      <c r="I819" s="144"/>
      <c r="J819" s="144"/>
      <c r="K819" s="144"/>
      <c r="L819" s="144"/>
      <c r="M819" s="144"/>
      <c r="N819" s="144"/>
      <c r="O819" s="144"/>
      <c r="P819" s="144"/>
      <c r="Q819" s="144"/>
      <c r="R819" s="144"/>
      <c r="S819" s="144"/>
      <c r="T819" s="144"/>
      <c r="U819" s="144"/>
      <c r="V819" s="144"/>
      <c r="W819" s="144"/>
      <c r="X819" s="144"/>
      <c r="Y819" s="144"/>
      <c r="Z819" s="144"/>
    </row>
    <row r="820" spans="1:26" ht="18.75">
      <c r="A820" s="144"/>
      <c r="B820" s="141"/>
      <c r="C820" s="142"/>
      <c r="D820" s="143"/>
      <c r="E820" s="143"/>
      <c r="F820" s="144"/>
      <c r="G820" s="151"/>
      <c r="H820" s="151"/>
      <c r="I820" s="144"/>
      <c r="J820" s="144"/>
      <c r="K820" s="144"/>
      <c r="L820" s="144"/>
      <c r="M820" s="144"/>
      <c r="N820" s="144"/>
      <c r="O820" s="144"/>
      <c r="P820" s="144"/>
      <c r="Q820" s="144"/>
      <c r="R820" s="144"/>
      <c r="S820" s="144"/>
      <c r="T820" s="144"/>
      <c r="U820" s="144"/>
      <c r="V820" s="144"/>
      <c r="W820" s="144"/>
      <c r="X820" s="144"/>
      <c r="Y820" s="144"/>
      <c r="Z820" s="144"/>
    </row>
    <row r="821" spans="1:26" ht="18.75">
      <c r="A821" s="144"/>
      <c r="B821" s="141"/>
      <c r="C821" s="142"/>
      <c r="D821" s="143"/>
      <c r="E821" s="143"/>
      <c r="F821" s="144"/>
      <c r="G821" s="153"/>
      <c r="H821" s="153"/>
      <c r="I821" s="144"/>
      <c r="J821" s="144"/>
      <c r="K821" s="144"/>
      <c r="L821" s="144"/>
      <c r="M821" s="144"/>
      <c r="N821" s="144"/>
      <c r="O821" s="144"/>
      <c r="P821" s="144"/>
      <c r="Q821" s="144"/>
      <c r="R821" s="144"/>
      <c r="S821" s="144"/>
      <c r="T821" s="144"/>
      <c r="U821" s="144"/>
      <c r="V821" s="144"/>
      <c r="W821" s="144"/>
      <c r="X821" s="144"/>
      <c r="Y821" s="144"/>
      <c r="Z821" s="144"/>
    </row>
    <row r="822" spans="1:26" ht="18.75">
      <c r="A822" s="144"/>
      <c r="B822" s="141"/>
      <c r="C822" s="142"/>
      <c r="D822" s="143"/>
      <c r="E822" s="143"/>
      <c r="F822" s="144"/>
      <c r="G822" s="151"/>
      <c r="H822" s="151"/>
      <c r="I822" s="144"/>
      <c r="J822" s="144"/>
      <c r="K822" s="144"/>
      <c r="L822" s="144"/>
      <c r="M822" s="144"/>
      <c r="N822" s="144"/>
      <c r="O822" s="144"/>
      <c r="P822" s="144"/>
      <c r="Q822" s="144"/>
      <c r="R822" s="144"/>
      <c r="S822" s="144"/>
      <c r="T822" s="144"/>
      <c r="U822" s="144"/>
      <c r="V822" s="144"/>
      <c r="W822" s="144"/>
      <c r="X822" s="144"/>
      <c r="Y822" s="144"/>
      <c r="Z822" s="144"/>
    </row>
    <row r="823" spans="1:26" ht="18.75">
      <c r="A823" s="144"/>
      <c r="B823" s="141"/>
      <c r="C823" s="142"/>
      <c r="D823" s="143"/>
      <c r="E823" s="143"/>
      <c r="F823" s="144"/>
      <c r="G823" s="153"/>
      <c r="H823" s="153"/>
      <c r="I823" s="144"/>
      <c r="J823" s="144"/>
      <c r="K823" s="144"/>
      <c r="L823" s="144"/>
      <c r="M823" s="144"/>
      <c r="N823" s="144"/>
      <c r="O823" s="144"/>
      <c r="P823" s="144"/>
      <c r="Q823" s="144"/>
      <c r="R823" s="144"/>
      <c r="S823" s="144"/>
      <c r="T823" s="144"/>
      <c r="U823" s="144"/>
      <c r="V823" s="144"/>
      <c r="W823" s="144"/>
      <c r="X823" s="144"/>
      <c r="Y823" s="144"/>
      <c r="Z823" s="144"/>
    </row>
    <row r="824" spans="1:26" ht="18.75">
      <c r="A824" s="144"/>
      <c r="B824" s="141"/>
      <c r="C824" s="142"/>
      <c r="D824" s="143"/>
      <c r="E824" s="143"/>
      <c r="F824" s="144"/>
      <c r="G824" s="151"/>
      <c r="H824" s="151"/>
      <c r="I824" s="144"/>
      <c r="J824" s="144"/>
      <c r="K824" s="144"/>
      <c r="L824" s="144"/>
      <c r="M824" s="144"/>
      <c r="N824" s="144"/>
      <c r="O824" s="144"/>
      <c r="P824" s="144"/>
      <c r="Q824" s="144"/>
      <c r="R824" s="144"/>
      <c r="S824" s="144"/>
      <c r="T824" s="144"/>
      <c r="U824" s="144"/>
      <c r="V824" s="144"/>
      <c r="W824" s="144"/>
      <c r="X824" s="144"/>
      <c r="Y824" s="144"/>
      <c r="Z824" s="144"/>
    </row>
    <row r="825" spans="1:26" ht="18.75">
      <c r="A825" s="144"/>
      <c r="B825" s="141"/>
      <c r="C825" s="142"/>
      <c r="D825" s="143"/>
      <c r="E825" s="143"/>
      <c r="F825" s="144"/>
      <c r="G825" s="153"/>
      <c r="H825" s="153"/>
      <c r="I825" s="144"/>
      <c r="J825" s="144"/>
      <c r="K825" s="144"/>
      <c r="L825" s="144"/>
      <c r="M825" s="144"/>
      <c r="N825" s="144"/>
      <c r="O825" s="144"/>
      <c r="P825" s="144"/>
      <c r="Q825" s="144"/>
      <c r="R825" s="144"/>
      <c r="S825" s="144"/>
      <c r="T825" s="144"/>
      <c r="U825" s="144"/>
      <c r="V825" s="144"/>
      <c r="W825" s="144"/>
      <c r="X825" s="144"/>
      <c r="Y825" s="144"/>
      <c r="Z825" s="144"/>
    </row>
    <row r="826" spans="1:26" ht="18.75">
      <c r="A826" s="144"/>
      <c r="B826" s="141"/>
      <c r="C826" s="142"/>
      <c r="D826" s="143"/>
      <c r="E826" s="143"/>
      <c r="F826" s="144"/>
      <c r="G826" s="151"/>
      <c r="H826" s="151"/>
      <c r="I826" s="144"/>
      <c r="J826" s="144"/>
      <c r="K826" s="144"/>
      <c r="L826" s="144"/>
      <c r="M826" s="144"/>
      <c r="N826" s="144"/>
      <c r="O826" s="144"/>
      <c r="P826" s="144"/>
      <c r="Q826" s="144"/>
      <c r="R826" s="144"/>
      <c r="S826" s="144"/>
      <c r="T826" s="144"/>
      <c r="U826" s="144"/>
      <c r="V826" s="144"/>
      <c r="W826" s="144"/>
      <c r="X826" s="144"/>
      <c r="Y826" s="144"/>
      <c r="Z826" s="144"/>
    </row>
    <row r="827" spans="1:26" ht="18.75">
      <c r="A827" s="144"/>
      <c r="B827" s="141"/>
      <c r="C827" s="142"/>
      <c r="D827" s="143"/>
      <c r="E827" s="143"/>
      <c r="F827" s="144"/>
      <c r="G827" s="153"/>
      <c r="H827" s="153"/>
      <c r="I827" s="144"/>
      <c r="J827" s="144"/>
      <c r="K827" s="144"/>
      <c r="L827" s="144"/>
      <c r="M827" s="144"/>
      <c r="N827" s="144"/>
      <c r="O827" s="144"/>
      <c r="P827" s="144"/>
      <c r="Q827" s="144"/>
      <c r="R827" s="144"/>
      <c r="S827" s="144"/>
      <c r="T827" s="144"/>
      <c r="U827" s="144"/>
      <c r="V827" s="144"/>
      <c r="W827" s="144"/>
      <c r="X827" s="144"/>
      <c r="Y827" s="144"/>
      <c r="Z827" s="144"/>
    </row>
    <row r="828" spans="1:26" ht="18.75">
      <c r="A828" s="144"/>
      <c r="B828" s="141"/>
      <c r="C828" s="142"/>
      <c r="D828" s="143"/>
      <c r="E828" s="143"/>
      <c r="F828" s="144"/>
      <c r="G828" s="151"/>
      <c r="H828" s="151"/>
      <c r="I828" s="144"/>
      <c r="J828" s="144"/>
      <c r="K828" s="144"/>
      <c r="L828" s="144"/>
      <c r="M828" s="144"/>
      <c r="N828" s="144"/>
      <c r="O828" s="144"/>
      <c r="P828" s="144"/>
      <c r="Q828" s="144"/>
      <c r="R828" s="144"/>
      <c r="S828" s="144"/>
      <c r="T828" s="144"/>
      <c r="U828" s="144"/>
      <c r="V828" s="144"/>
      <c r="W828" s="144"/>
      <c r="X828" s="144"/>
      <c r="Y828" s="144"/>
      <c r="Z828" s="144"/>
    </row>
    <row r="829" spans="1:26" ht="18.75">
      <c r="A829" s="144"/>
      <c r="B829" s="141"/>
      <c r="C829" s="142"/>
      <c r="D829" s="143"/>
      <c r="E829" s="143"/>
      <c r="F829" s="144"/>
      <c r="G829" s="153"/>
      <c r="H829" s="153"/>
      <c r="I829" s="144"/>
      <c r="J829" s="144"/>
      <c r="K829" s="144"/>
      <c r="L829" s="144"/>
      <c r="M829" s="144"/>
      <c r="N829" s="144"/>
      <c r="O829" s="144"/>
      <c r="P829" s="144"/>
      <c r="Q829" s="144"/>
      <c r="R829" s="144"/>
      <c r="S829" s="144"/>
      <c r="T829" s="144"/>
      <c r="U829" s="144"/>
      <c r="V829" s="144"/>
      <c r="W829" s="144"/>
      <c r="X829" s="144"/>
      <c r="Y829" s="144"/>
      <c r="Z829" s="144"/>
    </row>
    <row r="830" spans="1:26" ht="18.75">
      <c r="A830" s="144"/>
      <c r="B830" s="141"/>
      <c r="C830" s="142"/>
      <c r="D830" s="143"/>
      <c r="E830" s="143"/>
      <c r="F830" s="144"/>
      <c r="G830" s="151"/>
      <c r="H830" s="151"/>
      <c r="I830" s="144"/>
      <c r="J830" s="144"/>
      <c r="K830" s="144"/>
      <c r="L830" s="144"/>
      <c r="M830" s="144"/>
      <c r="N830" s="144"/>
      <c r="O830" s="144"/>
      <c r="P830" s="144"/>
      <c r="Q830" s="144"/>
      <c r="R830" s="144"/>
      <c r="S830" s="144"/>
      <c r="T830" s="144"/>
      <c r="U830" s="144"/>
      <c r="V830" s="144"/>
      <c r="W830" s="144"/>
      <c r="X830" s="144"/>
      <c r="Y830" s="144"/>
      <c r="Z830" s="144"/>
    </row>
    <row r="831" spans="1:26" ht="18.75">
      <c r="A831" s="144"/>
      <c r="B831" s="141"/>
      <c r="C831" s="142"/>
      <c r="D831" s="143"/>
      <c r="E831" s="143"/>
      <c r="F831" s="144"/>
      <c r="G831" s="153"/>
      <c r="H831" s="153"/>
      <c r="I831" s="144"/>
      <c r="J831" s="144"/>
      <c r="K831" s="144"/>
      <c r="L831" s="144"/>
      <c r="M831" s="144"/>
      <c r="N831" s="144"/>
      <c r="O831" s="144"/>
      <c r="P831" s="144"/>
      <c r="Q831" s="144"/>
      <c r="R831" s="144"/>
      <c r="S831" s="144"/>
      <c r="T831" s="144"/>
      <c r="U831" s="144"/>
      <c r="V831" s="144"/>
      <c r="W831" s="144"/>
      <c r="X831" s="144"/>
      <c r="Y831" s="144"/>
      <c r="Z831" s="144"/>
    </row>
    <row r="832" spans="1:26" ht="18.75">
      <c r="A832" s="144"/>
      <c r="B832" s="141"/>
      <c r="C832" s="142"/>
      <c r="D832" s="143"/>
      <c r="E832" s="143"/>
      <c r="F832" s="144"/>
      <c r="G832" s="151"/>
      <c r="H832" s="151"/>
      <c r="I832" s="144"/>
      <c r="J832" s="144"/>
      <c r="K832" s="144"/>
      <c r="L832" s="144"/>
      <c r="M832" s="144"/>
      <c r="N832" s="144"/>
      <c r="O832" s="144"/>
      <c r="P832" s="144"/>
      <c r="Q832" s="144"/>
      <c r="R832" s="144"/>
      <c r="S832" s="144"/>
      <c r="T832" s="144"/>
      <c r="U832" s="144"/>
      <c r="V832" s="144"/>
      <c r="W832" s="144"/>
      <c r="X832" s="144"/>
      <c r="Y832" s="144"/>
      <c r="Z832" s="144"/>
    </row>
    <row r="833" spans="1:26" ht="18.75">
      <c r="A833" s="144"/>
      <c r="B833" s="141"/>
      <c r="C833" s="142"/>
      <c r="D833" s="143"/>
      <c r="E833" s="143"/>
      <c r="F833" s="144"/>
      <c r="G833" s="153"/>
      <c r="H833" s="153"/>
      <c r="I833" s="144"/>
      <c r="J833" s="144"/>
      <c r="K833" s="144"/>
      <c r="L833" s="144"/>
      <c r="M833" s="144"/>
      <c r="N833" s="144"/>
      <c r="O833" s="144"/>
      <c r="P833" s="144"/>
      <c r="Q833" s="144"/>
      <c r="R833" s="144"/>
      <c r="S833" s="144"/>
      <c r="T833" s="144"/>
      <c r="U833" s="144"/>
      <c r="V833" s="144"/>
      <c r="W833" s="144"/>
      <c r="X833" s="144"/>
      <c r="Y833" s="144"/>
      <c r="Z833" s="144"/>
    </row>
    <row r="834" spans="1:26" ht="18.75">
      <c r="A834" s="144"/>
      <c r="B834" s="141"/>
      <c r="C834" s="142"/>
      <c r="D834" s="143"/>
      <c r="E834" s="143"/>
      <c r="F834" s="144"/>
      <c r="G834" s="151"/>
      <c r="H834" s="151"/>
      <c r="I834" s="144"/>
      <c r="J834" s="144"/>
      <c r="K834" s="144"/>
      <c r="L834" s="144"/>
      <c r="M834" s="144"/>
      <c r="N834" s="144"/>
      <c r="O834" s="144"/>
      <c r="P834" s="144"/>
      <c r="Q834" s="144"/>
      <c r="R834" s="144"/>
      <c r="S834" s="144"/>
      <c r="T834" s="144"/>
      <c r="U834" s="144"/>
      <c r="V834" s="144"/>
      <c r="W834" s="144"/>
      <c r="X834" s="144"/>
      <c r="Y834" s="144"/>
      <c r="Z834" s="144"/>
    </row>
    <row r="835" spans="1:26" ht="18.75">
      <c r="A835" s="144"/>
      <c r="B835" s="141"/>
      <c r="C835" s="142"/>
      <c r="D835" s="143"/>
      <c r="E835" s="143"/>
      <c r="F835" s="144"/>
      <c r="G835" s="153"/>
      <c r="H835" s="153"/>
      <c r="I835" s="144"/>
      <c r="J835" s="144"/>
      <c r="K835" s="144"/>
      <c r="L835" s="144"/>
      <c r="M835" s="144"/>
      <c r="N835" s="144"/>
      <c r="O835" s="144"/>
      <c r="P835" s="144"/>
      <c r="Q835" s="144"/>
      <c r="R835" s="144"/>
      <c r="S835" s="144"/>
      <c r="T835" s="144"/>
      <c r="U835" s="144"/>
      <c r="V835" s="144"/>
      <c r="W835" s="144"/>
      <c r="X835" s="144"/>
      <c r="Y835" s="144"/>
      <c r="Z835" s="144"/>
    </row>
    <row r="836" spans="1:26" ht="18.75">
      <c r="A836" s="144"/>
      <c r="B836" s="141"/>
      <c r="C836" s="142"/>
      <c r="D836" s="143"/>
      <c r="E836" s="143"/>
      <c r="F836" s="144"/>
      <c r="G836" s="151"/>
      <c r="H836" s="151"/>
      <c r="I836" s="144"/>
      <c r="J836" s="144"/>
      <c r="K836" s="144"/>
      <c r="L836" s="144"/>
      <c r="M836" s="144"/>
      <c r="N836" s="144"/>
      <c r="O836" s="144"/>
      <c r="P836" s="144"/>
      <c r="Q836" s="144"/>
      <c r="R836" s="144"/>
      <c r="S836" s="144"/>
      <c r="T836" s="144"/>
      <c r="U836" s="144"/>
      <c r="V836" s="144"/>
      <c r="W836" s="144"/>
      <c r="X836" s="144"/>
      <c r="Y836" s="144"/>
      <c r="Z836" s="144"/>
    </row>
    <row r="837" spans="1:26" ht="18.75">
      <c r="A837" s="144"/>
      <c r="B837" s="141"/>
      <c r="C837" s="142"/>
      <c r="D837" s="143"/>
      <c r="E837" s="143"/>
      <c r="F837" s="144"/>
      <c r="G837" s="153"/>
      <c r="H837" s="153"/>
      <c r="I837" s="144"/>
      <c r="J837" s="144"/>
      <c r="K837" s="144"/>
      <c r="L837" s="144"/>
      <c r="M837" s="144"/>
      <c r="N837" s="144"/>
      <c r="O837" s="144"/>
      <c r="P837" s="144"/>
      <c r="Q837" s="144"/>
      <c r="R837" s="144"/>
      <c r="S837" s="144"/>
      <c r="T837" s="144"/>
      <c r="U837" s="144"/>
      <c r="V837" s="144"/>
      <c r="W837" s="144"/>
      <c r="X837" s="144"/>
      <c r="Y837" s="144"/>
      <c r="Z837" s="144"/>
    </row>
    <row r="838" spans="1:26" ht="18.75">
      <c r="A838" s="144"/>
      <c r="B838" s="141"/>
      <c r="C838" s="142"/>
      <c r="D838" s="143"/>
      <c r="E838" s="143"/>
      <c r="F838" s="144"/>
      <c r="G838" s="151"/>
      <c r="H838" s="151"/>
      <c r="I838" s="144"/>
      <c r="J838" s="144"/>
      <c r="K838" s="144"/>
      <c r="L838" s="144"/>
      <c r="M838" s="144"/>
      <c r="N838" s="144"/>
      <c r="O838" s="144"/>
      <c r="P838" s="144"/>
      <c r="Q838" s="144"/>
      <c r="R838" s="144"/>
      <c r="S838" s="144"/>
      <c r="T838" s="144"/>
      <c r="U838" s="144"/>
      <c r="V838" s="144"/>
      <c r="W838" s="144"/>
      <c r="X838" s="144"/>
      <c r="Y838" s="144"/>
      <c r="Z838" s="144"/>
    </row>
    <row r="839" spans="1:26" ht="18.75">
      <c r="A839" s="144"/>
      <c r="B839" s="141"/>
      <c r="C839" s="142"/>
      <c r="D839" s="143"/>
      <c r="E839" s="143"/>
      <c r="F839" s="144"/>
      <c r="G839" s="153"/>
      <c r="H839" s="153"/>
      <c r="I839" s="144"/>
      <c r="J839" s="144"/>
      <c r="K839" s="144"/>
      <c r="L839" s="144"/>
      <c r="M839" s="144"/>
      <c r="N839" s="144"/>
      <c r="O839" s="144"/>
      <c r="P839" s="144"/>
      <c r="Q839" s="144"/>
      <c r="R839" s="144"/>
      <c r="S839" s="144"/>
      <c r="T839" s="144"/>
      <c r="U839" s="144"/>
      <c r="V839" s="144"/>
      <c r="W839" s="144"/>
      <c r="X839" s="144"/>
      <c r="Y839" s="144"/>
      <c r="Z839" s="144"/>
    </row>
    <row r="840" spans="1:26" ht="18.75">
      <c r="A840" s="144"/>
      <c r="B840" s="141"/>
      <c r="C840" s="142"/>
      <c r="D840" s="143"/>
      <c r="E840" s="143"/>
      <c r="F840" s="144"/>
      <c r="G840" s="151"/>
      <c r="H840" s="151"/>
      <c r="I840" s="144"/>
      <c r="J840" s="144"/>
      <c r="K840" s="144"/>
      <c r="L840" s="144"/>
      <c r="M840" s="144"/>
      <c r="N840" s="144"/>
      <c r="O840" s="144"/>
      <c r="P840" s="144"/>
      <c r="Q840" s="144"/>
      <c r="R840" s="144"/>
      <c r="S840" s="144"/>
      <c r="T840" s="144"/>
      <c r="U840" s="144"/>
      <c r="V840" s="144"/>
      <c r="W840" s="144"/>
      <c r="X840" s="144"/>
      <c r="Y840" s="144"/>
      <c r="Z840" s="144"/>
    </row>
    <row r="841" spans="1:26" ht="18.75">
      <c r="A841" s="144"/>
      <c r="B841" s="141"/>
      <c r="C841" s="142"/>
      <c r="D841" s="143"/>
      <c r="E841" s="143"/>
      <c r="F841" s="144"/>
      <c r="G841" s="153"/>
      <c r="H841" s="153"/>
      <c r="I841" s="144"/>
      <c r="J841" s="144"/>
      <c r="K841" s="144"/>
      <c r="L841" s="144"/>
      <c r="M841" s="144"/>
      <c r="N841" s="144"/>
      <c r="O841" s="144"/>
      <c r="P841" s="144"/>
      <c r="Q841" s="144"/>
      <c r="R841" s="144"/>
      <c r="S841" s="144"/>
      <c r="T841" s="144"/>
      <c r="U841" s="144"/>
      <c r="V841" s="144"/>
      <c r="W841" s="144"/>
      <c r="X841" s="144"/>
      <c r="Y841" s="144"/>
      <c r="Z841" s="144"/>
    </row>
    <row r="842" spans="1:26" ht="18.75">
      <c r="A842" s="144"/>
      <c r="B842" s="141"/>
      <c r="C842" s="142"/>
      <c r="D842" s="143"/>
      <c r="E842" s="143"/>
      <c r="F842" s="144"/>
      <c r="G842" s="151"/>
      <c r="H842" s="151"/>
      <c r="I842" s="144"/>
      <c r="J842" s="144"/>
      <c r="K842" s="144"/>
      <c r="L842" s="144"/>
      <c r="M842" s="144"/>
      <c r="N842" s="144"/>
      <c r="O842" s="144"/>
      <c r="P842" s="144"/>
      <c r="Q842" s="144"/>
      <c r="R842" s="144"/>
      <c r="S842" s="144"/>
      <c r="T842" s="144"/>
      <c r="U842" s="144"/>
      <c r="V842" s="144"/>
      <c r="W842" s="144"/>
      <c r="X842" s="144"/>
      <c r="Y842" s="144"/>
      <c r="Z842" s="144"/>
    </row>
    <row r="843" spans="1:26" ht="18.75">
      <c r="A843" s="144"/>
      <c r="B843" s="141"/>
      <c r="C843" s="142"/>
      <c r="D843" s="143"/>
      <c r="E843" s="143"/>
      <c r="F843" s="144"/>
      <c r="G843" s="153"/>
      <c r="H843" s="153"/>
      <c r="I843" s="144"/>
      <c r="J843" s="144"/>
      <c r="K843" s="144"/>
      <c r="L843" s="144"/>
      <c r="M843" s="144"/>
      <c r="N843" s="144"/>
      <c r="O843" s="144"/>
      <c r="P843" s="144"/>
      <c r="Q843" s="144"/>
      <c r="R843" s="144"/>
      <c r="S843" s="144"/>
      <c r="T843" s="144"/>
      <c r="U843" s="144"/>
      <c r="V843" s="144"/>
      <c r="W843" s="144"/>
      <c r="X843" s="144"/>
      <c r="Y843" s="144"/>
      <c r="Z843" s="144"/>
    </row>
    <row r="844" spans="1:26" ht="18.75">
      <c r="A844" s="144"/>
      <c r="B844" s="141"/>
      <c r="C844" s="142"/>
      <c r="D844" s="143"/>
      <c r="E844" s="143"/>
      <c r="F844" s="144"/>
      <c r="G844" s="151"/>
      <c r="H844" s="151"/>
      <c r="I844" s="144"/>
      <c r="J844" s="144"/>
      <c r="K844" s="144"/>
      <c r="L844" s="144"/>
      <c r="M844" s="144"/>
      <c r="N844" s="144"/>
      <c r="O844" s="144"/>
      <c r="P844" s="144"/>
      <c r="Q844" s="144"/>
      <c r="R844" s="144"/>
      <c r="S844" s="144"/>
      <c r="T844" s="144"/>
      <c r="U844" s="144"/>
      <c r="V844" s="144"/>
      <c r="W844" s="144"/>
      <c r="X844" s="144"/>
      <c r="Y844" s="144"/>
      <c r="Z844" s="144"/>
    </row>
    <row r="845" spans="1:26" ht="18.75">
      <c r="A845" s="144"/>
      <c r="B845" s="141"/>
      <c r="C845" s="142"/>
      <c r="D845" s="143"/>
      <c r="E845" s="143"/>
      <c r="F845" s="144"/>
      <c r="G845" s="153"/>
      <c r="H845" s="153"/>
      <c r="I845" s="144"/>
      <c r="J845" s="144"/>
      <c r="K845" s="144"/>
      <c r="L845" s="144"/>
      <c r="M845" s="144"/>
      <c r="N845" s="144"/>
      <c r="O845" s="144"/>
      <c r="P845" s="144"/>
      <c r="Q845" s="144"/>
      <c r="R845" s="144"/>
      <c r="S845" s="144"/>
      <c r="T845" s="144"/>
      <c r="U845" s="144"/>
      <c r="V845" s="144"/>
      <c r="W845" s="144"/>
      <c r="X845" s="144"/>
      <c r="Y845" s="144"/>
      <c r="Z845" s="144"/>
    </row>
    <row r="846" spans="1:26" ht="18.75">
      <c r="A846" s="144"/>
      <c r="B846" s="141"/>
      <c r="C846" s="142"/>
      <c r="D846" s="143"/>
      <c r="E846" s="143"/>
      <c r="F846" s="144"/>
      <c r="G846" s="151"/>
      <c r="H846" s="151"/>
      <c r="I846" s="144"/>
      <c r="J846" s="144"/>
      <c r="K846" s="144"/>
      <c r="L846" s="144"/>
      <c r="M846" s="144"/>
      <c r="N846" s="144"/>
      <c r="O846" s="144"/>
      <c r="P846" s="144"/>
      <c r="Q846" s="144"/>
      <c r="R846" s="144"/>
      <c r="S846" s="144"/>
      <c r="T846" s="144"/>
      <c r="U846" s="144"/>
      <c r="V846" s="144"/>
      <c r="W846" s="144"/>
      <c r="X846" s="144"/>
      <c r="Y846" s="144"/>
      <c r="Z846" s="144"/>
    </row>
    <row r="847" spans="1:26" ht="18.75">
      <c r="A847" s="144"/>
      <c r="B847" s="141"/>
      <c r="C847" s="142"/>
      <c r="D847" s="143"/>
      <c r="E847" s="143"/>
      <c r="F847" s="144"/>
      <c r="G847" s="153"/>
      <c r="H847" s="153"/>
      <c r="I847" s="144"/>
      <c r="J847" s="144"/>
      <c r="K847" s="144"/>
      <c r="L847" s="144"/>
      <c r="M847" s="144"/>
      <c r="N847" s="144"/>
      <c r="O847" s="144"/>
      <c r="P847" s="144"/>
      <c r="Q847" s="144"/>
      <c r="R847" s="144"/>
      <c r="S847" s="144"/>
      <c r="T847" s="144"/>
      <c r="U847" s="144"/>
      <c r="V847" s="144"/>
      <c r="W847" s="144"/>
      <c r="X847" s="144"/>
      <c r="Y847" s="144"/>
      <c r="Z847" s="144"/>
    </row>
    <row r="848" spans="1:26" ht="18.75">
      <c r="A848" s="144"/>
      <c r="B848" s="141"/>
      <c r="C848" s="142"/>
      <c r="D848" s="143"/>
      <c r="E848" s="143"/>
      <c r="F848" s="144"/>
      <c r="G848" s="151"/>
      <c r="H848" s="151"/>
      <c r="I848" s="144"/>
      <c r="J848" s="144"/>
      <c r="K848" s="144"/>
      <c r="L848" s="144"/>
      <c r="M848" s="144"/>
      <c r="N848" s="144"/>
      <c r="O848" s="144"/>
      <c r="P848" s="144"/>
      <c r="Q848" s="144"/>
      <c r="R848" s="144"/>
      <c r="S848" s="144"/>
      <c r="T848" s="144"/>
      <c r="U848" s="144"/>
      <c r="V848" s="144"/>
      <c r="W848" s="144"/>
      <c r="X848" s="144"/>
      <c r="Y848" s="144"/>
      <c r="Z848" s="144"/>
    </row>
    <row r="849" spans="1:26" ht="18.75">
      <c r="A849" s="144"/>
      <c r="B849" s="141"/>
      <c r="C849" s="142"/>
      <c r="D849" s="143"/>
      <c r="E849" s="143"/>
      <c r="F849" s="144"/>
      <c r="G849" s="153"/>
      <c r="H849" s="153"/>
      <c r="I849" s="144"/>
      <c r="J849" s="144"/>
      <c r="K849" s="144"/>
      <c r="L849" s="144"/>
      <c r="M849" s="144"/>
      <c r="N849" s="144"/>
      <c r="O849" s="144"/>
      <c r="P849" s="144"/>
      <c r="Q849" s="144"/>
      <c r="R849" s="144"/>
      <c r="S849" s="144"/>
      <c r="T849" s="144"/>
      <c r="U849" s="144"/>
      <c r="V849" s="144"/>
      <c r="W849" s="144"/>
      <c r="X849" s="144"/>
      <c r="Y849" s="144"/>
      <c r="Z849" s="144"/>
    </row>
    <row r="850" spans="1:26" ht="18.75">
      <c r="A850" s="144"/>
      <c r="B850" s="141"/>
      <c r="C850" s="142"/>
      <c r="D850" s="143"/>
      <c r="E850" s="143"/>
      <c r="F850" s="144"/>
      <c r="G850" s="151"/>
      <c r="H850" s="151"/>
      <c r="I850" s="144"/>
      <c r="J850" s="144"/>
      <c r="K850" s="144"/>
      <c r="L850" s="144"/>
      <c r="M850" s="144"/>
      <c r="N850" s="144"/>
      <c r="O850" s="144"/>
      <c r="P850" s="144"/>
      <c r="Q850" s="144"/>
      <c r="R850" s="144"/>
      <c r="S850" s="144"/>
      <c r="T850" s="144"/>
      <c r="U850" s="144"/>
      <c r="V850" s="144"/>
      <c r="W850" s="144"/>
      <c r="X850" s="144"/>
      <c r="Y850" s="144"/>
      <c r="Z850" s="144"/>
    </row>
    <row r="851" spans="1:26" ht="18.75">
      <c r="A851" s="144"/>
      <c r="B851" s="141"/>
      <c r="C851" s="142"/>
      <c r="D851" s="143"/>
      <c r="E851" s="143"/>
      <c r="F851" s="144"/>
      <c r="G851" s="153"/>
      <c r="H851" s="153"/>
      <c r="I851" s="144"/>
      <c r="J851" s="144"/>
      <c r="K851" s="144"/>
      <c r="L851" s="144"/>
      <c r="M851" s="144"/>
      <c r="N851" s="144"/>
      <c r="O851" s="144"/>
      <c r="P851" s="144"/>
      <c r="Q851" s="144"/>
      <c r="R851" s="144"/>
      <c r="S851" s="144"/>
      <c r="T851" s="144"/>
      <c r="U851" s="144"/>
      <c r="V851" s="144"/>
      <c r="W851" s="144"/>
      <c r="X851" s="144"/>
      <c r="Y851" s="144"/>
      <c r="Z851" s="144"/>
    </row>
    <row r="852" spans="1:26" ht="18.75">
      <c r="A852" s="144"/>
      <c r="B852" s="141"/>
      <c r="C852" s="142"/>
      <c r="D852" s="143"/>
      <c r="E852" s="143"/>
      <c r="F852" s="144"/>
      <c r="G852" s="151"/>
      <c r="H852" s="151"/>
      <c r="I852" s="144"/>
      <c r="J852" s="144"/>
      <c r="K852" s="144"/>
      <c r="L852" s="144"/>
      <c r="M852" s="144"/>
      <c r="N852" s="144"/>
      <c r="O852" s="144"/>
      <c r="P852" s="144"/>
      <c r="Q852" s="144"/>
      <c r="R852" s="144"/>
      <c r="S852" s="144"/>
      <c r="T852" s="144"/>
      <c r="U852" s="144"/>
      <c r="V852" s="144"/>
      <c r="W852" s="144"/>
      <c r="X852" s="144"/>
      <c r="Y852" s="144"/>
      <c r="Z852" s="144"/>
    </row>
    <row r="853" spans="1:26" ht="18.75">
      <c r="A853" s="144"/>
      <c r="B853" s="141"/>
      <c r="C853" s="142"/>
      <c r="D853" s="143"/>
      <c r="E853" s="143"/>
      <c r="F853" s="144"/>
      <c r="G853" s="153"/>
      <c r="H853" s="153"/>
      <c r="I853" s="144"/>
      <c r="J853" s="144"/>
      <c r="K853" s="144"/>
      <c r="L853" s="144"/>
      <c r="M853" s="144"/>
      <c r="N853" s="144"/>
      <c r="O853" s="144"/>
      <c r="P853" s="144"/>
      <c r="Q853" s="144"/>
      <c r="R853" s="144"/>
      <c r="S853" s="144"/>
      <c r="T853" s="144"/>
      <c r="U853" s="144"/>
      <c r="V853" s="144"/>
      <c r="W853" s="144"/>
      <c r="X853" s="144"/>
      <c r="Y853" s="144"/>
      <c r="Z853" s="144"/>
    </row>
    <row r="854" spans="1:26" ht="18.75">
      <c r="A854" s="144"/>
      <c r="B854" s="141"/>
      <c r="C854" s="142"/>
      <c r="D854" s="143"/>
      <c r="E854" s="143"/>
      <c r="F854" s="144"/>
      <c r="G854" s="151"/>
      <c r="H854" s="151"/>
      <c r="I854" s="144"/>
      <c r="J854" s="144"/>
      <c r="K854" s="144"/>
      <c r="L854" s="144"/>
      <c r="M854" s="144"/>
      <c r="N854" s="144"/>
      <c r="O854" s="144"/>
      <c r="P854" s="144"/>
      <c r="Q854" s="144"/>
      <c r="R854" s="144"/>
      <c r="S854" s="144"/>
      <c r="T854" s="144"/>
      <c r="U854" s="144"/>
      <c r="V854" s="144"/>
      <c r="W854" s="144"/>
      <c r="X854" s="144"/>
      <c r="Y854" s="144"/>
      <c r="Z854" s="144"/>
    </row>
    <row r="855" spans="1:26" ht="18.75">
      <c r="A855" s="144"/>
      <c r="B855" s="141"/>
      <c r="C855" s="142"/>
      <c r="D855" s="143"/>
      <c r="E855" s="143"/>
      <c r="F855" s="144"/>
      <c r="G855" s="153"/>
      <c r="H855" s="153"/>
      <c r="I855" s="144"/>
      <c r="J855" s="144"/>
      <c r="K855" s="144"/>
      <c r="L855" s="144"/>
      <c r="M855" s="144"/>
      <c r="N855" s="144"/>
      <c r="O855" s="144"/>
      <c r="P855" s="144"/>
      <c r="Q855" s="144"/>
      <c r="R855" s="144"/>
      <c r="S855" s="144"/>
      <c r="T855" s="144"/>
      <c r="U855" s="144"/>
      <c r="V855" s="144"/>
      <c r="W855" s="144"/>
      <c r="X855" s="144"/>
      <c r="Y855" s="144"/>
      <c r="Z855" s="144"/>
    </row>
    <row r="856" spans="1:26" ht="18.75">
      <c r="A856" s="144"/>
      <c r="B856" s="141"/>
      <c r="C856" s="142"/>
      <c r="D856" s="143"/>
      <c r="E856" s="143"/>
      <c r="F856" s="144"/>
      <c r="G856" s="151"/>
      <c r="H856" s="151"/>
      <c r="I856" s="144"/>
      <c r="J856" s="144"/>
      <c r="K856" s="144"/>
      <c r="L856" s="144"/>
      <c r="M856" s="144"/>
      <c r="N856" s="144"/>
      <c r="O856" s="144"/>
      <c r="P856" s="144"/>
      <c r="Q856" s="144"/>
      <c r="R856" s="144"/>
      <c r="S856" s="144"/>
      <c r="T856" s="144"/>
      <c r="U856" s="144"/>
      <c r="V856" s="144"/>
      <c r="W856" s="144"/>
      <c r="X856" s="144"/>
      <c r="Y856" s="144"/>
      <c r="Z856" s="144"/>
    </row>
    <row r="857" spans="1:26" ht="18.75">
      <c r="A857" s="144"/>
      <c r="B857" s="141"/>
      <c r="C857" s="142"/>
      <c r="D857" s="143"/>
      <c r="E857" s="143"/>
      <c r="F857" s="144"/>
      <c r="G857" s="153"/>
      <c r="H857" s="153"/>
      <c r="I857" s="144"/>
      <c r="J857" s="144"/>
      <c r="K857" s="144"/>
      <c r="L857" s="144"/>
      <c r="M857" s="144"/>
      <c r="N857" s="144"/>
      <c r="O857" s="144"/>
      <c r="P857" s="144"/>
      <c r="Q857" s="144"/>
      <c r="R857" s="144"/>
      <c r="S857" s="144"/>
      <c r="T857" s="144"/>
      <c r="U857" s="144"/>
      <c r="V857" s="144"/>
      <c r="W857" s="144"/>
      <c r="X857" s="144"/>
      <c r="Y857" s="144"/>
      <c r="Z857" s="144"/>
    </row>
    <row r="858" spans="1:26" ht="18.75">
      <c r="A858" s="144"/>
      <c r="B858" s="141"/>
      <c r="C858" s="142"/>
      <c r="D858" s="143"/>
      <c r="E858" s="143"/>
      <c r="F858" s="144"/>
      <c r="G858" s="151"/>
      <c r="H858" s="151"/>
      <c r="I858" s="144"/>
      <c r="J858" s="144"/>
      <c r="K858" s="144"/>
      <c r="L858" s="144"/>
      <c r="M858" s="144"/>
      <c r="N858" s="144"/>
      <c r="O858" s="144"/>
      <c r="P858" s="144"/>
      <c r="Q858" s="144"/>
      <c r="R858" s="144"/>
      <c r="S858" s="144"/>
      <c r="T858" s="144"/>
      <c r="U858" s="144"/>
      <c r="V858" s="144"/>
      <c r="W858" s="144"/>
      <c r="X858" s="144"/>
      <c r="Y858" s="144"/>
      <c r="Z858" s="144"/>
    </row>
    <row r="859" spans="1:26" ht="18.75">
      <c r="A859" s="144"/>
      <c r="B859" s="141"/>
      <c r="C859" s="142"/>
      <c r="D859" s="143"/>
      <c r="E859" s="143"/>
      <c r="F859" s="144"/>
      <c r="G859" s="153"/>
      <c r="H859" s="153"/>
      <c r="I859" s="144"/>
      <c r="J859" s="144"/>
      <c r="K859" s="144"/>
      <c r="L859" s="144"/>
      <c r="M859" s="144"/>
      <c r="N859" s="144"/>
      <c r="O859" s="144"/>
      <c r="P859" s="144"/>
      <c r="Q859" s="144"/>
      <c r="R859" s="144"/>
      <c r="S859" s="144"/>
      <c r="T859" s="144"/>
      <c r="U859" s="144"/>
      <c r="V859" s="144"/>
      <c r="W859" s="144"/>
      <c r="X859" s="144"/>
      <c r="Y859" s="144"/>
      <c r="Z859" s="144"/>
    </row>
    <row r="860" spans="1:26" ht="18.75">
      <c r="A860" s="144"/>
      <c r="B860" s="141"/>
      <c r="C860" s="142"/>
      <c r="D860" s="143"/>
      <c r="E860" s="143"/>
      <c r="F860" s="144"/>
      <c r="G860" s="151"/>
      <c r="H860" s="151"/>
      <c r="I860" s="144"/>
      <c r="J860" s="144"/>
      <c r="K860" s="144"/>
      <c r="L860" s="144"/>
      <c r="M860" s="144"/>
      <c r="N860" s="144"/>
      <c r="O860" s="144"/>
      <c r="P860" s="144"/>
      <c r="Q860" s="144"/>
      <c r="R860" s="144"/>
      <c r="S860" s="144"/>
      <c r="T860" s="144"/>
      <c r="U860" s="144"/>
      <c r="V860" s="144"/>
      <c r="W860" s="144"/>
      <c r="X860" s="144"/>
      <c r="Y860" s="144"/>
      <c r="Z860" s="144"/>
    </row>
    <row r="861" spans="1:26" ht="18.75">
      <c r="A861" s="144"/>
      <c r="B861" s="141"/>
      <c r="C861" s="142"/>
      <c r="D861" s="143"/>
      <c r="E861" s="143"/>
      <c r="F861" s="144"/>
      <c r="G861" s="153"/>
      <c r="H861" s="153"/>
      <c r="I861" s="144"/>
      <c r="J861" s="144"/>
      <c r="K861" s="144"/>
      <c r="L861" s="144"/>
      <c r="M861" s="144"/>
      <c r="N861" s="144"/>
      <c r="O861" s="144"/>
      <c r="P861" s="144"/>
      <c r="Q861" s="144"/>
      <c r="R861" s="144"/>
      <c r="S861" s="144"/>
      <c r="T861" s="144"/>
      <c r="U861" s="144"/>
      <c r="V861" s="144"/>
      <c r="W861" s="144"/>
      <c r="X861" s="144"/>
      <c r="Y861" s="144"/>
      <c r="Z861" s="144"/>
    </row>
    <row r="862" spans="1:26" ht="18.75">
      <c r="A862" s="144"/>
      <c r="B862" s="141"/>
      <c r="C862" s="142"/>
      <c r="D862" s="143"/>
      <c r="E862" s="143"/>
      <c r="F862" s="144"/>
      <c r="G862" s="151"/>
      <c r="H862" s="151"/>
      <c r="I862" s="144"/>
      <c r="J862" s="144"/>
      <c r="K862" s="144"/>
      <c r="L862" s="144"/>
      <c r="M862" s="144"/>
      <c r="N862" s="144"/>
      <c r="O862" s="144"/>
      <c r="P862" s="144"/>
      <c r="Q862" s="144"/>
      <c r="R862" s="144"/>
      <c r="S862" s="144"/>
      <c r="T862" s="144"/>
      <c r="U862" s="144"/>
      <c r="V862" s="144"/>
      <c r="W862" s="144"/>
      <c r="X862" s="144"/>
      <c r="Y862" s="144"/>
      <c r="Z862" s="144"/>
    </row>
    <row r="863" spans="1:26" ht="18.75">
      <c r="A863" s="144"/>
      <c r="B863" s="141"/>
      <c r="C863" s="142"/>
      <c r="D863" s="143"/>
      <c r="E863" s="143"/>
      <c r="F863" s="144"/>
      <c r="G863" s="153"/>
      <c r="H863" s="153"/>
      <c r="I863" s="144"/>
      <c r="J863" s="144"/>
      <c r="K863" s="144"/>
      <c r="L863" s="144"/>
      <c r="M863" s="144"/>
      <c r="N863" s="144"/>
      <c r="O863" s="144"/>
      <c r="P863" s="144"/>
      <c r="Q863" s="144"/>
      <c r="R863" s="144"/>
      <c r="S863" s="144"/>
      <c r="T863" s="144"/>
      <c r="U863" s="144"/>
      <c r="V863" s="144"/>
      <c r="W863" s="144"/>
      <c r="X863" s="144"/>
      <c r="Y863" s="144"/>
      <c r="Z863" s="144"/>
    </row>
    <row r="864" spans="1:26" ht="18.75">
      <c r="A864" s="144"/>
      <c r="B864" s="141"/>
      <c r="C864" s="142"/>
      <c r="D864" s="143"/>
      <c r="E864" s="143"/>
      <c r="F864" s="144"/>
      <c r="G864" s="151"/>
      <c r="H864" s="151"/>
      <c r="I864" s="144"/>
      <c r="J864" s="144"/>
      <c r="K864" s="144"/>
      <c r="L864" s="144"/>
      <c r="M864" s="144"/>
      <c r="N864" s="144"/>
      <c r="O864" s="144"/>
      <c r="P864" s="144"/>
      <c r="Q864" s="144"/>
      <c r="R864" s="144"/>
      <c r="S864" s="144"/>
      <c r="T864" s="144"/>
      <c r="U864" s="144"/>
      <c r="V864" s="144"/>
      <c r="W864" s="144"/>
      <c r="X864" s="144"/>
      <c r="Y864" s="144"/>
      <c r="Z864" s="144"/>
    </row>
    <row r="865" spans="1:26" ht="18.75">
      <c r="A865" s="144"/>
      <c r="B865" s="141"/>
      <c r="C865" s="142"/>
      <c r="D865" s="143"/>
      <c r="E865" s="143"/>
      <c r="F865" s="144"/>
      <c r="G865" s="153"/>
      <c r="H865" s="153"/>
      <c r="I865" s="144"/>
      <c r="J865" s="144"/>
      <c r="K865" s="144"/>
      <c r="L865" s="144"/>
      <c r="M865" s="144"/>
      <c r="N865" s="144"/>
      <c r="O865" s="144"/>
      <c r="P865" s="144"/>
      <c r="Q865" s="144"/>
      <c r="R865" s="144"/>
      <c r="S865" s="144"/>
      <c r="T865" s="144"/>
      <c r="U865" s="144"/>
      <c r="V865" s="144"/>
      <c r="W865" s="144"/>
      <c r="X865" s="144"/>
      <c r="Y865" s="144"/>
      <c r="Z865" s="144"/>
    </row>
    <row r="866" spans="1:26" ht="18.75">
      <c r="A866" s="144"/>
      <c r="B866" s="141"/>
      <c r="C866" s="142"/>
      <c r="D866" s="143"/>
      <c r="E866" s="143"/>
      <c r="F866" s="144"/>
      <c r="G866" s="151"/>
      <c r="H866" s="151"/>
      <c r="I866" s="144"/>
      <c r="J866" s="144"/>
      <c r="K866" s="144"/>
      <c r="L866" s="144"/>
      <c r="M866" s="144"/>
      <c r="N866" s="144"/>
      <c r="O866" s="144"/>
      <c r="P866" s="144"/>
      <c r="Q866" s="144"/>
      <c r="R866" s="144"/>
      <c r="S866" s="144"/>
      <c r="T866" s="144"/>
      <c r="U866" s="144"/>
      <c r="V866" s="144"/>
      <c r="W866" s="144"/>
      <c r="X866" s="144"/>
      <c r="Y866" s="144"/>
      <c r="Z866" s="144"/>
    </row>
    <row r="867" spans="1:26" ht="18.75">
      <c r="A867" s="144"/>
      <c r="B867" s="141"/>
      <c r="C867" s="142"/>
      <c r="D867" s="143"/>
      <c r="E867" s="143"/>
      <c r="F867" s="144"/>
      <c r="G867" s="153"/>
      <c r="H867" s="153"/>
      <c r="I867" s="144"/>
      <c r="J867" s="144"/>
      <c r="K867" s="144"/>
      <c r="L867" s="144"/>
      <c r="M867" s="144"/>
      <c r="N867" s="144"/>
      <c r="O867" s="144"/>
      <c r="P867" s="144"/>
      <c r="Q867" s="144"/>
      <c r="R867" s="144"/>
      <c r="S867" s="144"/>
      <c r="T867" s="144"/>
      <c r="U867" s="144"/>
      <c r="V867" s="144"/>
      <c r="W867" s="144"/>
      <c r="X867" s="144"/>
      <c r="Y867" s="144"/>
      <c r="Z867" s="144"/>
    </row>
    <row r="868" spans="1:26" ht="18.75">
      <c r="A868" s="144"/>
      <c r="B868" s="141"/>
      <c r="C868" s="142"/>
      <c r="D868" s="143"/>
      <c r="E868" s="143"/>
      <c r="F868" s="144"/>
      <c r="G868" s="151"/>
      <c r="H868" s="151"/>
      <c r="I868" s="144"/>
      <c r="J868" s="144"/>
      <c r="K868" s="144"/>
      <c r="L868" s="144"/>
      <c r="M868" s="144"/>
      <c r="N868" s="144"/>
      <c r="O868" s="144"/>
      <c r="P868" s="144"/>
      <c r="Q868" s="144"/>
      <c r="R868" s="144"/>
      <c r="S868" s="144"/>
      <c r="T868" s="144"/>
      <c r="U868" s="144"/>
      <c r="V868" s="144"/>
      <c r="W868" s="144"/>
      <c r="X868" s="144"/>
      <c r="Y868" s="144"/>
      <c r="Z868" s="144"/>
    </row>
    <row r="869" spans="1:26" ht="18.75">
      <c r="A869" s="144"/>
      <c r="B869" s="141"/>
      <c r="C869" s="142"/>
      <c r="D869" s="143"/>
      <c r="E869" s="143"/>
      <c r="F869" s="144"/>
      <c r="G869" s="153"/>
      <c r="H869" s="153"/>
      <c r="I869" s="144"/>
      <c r="J869" s="144"/>
      <c r="K869" s="144"/>
      <c r="L869" s="144"/>
      <c r="M869" s="144"/>
      <c r="N869" s="144"/>
      <c r="O869" s="144"/>
      <c r="P869" s="144"/>
      <c r="Q869" s="144"/>
      <c r="R869" s="144"/>
      <c r="S869" s="144"/>
      <c r="T869" s="144"/>
      <c r="U869" s="144"/>
      <c r="V869" s="144"/>
      <c r="W869" s="144"/>
      <c r="X869" s="144"/>
      <c r="Y869" s="144"/>
      <c r="Z869" s="144"/>
    </row>
    <row r="870" spans="1:26" ht="18.75">
      <c r="A870" s="144"/>
      <c r="B870" s="141"/>
      <c r="C870" s="142"/>
      <c r="D870" s="143"/>
      <c r="E870" s="143"/>
      <c r="F870" s="144"/>
      <c r="G870" s="151"/>
      <c r="H870" s="151"/>
      <c r="I870" s="144"/>
      <c r="J870" s="144"/>
      <c r="K870" s="144"/>
      <c r="L870" s="144"/>
      <c r="M870" s="144"/>
      <c r="N870" s="144"/>
      <c r="O870" s="144"/>
      <c r="P870" s="144"/>
      <c r="Q870" s="144"/>
      <c r="R870" s="144"/>
      <c r="S870" s="144"/>
      <c r="T870" s="144"/>
      <c r="U870" s="144"/>
      <c r="V870" s="144"/>
      <c r="W870" s="144"/>
      <c r="X870" s="144"/>
      <c r="Y870" s="144"/>
      <c r="Z870" s="144"/>
    </row>
    <row r="871" spans="1:26" ht="18.75">
      <c r="A871" s="144"/>
      <c r="B871" s="141"/>
      <c r="C871" s="142"/>
      <c r="D871" s="143"/>
      <c r="E871" s="143"/>
      <c r="F871" s="144"/>
      <c r="G871" s="153"/>
      <c r="H871" s="153"/>
      <c r="I871" s="144"/>
      <c r="J871" s="144"/>
      <c r="K871" s="144"/>
      <c r="L871" s="144"/>
      <c r="M871" s="144"/>
      <c r="N871" s="144"/>
      <c r="O871" s="144"/>
      <c r="P871" s="144"/>
      <c r="Q871" s="144"/>
      <c r="R871" s="144"/>
      <c r="S871" s="144"/>
      <c r="T871" s="144"/>
      <c r="U871" s="144"/>
      <c r="V871" s="144"/>
      <c r="W871" s="144"/>
      <c r="X871" s="144"/>
      <c r="Y871" s="144"/>
      <c r="Z871" s="144"/>
    </row>
    <row r="872" spans="1:26" ht="18.75">
      <c r="A872" s="144"/>
      <c r="B872" s="141"/>
      <c r="C872" s="142"/>
      <c r="D872" s="143"/>
      <c r="E872" s="143"/>
      <c r="F872" s="144"/>
      <c r="G872" s="151"/>
      <c r="H872" s="151"/>
      <c r="I872" s="144"/>
      <c r="J872" s="144"/>
      <c r="K872" s="144"/>
      <c r="L872" s="144"/>
      <c r="M872" s="144"/>
      <c r="N872" s="144"/>
      <c r="O872" s="144"/>
      <c r="P872" s="144"/>
      <c r="Q872" s="144"/>
      <c r="R872" s="144"/>
      <c r="S872" s="144"/>
      <c r="T872" s="144"/>
      <c r="U872" s="144"/>
      <c r="V872" s="144"/>
      <c r="W872" s="144"/>
      <c r="X872" s="144"/>
      <c r="Y872" s="144"/>
      <c r="Z872" s="144"/>
    </row>
    <row r="873" spans="1:26" ht="18.75">
      <c r="A873" s="144"/>
      <c r="B873" s="141"/>
      <c r="C873" s="142"/>
      <c r="D873" s="143"/>
      <c r="E873" s="143"/>
      <c r="F873" s="144"/>
      <c r="G873" s="153"/>
      <c r="H873" s="153"/>
      <c r="I873" s="144"/>
      <c r="J873" s="144"/>
      <c r="K873" s="144"/>
      <c r="L873" s="144"/>
      <c r="M873" s="144"/>
      <c r="N873" s="144"/>
      <c r="O873" s="144"/>
      <c r="P873" s="144"/>
      <c r="Q873" s="144"/>
      <c r="R873" s="144"/>
      <c r="S873" s="144"/>
      <c r="T873" s="144"/>
      <c r="U873" s="144"/>
      <c r="V873" s="144"/>
      <c r="W873" s="144"/>
      <c r="X873" s="144"/>
      <c r="Y873" s="144"/>
      <c r="Z873" s="144"/>
    </row>
    <row r="874" spans="1:26" ht="18.75">
      <c r="A874" s="144"/>
      <c r="B874" s="141"/>
      <c r="C874" s="142"/>
      <c r="D874" s="143"/>
      <c r="E874" s="143"/>
      <c r="F874" s="144"/>
      <c r="G874" s="151"/>
      <c r="H874" s="151"/>
      <c r="I874" s="144"/>
      <c r="J874" s="144"/>
      <c r="K874" s="144"/>
      <c r="L874" s="144"/>
      <c r="M874" s="144"/>
      <c r="N874" s="144"/>
      <c r="O874" s="144"/>
      <c r="P874" s="144"/>
      <c r="Q874" s="144"/>
      <c r="R874" s="144"/>
      <c r="S874" s="144"/>
      <c r="T874" s="144"/>
      <c r="U874" s="144"/>
      <c r="V874" s="144"/>
      <c r="W874" s="144"/>
      <c r="X874" s="144"/>
      <c r="Y874" s="144"/>
      <c r="Z874" s="144"/>
    </row>
    <row r="875" spans="1:26" ht="18.75">
      <c r="A875" s="144"/>
      <c r="B875" s="141"/>
      <c r="C875" s="142"/>
      <c r="D875" s="143"/>
      <c r="E875" s="143"/>
      <c r="F875" s="144"/>
      <c r="G875" s="153"/>
      <c r="H875" s="153"/>
      <c r="I875" s="144"/>
      <c r="J875" s="144"/>
      <c r="K875" s="144"/>
      <c r="L875" s="144"/>
      <c r="M875" s="144"/>
      <c r="N875" s="144"/>
      <c r="O875" s="144"/>
      <c r="P875" s="144"/>
      <c r="Q875" s="144"/>
      <c r="R875" s="144"/>
      <c r="S875" s="144"/>
      <c r="T875" s="144"/>
      <c r="U875" s="144"/>
      <c r="V875" s="144"/>
      <c r="W875" s="144"/>
      <c r="X875" s="144"/>
      <c r="Y875" s="144"/>
      <c r="Z875" s="144"/>
    </row>
    <row r="876" spans="1:26" ht="18.75">
      <c r="A876" s="144"/>
      <c r="B876" s="141"/>
      <c r="C876" s="142"/>
      <c r="D876" s="143"/>
      <c r="E876" s="143"/>
      <c r="F876" s="144"/>
      <c r="G876" s="151"/>
      <c r="H876" s="151"/>
      <c r="I876" s="144"/>
      <c r="J876" s="144"/>
      <c r="K876" s="144"/>
      <c r="L876" s="144"/>
      <c r="M876" s="144"/>
      <c r="N876" s="144"/>
      <c r="O876" s="144"/>
      <c r="P876" s="144"/>
      <c r="Q876" s="144"/>
      <c r="R876" s="144"/>
      <c r="S876" s="144"/>
      <c r="T876" s="144"/>
      <c r="U876" s="144"/>
      <c r="V876" s="144"/>
      <c r="W876" s="144"/>
      <c r="X876" s="144"/>
      <c r="Y876" s="144"/>
      <c r="Z876" s="144"/>
    </row>
    <row r="877" spans="1:26" ht="18.75">
      <c r="A877" s="144"/>
      <c r="B877" s="141"/>
      <c r="C877" s="142"/>
      <c r="D877" s="143"/>
      <c r="E877" s="143"/>
      <c r="F877" s="144"/>
      <c r="G877" s="153"/>
      <c r="H877" s="153"/>
      <c r="I877" s="144"/>
      <c r="J877" s="144"/>
      <c r="K877" s="144"/>
      <c r="L877" s="144"/>
      <c r="M877" s="144"/>
      <c r="N877" s="144"/>
      <c r="O877" s="144"/>
      <c r="P877" s="144"/>
      <c r="Q877" s="144"/>
      <c r="R877" s="144"/>
      <c r="S877" s="144"/>
      <c r="T877" s="144"/>
      <c r="U877" s="144"/>
      <c r="V877" s="144"/>
      <c r="W877" s="144"/>
      <c r="X877" s="144"/>
      <c r="Y877" s="144"/>
      <c r="Z877" s="144"/>
    </row>
    <row r="878" spans="1:26" ht="18.75">
      <c r="A878" s="144"/>
      <c r="B878" s="141"/>
      <c r="C878" s="142"/>
      <c r="D878" s="143"/>
      <c r="E878" s="143"/>
      <c r="F878" s="144"/>
      <c r="G878" s="151"/>
      <c r="H878" s="151"/>
      <c r="I878" s="144"/>
      <c r="J878" s="144"/>
      <c r="K878" s="144"/>
      <c r="L878" s="144"/>
      <c r="M878" s="144"/>
      <c r="N878" s="144"/>
      <c r="O878" s="144"/>
      <c r="P878" s="144"/>
      <c r="Q878" s="144"/>
      <c r="R878" s="144"/>
      <c r="S878" s="144"/>
      <c r="T878" s="144"/>
      <c r="U878" s="144"/>
      <c r="V878" s="144"/>
      <c r="W878" s="144"/>
      <c r="X878" s="144"/>
      <c r="Y878" s="144"/>
      <c r="Z878" s="144"/>
    </row>
    <row r="879" spans="1:26" ht="18.75">
      <c r="A879" s="144"/>
      <c r="B879" s="141"/>
      <c r="C879" s="142"/>
      <c r="D879" s="143"/>
      <c r="E879" s="143"/>
      <c r="F879" s="144"/>
      <c r="G879" s="153"/>
      <c r="H879" s="153"/>
      <c r="I879" s="144"/>
      <c r="J879" s="144"/>
      <c r="K879" s="144"/>
      <c r="L879" s="144"/>
      <c r="M879" s="144"/>
      <c r="N879" s="144"/>
      <c r="O879" s="144"/>
      <c r="P879" s="144"/>
      <c r="Q879" s="144"/>
      <c r="R879" s="144"/>
      <c r="S879" s="144"/>
      <c r="T879" s="144"/>
      <c r="U879" s="144"/>
      <c r="V879" s="144"/>
      <c r="W879" s="144"/>
      <c r="X879" s="144"/>
      <c r="Y879" s="144"/>
      <c r="Z879" s="144"/>
    </row>
    <row r="880" spans="1:26" ht="18.75">
      <c r="A880" s="144"/>
      <c r="B880" s="141"/>
      <c r="C880" s="142"/>
      <c r="D880" s="143"/>
      <c r="E880" s="143"/>
      <c r="F880" s="144"/>
      <c r="G880" s="151"/>
      <c r="H880" s="151"/>
      <c r="I880" s="144"/>
      <c r="J880" s="144"/>
      <c r="K880" s="144"/>
      <c r="L880" s="144"/>
      <c r="M880" s="144"/>
      <c r="N880" s="144"/>
      <c r="O880" s="144"/>
      <c r="P880" s="144"/>
      <c r="Q880" s="144"/>
      <c r="R880" s="144"/>
      <c r="S880" s="144"/>
      <c r="T880" s="144"/>
      <c r="U880" s="144"/>
      <c r="V880" s="144"/>
      <c r="W880" s="144"/>
      <c r="X880" s="144"/>
      <c r="Y880" s="144"/>
      <c r="Z880" s="144"/>
    </row>
    <row r="881" spans="1:26" ht="18.75">
      <c r="A881" s="144"/>
      <c r="B881" s="141"/>
      <c r="C881" s="142"/>
      <c r="D881" s="143"/>
      <c r="E881" s="143"/>
      <c r="F881" s="144"/>
      <c r="G881" s="153"/>
      <c r="H881" s="153"/>
      <c r="I881" s="144"/>
      <c r="J881" s="144"/>
      <c r="K881" s="144"/>
      <c r="L881" s="144"/>
      <c r="M881" s="144"/>
      <c r="N881" s="144"/>
      <c r="O881" s="144"/>
      <c r="P881" s="144"/>
      <c r="Q881" s="144"/>
      <c r="R881" s="144"/>
      <c r="S881" s="144"/>
      <c r="T881" s="144"/>
      <c r="U881" s="144"/>
      <c r="V881" s="144"/>
      <c r="W881" s="144"/>
      <c r="X881" s="144"/>
      <c r="Y881" s="144"/>
      <c r="Z881" s="144"/>
    </row>
    <row r="882" spans="1:26" ht="18.75">
      <c r="A882" s="144"/>
      <c r="B882" s="141"/>
      <c r="C882" s="142"/>
      <c r="D882" s="143"/>
      <c r="E882" s="143"/>
      <c r="F882" s="144"/>
      <c r="G882" s="151"/>
      <c r="H882" s="151"/>
      <c r="I882" s="144"/>
      <c r="J882" s="144"/>
      <c r="K882" s="144"/>
      <c r="L882" s="144"/>
      <c r="M882" s="144"/>
      <c r="N882" s="144"/>
      <c r="O882" s="144"/>
      <c r="P882" s="144"/>
      <c r="Q882" s="144"/>
      <c r="R882" s="144"/>
      <c r="S882" s="144"/>
      <c r="T882" s="144"/>
      <c r="U882" s="144"/>
      <c r="V882" s="144"/>
      <c r="W882" s="144"/>
      <c r="X882" s="144"/>
      <c r="Y882" s="144"/>
      <c r="Z882" s="144"/>
    </row>
    <row r="883" spans="1:26" ht="18.75">
      <c r="A883" s="144"/>
      <c r="B883" s="141"/>
      <c r="C883" s="142"/>
      <c r="D883" s="143"/>
      <c r="E883" s="143"/>
      <c r="F883" s="144"/>
      <c r="G883" s="153"/>
      <c r="H883" s="153"/>
      <c r="I883" s="144"/>
      <c r="J883" s="144"/>
      <c r="K883" s="144"/>
      <c r="L883" s="144"/>
      <c r="M883" s="144"/>
      <c r="N883" s="144"/>
      <c r="O883" s="144"/>
      <c r="P883" s="144"/>
      <c r="Q883" s="144"/>
      <c r="R883" s="144"/>
      <c r="S883" s="144"/>
      <c r="T883" s="144"/>
      <c r="U883" s="144"/>
      <c r="V883" s="144"/>
      <c r="W883" s="144"/>
      <c r="X883" s="144"/>
      <c r="Y883" s="144"/>
      <c r="Z883" s="144"/>
    </row>
    <row r="884" spans="1:26" ht="18.75">
      <c r="A884" s="144"/>
      <c r="B884" s="141"/>
      <c r="C884" s="142"/>
      <c r="D884" s="143"/>
      <c r="E884" s="143"/>
      <c r="F884" s="144"/>
      <c r="G884" s="151"/>
      <c r="H884" s="151"/>
      <c r="I884" s="144"/>
      <c r="J884" s="144"/>
      <c r="K884" s="144"/>
      <c r="L884" s="144"/>
      <c r="M884" s="144"/>
      <c r="N884" s="144"/>
      <c r="O884" s="144"/>
      <c r="P884" s="144"/>
      <c r="Q884" s="144"/>
      <c r="R884" s="144"/>
      <c r="S884" s="144"/>
      <c r="T884" s="144"/>
      <c r="U884" s="144"/>
      <c r="V884" s="144"/>
      <c r="W884" s="144"/>
      <c r="X884" s="144"/>
      <c r="Y884" s="144"/>
      <c r="Z884" s="144"/>
    </row>
    <row r="885" spans="1:26" ht="18.75">
      <c r="A885" s="144"/>
      <c r="B885" s="141"/>
      <c r="C885" s="142"/>
      <c r="D885" s="143"/>
      <c r="E885" s="143"/>
      <c r="F885" s="144"/>
      <c r="G885" s="153"/>
      <c r="H885" s="153"/>
      <c r="I885" s="144"/>
      <c r="J885" s="144"/>
      <c r="K885" s="144"/>
      <c r="L885" s="144"/>
      <c r="M885" s="144"/>
      <c r="N885" s="144"/>
      <c r="O885" s="144"/>
      <c r="P885" s="144"/>
      <c r="Q885" s="144"/>
      <c r="R885" s="144"/>
      <c r="S885" s="144"/>
      <c r="T885" s="144"/>
      <c r="U885" s="144"/>
      <c r="V885" s="144"/>
      <c r="W885" s="144"/>
      <c r="X885" s="144"/>
      <c r="Y885" s="144"/>
      <c r="Z885" s="144"/>
    </row>
    <row r="886" spans="1:26" ht="18.75">
      <c r="A886" s="144"/>
      <c r="B886" s="141"/>
      <c r="C886" s="142"/>
      <c r="D886" s="143"/>
      <c r="E886" s="143"/>
      <c r="F886" s="144"/>
      <c r="G886" s="151"/>
      <c r="H886" s="151"/>
      <c r="I886" s="144"/>
      <c r="J886" s="144"/>
      <c r="K886" s="144"/>
      <c r="L886" s="144"/>
      <c r="M886" s="144"/>
      <c r="N886" s="144"/>
      <c r="O886" s="144"/>
      <c r="P886" s="144"/>
      <c r="Q886" s="144"/>
      <c r="R886" s="144"/>
      <c r="S886" s="144"/>
      <c r="T886" s="144"/>
      <c r="U886" s="144"/>
      <c r="V886" s="144"/>
      <c r="W886" s="144"/>
      <c r="X886" s="144"/>
      <c r="Y886" s="144"/>
      <c r="Z886" s="144"/>
    </row>
    <row r="887" spans="1:26" ht="18.75">
      <c r="A887" s="144"/>
      <c r="B887" s="141"/>
      <c r="C887" s="142"/>
      <c r="D887" s="143"/>
      <c r="E887" s="143"/>
      <c r="F887" s="144"/>
      <c r="G887" s="153"/>
      <c r="H887" s="153"/>
      <c r="I887" s="144"/>
      <c r="J887" s="144"/>
      <c r="K887" s="144"/>
      <c r="L887" s="144"/>
      <c r="M887" s="144"/>
      <c r="N887" s="144"/>
      <c r="O887" s="144"/>
      <c r="P887" s="144"/>
      <c r="Q887" s="144"/>
      <c r="R887" s="144"/>
      <c r="S887" s="144"/>
      <c r="T887" s="144"/>
      <c r="U887" s="144"/>
      <c r="V887" s="144"/>
      <c r="W887" s="144"/>
      <c r="X887" s="144"/>
      <c r="Y887" s="144"/>
      <c r="Z887" s="144"/>
    </row>
    <row r="888" spans="1:26" ht="18.75">
      <c r="A888" s="144"/>
      <c r="B888" s="141"/>
      <c r="C888" s="142"/>
      <c r="D888" s="143"/>
      <c r="E888" s="143"/>
      <c r="F888" s="144"/>
      <c r="G888" s="151"/>
      <c r="H888" s="151"/>
      <c r="I888" s="144"/>
      <c r="J888" s="144"/>
      <c r="K888" s="144"/>
      <c r="L888" s="144"/>
      <c r="M888" s="144"/>
      <c r="N888" s="144"/>
      <c r="O888" s="144"/>
      <c r="P888" s="144"/>
      <c r="Q888" s="144"/>
      <c r="R888" s="144"/>
      <c r="S888" s="144"/>
      <c r="T888" s="144"/>
      <c r="U888" s="144"/>
      <c r="V888" s="144"/>
      <c r="W888" s="144"/>
      <c r="X888" s="144"/>
      <c r="Y888" s="144"/>
      <c r="Z888" s="144"/>
    </row>
    <row r="889" spans="1:26" ht="18.75">
      <c r="A889" s="144"/>
      <c r="B889" s="141"/>
      <c r="C889" s="142"/>
      <c r="D889" s="143"/>
      <c r="E889" s="143"/>
      <c r="F889" s="144"/>
      <c r="G889" s="153"/>
      <c r="H889" s="153"/>
      <c r="I889" s="144"/>
      <c r="J889" s="144"/>
      <c r="K889" s="144"/>
      <c r="L889" s="144"/>
      <c r="M889" s="144"/>
      <c r="N889" s="144"/>
      <c r="O889" s="144"/>
      <c r="P889" s="144"/>
      <c r="Q889" s="144"/>
      <c r="R889" s="144"/>
      <c r="S889" s="144"/>
      <c r="T889" s="144"/>
      <c r="U889" s="144"/>
      <c r="V889" s="144"/>
      <c r="W889" s="144"/>
      <c r="X889" s="144"/>
      <c r="Y889" s="144"/>
      <c r="Z889" s="144"/>
    </row>
    <row r="890" spans="1:26" ht="18.75">
      <c r="A890" s="144"/>
      <c r="B890" s="141"/>
      <c r="C890" s="142"/>
      <c r="D890" s="143"/>
      <c r="E890" s="143"/>
      <c r="F890" s="144"/>
      <c r="G890" s="151"/>
      <c r="H890" s="151"/>
      <c r="I890" s="144"/>
      <c r="J890" s="144"/>
      <c r="K890" s="144"/>
      <c r="L890" s="144"/>
      <c r="M890" s="144"/>
      <c r="N890" s="144"/>
      <c r="O890" s="144"/>
      <c r="P890" s="144"/>
      <c r="Q890" s="144"/>
      <c r="R890" s="144"/>
      <c r="S890" s="144"/>
      <c r="T890" s="144"/>
      <c r="U890" s="144"/>
      <c r="V890" s="144"/>
      <c r="W890" s="144"/>
      <c r="X890" s="144"/>
      <c r="Y890" s="144"/>
      <c r="Z890" s="144"/>
    </row>
    <row r="891" spans="1:26" ht="18.75">
      <c r="A891" s="144"/>
      <c r="B891" s="141"/>
      <c r="C891" s="142"/>
      <c r="D891" s="143"/>
      <c r="E891" s="143"/>
      <c r="F891" s="144"/>
      <c r="G891" s="153"/>
      <c r="H891" s="153"/>
      <c r="I891" s="144"/>
      <c r="J891" s="144"/>
      <c r="K891" s="144"/>
      <c r="L891" s="144"/>
      <c r="M891" s="144"/>
      <c r="N891" s="144"/>
      <c r="O891" s="144"/>
      <c r="P891" s="144"/>
      <c r="Q891" s="144"/>
      <c r="R891" s="144"/>
      <c r="S891" s="144"/>
      <c r="T891" s="144"/>
      <c r="U891" s="144"/>
      <c r="V891" s="144"/>
      <c r="W891" s="144"/>
      <c r="X891" s="144"/>
      <c r="Y891" s="144"/>
      <c r="Z891" s="144"/>
    </row>
    <row r="892" spans="1:26" ht="18.75">
      <c r="A892" s="144"/>
      <c r="B892" s="141"/>
      <c r="C892" s="142"/>
      <c r="D892" s="143"/>
      <c r="E892" s="143"/>
      <c r="F892" s="144"/>
      <c r="G892" s="151"/>
      <c r="H892" s="151"/>
      <c r="I892" s="144"/>
      <c r="J892" s="144"/>
      <c r="K892" s="144"/>
      <c r="L892" s="144"/>
      <c r="M892" s="144"/>
      <c r="N892" s="144"/>
      <c r="O892" s="144"/>
      <c r="P892" s="144"/>
      <c r="Q892" s="144"/>
      <c r="R892" s="144"/>
      <c r="S892" s="144"/>
      <c r="T892" s="144"/>
      <c r="U892" s="144"/>
      <c r="V892" s="144"/>
      <c r="W892" s="144"/>
      <c r="X892" s="144"/>
      <c r="Y892" s="144"/>
      <c r="Z892" s="144"/>
    </row>
    <row r="893" spans="1:26" ht="18.75">
      <c r="A893" s="144"/>
      <c r="B893" s="141"/>
      <c r="C893" s="142"/>
      <c r="D893" s="143"/>
      <c r="E893" s="143"/>
      <c r="F893" s="144"/>
      <c r="G893" s="153"/>
      <c r="H893" s="153"/>
      <c r="I893" s="144"/>
      <c r="J893" s="144"/>
      <c r="K893" s="144"/>
      <c r="L893" s="144"/>
      <c r="M893" s="144"/>
      <c r="N893" s="144"/>
      <c r="O893" s="144"/>
      <c r="P893" s="144"/>
      <c r="Q893" s="144"/>
      <c r="R893" s="144"/>
      <c r="S893" s="144"/>
      <c r="T893" s="144"/>
      <c r="U893" s="144"/>
      <c r="V893" s="144"/>
      <c r="W893" s="144"/>
      <c r="X893" s="144"/>
      <c r="Y893" s="144"/>
      <c r="Z893" s="144"/>
    </row>
    <row r="894" spans="1:26" ht="18.75">
      <c r="A894" s="144"/>
      <c r="B894" s="141"/>
      <c r="C894" s="142"/>
      <c r="D894" s="143"/>
      <c r="E894" s="143"/>
      <c r="F894" s="144"/>
      <c r="G894" s="151"/>
      <c r="H894" s="151"/>
      <c r="I894" s="144"/>
      <c r="J894" s="144"/>
      <c r="K894" s="144"/>
      <c r="L894" s="144"/>
      <c r="M894" s="144"/>
      <c r="N894" s="144"/>
      <c r="O894" s="144"/>
      <c r="P894" s="144"/>
      <c r="Q894" s="144"/>
      <c r="R894" s="144"/>
      <c r="S894" s="144"/>
      <c r="T894" s="144"/>
      <c r="U894" s="144"/>
      <c r="V894" s="144"/>
      <c r="W894" s="144"/>
      <c r="X894" s="144"/>
      <c r="Y894" s="144"/>
      <c r="Z894" s="144"/>
    </row>
    <row r="895" spans="1:26" ht="18.75">
      <c r="A895" s="144"/>
      <c r="B895" s="141"/>
      <c r="C895" s="142"/>
      <c r="D895" s="143"/>
      <c r="E895" s="143"/>
      <c r="F895" s="144"/>
      <c r="G895" s="153"/>
      <c r="H895" s="153"/>
      <c r="I895" s="144"/>
      <c r="J895" s="144"/>
      <c r="K895" s="144"/>
      <c r="L895" s="144"/>
      <c r="M895" s="144"/>
      <c r="N895" s="144"/>
      <c r="O895" s="144"/>
      <c r="P895" s="144"/>
      <c r="Q895" s="144"/>
      <c r="R895" s="144"/>
      <c r="S895" s="144"/>
      <c r="T895" s="144"/>
      <c r="U895" s="144"/>
      <c r="V895" s="144"/>
      <c r="W895" s="144"/>
      <c r="X895" s="144"/>
      <c r="Y895" s="144"/>
      <c r="Z895" s="144"/>
    </row>
    <row r="896" spans="1:26" ht="18.75">
      <c r="A896" s="144"/>
      <c r="B896" s="141"/>
      <c r="C896" s="142"/>
      <c r="D896" s="143"/>
      <c r="E896" s="143"/>
      <c r="F896" s="144"/>
      <c r="G896" s="151"/>
      <c r="H896" s="151"/>
      <c r="I896" s="144"/>
      <c r="J896" s="144"/>
      <c r="K896" s="144"/>
      <c r="L896" s="144"/>
      <c r="M896" s="144"/>
      <c r="N896" s="144"/>
      <c r="O896" s="144"/>
      <c r="P896" s="144"/>
      <c r="Q896" s="144"/>
      <c r="R896" s="144"/>
      <c r="S896" s="144"/>
      <c r="T896" s="144"/>
      <c r="U896" s="144"/>
      <c r="V896" s="144"/>
      <c r="W896" s="144"/>
      <c r="X896" s="144"/>
      <c r="Y896" s="144"/>
      <c r="Z896" s="144"/>
    </row>
    <row r="897" spans="1:26" ht="18.75">
      <c r="A897" s="144"/>
      <c r="B897" s="141"/>
      <c r="C897" s="142"/>
      <c r="D897" s="143"/>
      <c r="E897" s="143"/>
      <c r="F897" s="144"/>
      <c r="G897" s="153"/>
      <c r="H897" s="153"/>
      <c r="I897" s="144"/>
      <c r="J897" s="144"/>
      <c r="K897" s="144"/>
      <c r="L897" s="144"/>
      <c r="M897" s="144"/>
      <c r="N897" s="144"/>
      <c r="O897" s="144"/>
      <c r="P897" s="144"/>
      <c r="Q897" s="144"/>
      <c r="R897" s="144"/>
      <c r="S897" s="144"/>
      <c r="T897" s="144"/>
      <c r="U897" s="144"/>
      <c r="V897" s="144"/>
      <c r="W897" s="144"/>
      <c r="X897" s="144"/>
      <c r="Y897" s="144"/>
      <c r="Z897" s="144"/>
    </row>
    <row r="898" spans="1:26" ht="18.75">
      <c r="A898" s="144"/>
      <c r="B898" s="141"/>
      <c r="C898" s="142"/>
      <c r="D898" s="143"/>
      <c r="E898" s="143"/>
      <c r="F898" s="144"/>
      <c r="G898" s="151"/>
      <c r="H898" s="151"/>
      <c r="I898" s="144"/>
      <c r="J898" s="144"/>
      <c r="K898" s="144"/>
      <c r="L898" s="144"/>
      <c r="M898" s="144"/>
      <c r="N898" s="144"/>
      <c r="O898" s="144"/>
      <c r="P898" s="144"/>
      <c r="Q898" s="144"/>
      <c r="R898" s="144"/>
      <c r="S898" s="144"/>
      <c r="T898" s="144"/>
      <c r="U898" s="144"/>
      <c r="V898" s="144"/>
      <c r="W898" s="144"/>
      <c r="X898" s="144"/>
      <c r="Y898" s="144"/>
      <c r="Z898" s="144"/>
    </row>
    <row r="899" spans="1:26" ht="18.75">
      <c r="A899" s="144"/>
      <c r="B899" s="141"/>
      <c r="C899" s="142"/>
      <c r="D899" s="143"/>
      <c r="E899" s="143"/>
      <c r="F899" s="144"/>
      <c r="G899" s="153"/>
      <c r="H899" s="153"/>
      <c r="I899" s="144"/>
      <c r="J899" s="144"/>
      <c r="K899" s="144"/>
      <c r="L899" s="144"/>
      <c r="M899" s="144"/>
      <c r="N899" s="144"/>
      <c r="O899" s="144"/>
      <c r="P899" s="144"/>
      <c r="Q899" s="144"/>
      <c r="R899" s="144"/>
      <c r="S899" s="144"/>
      <c r="T899" s="144"/>
      <c r="U899" s="144"/>
      <c r="V899" s="144"/>
      <c r="W899" s="144"/>
      <c r="X899" s="144"/>
      <c r="Y899" s="144"/>
      <c r="Z899" s="144"/>
    </row>
    <row r="900" spans="1:26" ht="18.75">
      <c r="A900" s="144"/>
      <c r="B900" s="141"/>
      <c r="C900" s="142"/>
      <c r="D900" s="143"/>
      <c r="E900" s="143"/>
      <c r="F900" s="144"/>
      <c r="G900" s="151"/>
      <c r="H900" s="151"/>
      <c r="I900" s="144"/>
      <c r="J900" s="144"/>
      <c r="K900" s="144"/>
      <c r="L900" s="144"/>
      <c r="M900" s="144"/>
      <c r="N900" s="144"/>
      <c r="O900" s="144"/>
      <c r="P900" s="144"/>
      <c r="Q900" s="144"/>
      <c r="R900" s="144"/>
      <c r="S900" s="144"/>
      <c r="T900" s="144"/>
      <c r="U900" s="144"/>
      <c r="V900" s="144"/>
      <c r="W900" s="144"/>
      <c r="X900" s="144"/>
      <c r="Y900" s="144"/>
      <c r="Z900" s="144"/>
    </row>
    <row r="901" spans="1:26" ht="18.75">
      <c r="A901" s="144"/>
      <c r="B901" s="141"/>
      <c r="C901" s="142"/>
      <c r="D901" s="143"/>
      <c r="E901" s="143"/>
      <c r="F901" s="144"/>
      <c r="G901" s="153"/>
      <c r="H901" s="153"/>
      <c r="I901" s="144"/>
      <c r="J901" s="144"/>
      <c r="K901" s="144"/>
      <c r="L901" s="144"/>
      <c r="M901" s="144"/>
      <c r="N901" s="144"/>
      <c r="O901" s="144"/>
      <c r="P901" s="144"/>
      <c r="Q901" s="144"/>
      <c r="R901" s="144"/>
      <c r="S901" s="144"/>
      <c r="T901" s="144"/>
      <c r="U901" s="144"/>
      <c r="V901" s="144"/>
      <c r="W901" s="144"/>
      <c r="X901" s="144"/>
      <c r="Y901" s="144"/>
      <c r="Z901" s="144"/>
    </row>
    <row r="902" spans="1:26" ht="18.75">
      <c r="A902" s="144"/>
      <c r="B902" s="141"/>
      <c r="C902" s="142"/>
      <c r="D902" s="143"/>
      <c r="E902" s="143"/>
      <c r="F902" s="144"/>
      <c r="G902" s="151"/>
      <c r="H902" s="151"/>
      <c r="I902" s="144"/>
      <c r="J902" s="144"/>
      <c r="K902" s="144"/>
      <c r="L902" s="144"/>
      <c r="M902" s="144"/>
      <c r="N902" s="144"/>
      <c r="O902" s="144"/>
      <c r="P902" s="144"/>
      <c r="Q902" s="144"/>
      <c r="R902" s="144"/>
      <c r="S902" s="144"/>
      <c r="T902" s="144"/>
      <c r="U902" s="144"/>
      <c r="V902" s="144"/>
      <c r="W902" s="144"/>
      <c r="X902" s="144"/>
      <c r="Y902" s="144"/>
      <c r="Z902" s="144"/>
    </row>
    <row r="903" spans="1:26" ht="18.75">
      <c r="A903" s="144"/>
      <c r="B903" s="141"/>
      <c r="C903" s="142"/>
      <c r="D903" s="143"/>
      <c r="E903" s="143"/>
      <c r="F903" s="144"/>
      <c r="G903" s="153"/>
      <c r="H903" s="153"/>
      <c r="I903" s="144"/>
      <c r="J903" s="144"/>
      <c r="K903" s="144"/>
      <c r="L903" s="144"/>
      <c r="M903" s="144"/>
      <c r="N903" s="144"/>
      <c r="O903" s="144"/>
      <c r="P903" s="144"/>
      <c r="Q903" s="144"/>
      <c r="R903" s="144"/>
      <c r="S903" s="144"/>
      <c r="T903" s="144"/>
      <c r="U903" s="144"/>
      <c r="V903" s="144"/>
      <c r="W903" s="144"/>
      <c r="X903" s="144"/>
      <c r="Y903" s="144"/>
      <c r="Z903" s="144"/>
    </row>
    <row r="904" spans="1:26" ht="18.75">
      <c r="A904" s="144"/>
      <c r="B904" s="141"/>
      <c r="C904" s="142"/>
      <c r="D904" s="143"/>
      <c r="E904" s="143"/>
      <c r="F904" s="144"/>
      <c r="G904" s="151"/>
      <c r="H904" s="151"/>
      <c r="I904" s="144"/>
      <c r="J904" s="144"/>
      <c r="K904" s="144"/>
      <c r="L904" s="144"/>
      <c r="M904" s="144"/>
      <c r="N904" s="144"/>
      <c r="O904" s="144"/>
      <c r="P904" s="144"/>
      <c r="Q904" s="144"/>
      <c r="R904" s="144"/>
      <c r="S904" s="144"/>
      <c r="T904" s="144"/>
      <c r="U904" s="144"/>
      <c r="V904" s="144"/>
      <c r="W904" s="144"/>
      <c r="X904" s="144"/>
      <c r="Y904" s="144"/>
      <c r="Z904" s="144"/>
    </row>
    <row r="905" spans="1:26" ht="18.75">
      <c r="A905" s="144"/>
      <c r="B905" s="141"/>
      <c r="C905" s="142"/>
      <c r="D905" s="143"/>
      <c r="E905" s="143"/>
      <c r="F905" s="144"/>
      <c r="G905" s="153"/>
      <c r="H905" s="153"/>
      <c r="I905" s="144"/>
      <c r="J905" s="144"/>
      <c r="K905" s="144"/>
      <c r="L905" s="144"/>
      <c r="M905" s="144"/>
      <c r="N905" s="144"/>
      <c r="O905" s="144"/>
      <c r="P905" s="144"/>
      <c r="Q905" s="144"/>
      <c r="R905" s="144"/>
      <c r="S905" s="144"/>
      <c r="T905" s="144"/>
      <c r="U905" s="144"/>
      <c r="V905" s="144"/>
      <c r="W905" s="144"/>
      <c r="X905" s="144"/>
      <c r="Y905" s="144"/>
      <c r="Z905" s="144"/>
    </row>
    <row r="906" spans="1:26" ht="18.75">
      <c r="A906" s="144"/>
      <c r="B906" s="141"/>
      <c r="C906" s="142"/>
      <c r="D906" s="143"/>
      <c r="E906" s="143"/>
      <c r="F906" s="144"/>
      <c r="G906" s="151"/>
      <c r="H906" s="151"/>
      <c r="I906" s="144"/>
      <c r="J906" s="144"/>
      <c r="K906" s="144"/>
      <c r="L906" s="144"/>
      <c r="M906" s="144"/>
      <c r="N906" s="144"/>
      <c r="O906" s="144"/>
      <c r="P906" s="144"/>
      <c r="Q906" s="144"/>
      <c r="R906" s="144"/>
      <c r="S906" s="144"/>
      <c r="T906" s="144"/>
      <c r="U906" s="144"/>
      <c r="V906" s="144"/>
      <c r="W906" s="144"/>
      <c r="X906" s="144"/>
      <c r="Y906" s="144"/>
      <c r="Z906" s="144"/>
    </row>
    <row r="907" spans="1:26" ht="18.75">
      <c r="A907" s="144"/>
      <c r="B907" s="141"/>
      <c r="C907" s="142"/>
      <c r="D907" s="143"/>
      <c r="E907" s="143"/>
      <c r="F907" s="144"/>
      <c r="G907" s="153"/>
      <c r="H907" s="153"/>
      <c r="I907" s="144"/>
      <c r="J907" s="144"/>
      <c r="K907" s="144"/>
      <c r="L907" s="144"/>
      <c r="M907" s="144"/>
      <c r="N907" s="144"/>
      <c r="O907" s="144"/>
      <c r="P907" s="144"/>
      <c r="Q907" s="144"/>
      <c r="R907" s="144"/>
      <c r="S907" s="144"/>
      <c r="T907" s="144"/>
      <c r="U907" s="144"/>
      <c r="V907" s="144"/>
      <c r="W907" s="144"/>
      <c r="X907" s="144"/>
      <c r="Y907" s="144"/>
      <c r="Z907" s="144"/>
    </row>
    <row r="908" spans="1:26" ht="18.75">
      <c r="A908" s="144"/>
      <c r="B908" s="141"/>
      <c r="C908" s="142"/>
      <c r="D908" s="143"/>
      <c r="E908" s="143"/>
      <c r="F908" s="144"/>
      <c r="G908" s="151"/>
      <c r="H908" s="151"/>
      <c r="I908" s="144"/>
      <c r="J908" s="144"/>
      <c r="K908" s="144"/>
      <c r="L908" s="144"/>
      <c r="M908" s="144"/>
      <c r="N908" s="144"/>
      <c r="O908" s="144"/>
      <c r="P908" s="144"/>
      <c r="Q908" s="144"/>
      <c r="R908" s="144"/>
      <c r="S908" s="144"/>
      <c r="T908" s="144"/>
      <c r="U908" s="144"/>
      <c r="V908" s="144"/>
      <c r="W908" s="144"/>
      <c r="X908" s="144"/>
      <c r="Y908" s="144"/>
      <c r="Z908" s="144"/>
    </row>
    <row r="909" spans="1:26" ht="18.75">
      <c r="A909" s="144"/>
      <c r="B909" s="141"/>
      <c r="C909" s="142"/>
      <c r="D909" s="143"/>
      <c r="E909" s="143"/>
      <c r="F909" s="144"/>
      <c r="G909" s="153"/>
      <c r="H909" s="153"/>
      <c r="I909" s="144"/>
      <c r="J909" s="144"/>
      <c r="K909" s="144"/>
      <c r="L909" s="144"/>
      <c r="M909" s="144"/>
      <c r="N909" s="144"/>
      <c r="O909" s="144"/>
      <c r="P909" s="144"/>
      <c r="Q909" s="144"/>
      <c r="R909" s="144"/>
      <c r="S909" s="144"/>
      <c r="T909" s="144"/>
      <c r="U909" s="144"/>
      <c r="V909" s="144"/>
      <c r="W909" s="144"/>
      <c r="X909" s="144"/>
      <c r="Y909" s="144"/>
      <c r="Z909" s="144"/>
    </row>
    <row r="910" spans="1:26" ht="18.75">
      <c r="A910" s="144"/>
      <c r="B910" s="141"/>
      <c r="C910" s="142"/>
      <c r="D910" s="143"/>
      <c r="E910" s="143"/>
      <c r="F910" s="144"/>
      <c r="G910" s="151"/>
      <c r="H910" s="151"/>
      <c r="I910" s="144"/>
      <c r="J910" s="144"/>
      <c r="K910" s="144"/>
      <c r="L910" s="144"/>
      <c r="M910" s="144"/>
      <c r="N910" s="144"/>
      <c r="O910" s="144"/>
      <c r="P910" s="144"/>
      <c r="Q910" s="144"/>
      <c r="R910" s="144"/>
      <c r="S910" s="144"/>
      <c r="T910" s="144"/>
      <c r="U910" s="144"/>
      <c r="V910" s="144"/>
      <c r="W910" s="144"/>
      <c r="X910" s="144"/>
      <c r="Y910" s="144"/>
      <c r="Z910" s="144"/>
    </row>
    <row r="911" spans="1:26" ht="18.75">
      <c r="A911" s="144"/>
      <c r="B911" s="141"/>
      <c r="C911" s="142"/>
      <c r="D911" s="143"/>
      <c r="E911" s="143"/>
      <c r="F911" s="144"/>
      <c r="G911" s="153"/>
      <c r="H911" s="153"/>
      <c r="I911" s="144"/>
      <c r="J911" s="144"/>
      <c r="K911" s="144"/>
      <c r="L911" s="144"/>
      <c r="M911" s="144"/>
      <c r="N911" s="144"/>
      <c r="O911" s="144"/>
      <c r="P911" s="144"/>
      <c r="Q911" s="144"/>
      <c r="R911" s="144"/>
      <c r="S911" s="144"/>
      <c r="T911" s="144"/>
      <c r="U911" s="144"/>
      <c r="V911" s="144"/>
      <c r="W911" s="144"/>
      <c r="X911" s="144"/>
      <c r="Y911" s="144"/>
      <c r="Z911" s="144"/>
    </row>
    <row r="912" spans="1:26" ht="18.75">
      <c r="A912" s="144"/>
      <c r="B912" s="141"/>
      <c r="C912" s="142"/>
      <c r="D912" s="143"/>
      <c r="E912" s="143"/>
      <c r="F912" s="144"/>
      <c r="G912" s="151"/>
      <c r="H912" s="151"/>
      <c r="I912" s="144"/>
      <c r="J912" s="144"/>
      <c r="K912" s="144"/>
      <c r="L912" s="144"/>
      <c r="M912" s="144"/>
      <c r="N912" s="144"/>
      <c r="O912" s="144"/>
      <c r="P912" s="144"/>
      <c r="Q912" s="144"/>
      <c r="R912" s="144"/>
      <c r="S912" s="144"/>
      <c r="T912" s="144"/>
      <c r="U912" s="144"/>
      <c r="V912" s="144"/>
      <c r="W912" s="144"/>
      <c r="X912" s="144"/>
      <c r="Y912" s="144"/>
      <c r="Z912" s="144"/>
    </row>
    <row r="913" spans="1:26" ht="18.75">
      <c r="A913" s="144"/>
      <c r="B913" s="141"/>
      <c r="C913" s="142"/>
      <c r="D913" s="143"/>
      <c r="E913" s="143"/>
      <c r="F913" s="144"/>
      <c r="G913" s="153"/>
      <c r="H913" s="153"/>
      <c r="I913" s="144"/>
      <c r="J913" s="144"/>
      <c r="K913" s="144"/>
      <c r="L913" s="144"/>
      <c r="M913" s="144"/>
      <c r="N913" s="144"/>
      <c r="O913" s="144"/>
      <c r="P913" s="144"/>
      <c r="Q913" s="144"/>
      <c r="R913" s="144"/>
      <c r="S913" s="144"/>
      <c r="T913" s="144"/>
      <c r="U913" s="144"/>
      <c r="V913" s="144"/>
      <c r="W913" s="144"/>
      <c r="X913" s="144"/>
      <c r="Y913" s="144"/>
      <c r="Z913" s="144"/>
    </row>
    <row r="914" spans="1:26" ht="18.75">
      <c r="A914" s="144"/>
      <c r="B914" s="141"/>
      <c r="C914" s="142"/>
      <c r="D914" s="143"/>
      <c r="E914" s="143"/>
      <c r="F914" s="144"/>
      <c r="G914" s="151"/>
      <c r="H914" s="151"/>
      <c r="I914" s="144"/>
      <c r="J914" s="144"/>
      <c r="K914" s="144"/>
      <c r="L914" s="144"/>
      <c r="M914" s="144"/>
      <c r="N914" s="144"/>
      <c r="O914" s="144"/>
      <c r="P914" s="144"/>
      <c r="Q914" s="144"/>
      <c r="R914" s="144"/>
      <c r="S914" s="144"/>
      <c r="T914" s="144"/>
      <c r="U914" s="144"/>
      <c r="V914" s="144"/>
      <c r="W914" s="144"/>
      <c r="X914" s="144"/>
      <c r="Y914" s="144"/>
      <c r="Z914" s="144"/>
    </row>
    <row r="915" spans="1:26" ht="18.75">
      <c r="A915" s="144"/>
      <c r="B915" s="141"/>
      <c r="C915" s="142"/>
      <c r="D915" s="143"/>
      <c r="E915" s="143"/>
      <c r="F915" s="144"/>
      <c r="G915" s="153"/>
      <c r="H915" s="153"/>
      <c r="I915" s="144"/>
      <c r="J915" s="144"/>
      <c r="K915" s="144"/>
      <c r="L915" s="144"/>
      <c r="M915" s="144"/>
      <c r="N915" s="144"/>
      <c r="O915" s="144"/>
      <c r="P915" s="144"/>
      <c r="Q915" s="144"/>
      <c r="R915" s="144"/>
      <c r="S915" s="144"/>
      <c r="T915" s="144"/>
      <c r="U915" s="144"/>
      <c r="V915" s="144"/>
      <c r="W915" s="144"/>
      <c r="X915" s="144"/>
      <c r="Y915" s="144"/>
      <c r="Z915" s="144"/>
    </row>
    <row r="916" spans="1:26" ht="18.75">
      <c r="A916" s="144"/>
      <c r="B916" s="141"/>
      <c r="C916" s="142"/>
      <c r="D916" s="143"/>
      <c r="E916" s="143"/>
      <c r="F916" s="144"/>
      <c r="G916" s="151"/>
      <c r="H916" s="151"/>
      <c r="I916" s="144"/>
      <c r="J916" s="144"/>
      <c r="K916" s="144"/>
      <c r="L916" s="144"/>
      <c r="M916" s="144"/>
      <c r="N916" s="144"/>
      <c r="O916" s="144"/>
      <c r="P916" s="144"/>
      <c r="Q916" s="144"/>
      <c r="R916" s="144"/>
      <c r="S916" s="144"/>
      <c r="T916" s="144"/>
      <c r="U916" s="144"/>
      <c r="V916" s="144"/>
      <c r="W916" s="144"/>
      <c r="X916" s="144"/>
      <c r="Y916" s="144"/>
      <c r="Z916" s="144"/>
    </row>
    <row r="917" spans="1:26" ht="18.75">
      <c r="A917" s="144"/>
      <c r="B917" s="141"/>
      <c r="C917" s="142"/>
      <c r="D917" s="143"/>
      <c r="E917" s="143"/>
      <c r="F917" s="144"/>
      <c r="G917" s="153"/>
      <c r="H917" s="153"/>
      <c r="I917" s="144"/>
      <c r="J917" s="144"/>
      <c r="K917" s="144"/>
      <c r="L917" s="144"/>
      <c r="M917" s="144"/>
      <c r="N917" s="144"/>
      <c r="O917" s="144"/>
      <c r="P917" s="144"/>
      <c r="Q917" s="144"/>
      <c r="R917" s="144"/>
      <c r="S917" s="144"/>
      <c r="T917" s="144"/>
      <c r="U917" s="144"/>
      <c r="V917" s="144"/>
      <c r="W917" s="144"/>
      <c r="X917" s="144"/>
      <c r="Y917" s="144"/>
      <c r="Z917" s="144"/>
    </row>
    <row r="918" spans="1:26" ht="18.75">
      <c r="A918" s="144"/>
      <c r="B918" s="141"/>
      <c r="C918" s="142"/>
      <c r="D918" s="143"/>
      <c r="E918" s="143"/>
      <c r="F918" s="144"/>
      <c r="G918" s="151"/>
      <c r="H918" s="151"/>
      <c r="I918" s="144"/>
      <c r="J918" s="144"/>
      <c r="K918" s="144"/>
      <c r="L918" s="144"/>
      <c r="M918" s="144"/>
      <c r="N918" s="144"/>
      <c r="O918" s="144"/>
      <c r="P918" s="144"/>
      <c r="Q918" s="144"/>
      <c r="R918" s="144"/>
      <c r="S918" s="144"/>
      <c r="T918" s="144"/>
      <c r="U918" s="144"/>
      <c r="V918" s="144"/>
      <c r="W918" s="144"/>
      <c r="X918" s="144"/>
      <c r="Y918" s="144"/>
      <c r="Z918" s="144"/>
    </row>
    <row r="919" spans="1:26" ht="18.75">
      <c r="A919" s="144"/>
      <c r="B919" s="141"/>
      <c r="C919" s="142"/>
      <c r="D919" s="143"/>
      <c r="E919" s="143"/>
      <c r="F919" s="144"/>
      <c r="G919" s="153"/>
      <c r="H919" s="153"/>
      <c r="I919" s="144"/>
      <c r="J919" s="144"/>
      <c r="K919" s="144"/>
      <c r="L919" s="144"/>
      <c r="M919" s="144"/>
      <c r="N919" s="144"/>
      <c r="O919" s="144"/>
      <c r="P919" s="144"/>
      <c r="Q919" s="144"/>
      <c r="R919" s="144"/>
      <c r="S919" s="144"/>
      <c r="T919" s="144"/>
      <c r="U919" s="144"/>
      <c r="V919" s="144"/>
      <c r="W919" s="144"/>
      <c r="X919" s="144"/>
      <c r="Y919" s="144"/>
      <c r="Z919" s="144"/>
    </row>
    <row r="920" spans="1:26" ht="18.75">
      <c r="A920" s="144"/>
      <c r="B920" s="141"/>
      <c r="C920" s="142"/>
      <c r="D920" s="143"/>
      <c r="E920" s="143"/>
      <c r="F920" s="144"/>
      <c r="G920" s="151"/>
      <c r="H920" s="151"/>
      <c r="I920" s="144"/>
      <c r="J920" s="144"/>
      <c r="K920" s="144"/>
      <c r="L920" s="144"/>
      <c r="M920" s="144"/>
      <c r="N920" s="144"/>
      <c r="O920" s="144"/>
      <c r="P920" s="144"/>
      <c r="Q920" s="144"/>
      <c r="R920" s="144"/>
      <c r="S920" s="144"/>
      <c r="T920" s="144"/>
      <c r="U920" s="144"/>
      <c r="V920" s="144"/>
      <c r="W920" s="144"/>
      <c r="X920" s="144"/>
      <c r="Y920" s="144"/>
      <c r="Z920" s="144"/>
    </row>
    <row r="921" spans="1:26" ht="18.75">
      <c r="A921" s="144"/>
      <c r="B921" s="141"/>
      <c r="C921" s="142"/>
      <c r="D921" s="143"/>
      <c r="E921" s="143"/>
      <c r="F921" s="144"/>
      <c r="G921" s="153"/>
      <c r="H921" s="153"/>
      <c r="I921" s="144"/>
      <c r="J921" s="144"/>
      <c r="K921" s="144"/>
      <c r="L921" s="144"/>
      <c r="M921" s="144"/>
      <c r="N921" s="144"/>
      <c r="O921" s="144"/>
      <c r="P921" s="144"/>
      <c r="Q921" s="144"/>
      <c r="R921" s="144"/>
      <c r="S921" s="144"/>
      <c r="T921" s="144"/>
      <c r="U921" s="144"/>
      <c r="V921" s="144"/>
      <c r="W921" s="144"/>
      <c r="X921" s="144"/>
      <c r="Y921" s="144"/>
      <c r="Z921" s="144"/>
    </row>
    <row r="922" spans="1:26" ht="18.75">
      <c r="A922" s="144"/>
      <c r="B922" s="141"/>
      <c r="C922" s="142"/>
      <c r="D922" s="143"/>
      <c r="E922" s="143"/>
      <c r="F922" s="144"/>
      <c r="G922" s="151"/>
      <c r="H922" s="151"/>
      <c r="I922" s="144"/>
      <c r="J922" s="144"/>
      <c r="K922" s="144"/>
      <c r="L922" s="144"/>
      <c r="M922" s="144"/>
      <c r="N922" s="144"/>
      <c r="O922" s="144"/>
      <c r="P922" s="144"/>
      <c r="Q922" s="144"/>
      <c r="R922" s="144"/>
      <c r="S922" s="144"/>
      <c r="T922" s="144"/>
      <c r="U922" s="144"/>
      <c r="V922" s="144"/>
      <c r="W922" s="144"/>
      <c r="X922" s="144"/>
      <c r="Y922" s="144"/>
      <c r="Z922" s="144"/>
    </row>
    <row r="923" spans="1:26" ht="18.75">
      <c r="A923" s="144"/>
      <c r="B923" s="141"/>
      <c r="C923" s="142"/>
      <c r="D923" s="143"/>
      <c r="E923" s="143"/>
      <c r="F923" s="144"/>
      <c r="G923" s="153"/>
      <c r="H923" s="153"/>
      <c r="I923" s="144"/>
      <c r="J923" s="144"/>
      <c r="K923" s="144"/>
      <c r="L923" s="144"/>
      <c r="M923" s="144"/>
      <c r="N923" s="144"/>
      <c r="O923" s="144"/>
      <c r="P923" s="144"/>
      <c r="Q923" s="144"/>
      <c r="R923" s="144"/>
      <c r="S923" s="144"/>
      <c r="T923" s="144"/>
      <c r="U923" s="144"/>
      <c r="V923" s="144"/>
      <c r="W923" s="144"/>
      <c r="X923" s="144"/>
      <c r="Y923" s="144"/>
      <c r="Z923" s="144"/>
    </row>
    <row r="924" spans="1:26" ht="18.75">
      <c r="A924" s="144"/>
      <c r="B924" s="141"/>
      <c r="C924" s="142"/>
      <c r="D924" s="143"/>
      <c r="E924" s="143"/>
      <c r="F924" s="144"/>
      <c r="G924" s="151"/>
      <c r="H924" s="151"/>
      <c r="I924" s="144"/>
      <c r="J924" s="144"/>
      <c r="K924" s="144"/>
      <c r="L924" s="144"/>
      <c r="M924" s="144"/>
      <c r="N924" s="144"/>
      <c r="O924" s="144"/>
      <c r="P924" s="144"/>
      <c r="Q924" s="144"/>
      <c r="R924" s="144"/>
      <c r="S924" s="144"/>
      <c r="T924" s="144"/>
      <c r="U924" s="144"/>
      <c r="V924" s="144"/>
      <c r="W924" s="144"/>
      <c r="X924" s="144"/>
      <c r="Y924" s="144"/>
      <c r="Z924" s="144"/>
    </row>
    <row r="925" spans="1:26" ht="18.75">
      <c r="A925" s="144"/>
      <c r="B925" s="141"/>
      <c r="C925" s="142"/>
      <c r="D925" s="143"/>
      <c r="E925" s="143"/>
      <c r="F925" s="144"/>
      <c r="G925" s="153"/>
      <c r="H925" s="153"/>
      <c r="I925" s="144"/>
      <c r="J925" s="144"/>
      <c r="K925" s="144"/>
      <c r="L925" s="144"/>
      <c r="M925" s="144"/>
      <c r="N925" s="144"/>
      <c r="O925" s="144"/>
      <c r="P925" s="144"/>
      <c r="Q925" s="144"/>
      <c r="R925" s="144"/>
      <c r="S925" s="144"/>
      <c r="T925" s="144"/>
      <c r="U925" s="144"/>
      <c r="V925" s="144"/>
      <c r="W925" s="144"/>
      <c r="X925" s="144"/>
      <c r="Y925" s="144"/>
      <c r="Z925" s="144"/>
    </row>
    <row r="926" spans="1:26" ht="18.75">
      <c r="A926" s="144"/>
      <c r="B926" s="141"/>
      <c r="C926" s="142"/>
      <c r="D926" s="143"/>
      <c r="E926" s="143"/>
      <c r="F926" s="144"/>
      <c r="G926" s="151"/>
      <c r="H926" s="151"/>
      <c r="I926" s="144"/>
      <c r="J926" s="144"/>
      <c r="K926" s="144"/>
      <c r="L926" s="144"/>
      <c r="M926" s="144"/>
      <c r="N926" s="144"/>
      <c r="O926" s="144"/>
      <c r="P926" s="144"/>
      <c r="Q926" s="144"/>
      <c r="R926" s="144"/>
      <c r="S926" s="144"/>
      <c r="T926" s="144"/>
      <c r="U926" s="144"/>
      <c r="V926" s="144"/>
      <c r="W926" s="144"/>
      <c r="X926" s="144"/>
      <c r="Y926" s="144"/>
      <c r="Z926" s="144"/>
    </row>
    <row r="927" spans="1:26" ht="18.75">
      <c r="A927" s="144"/>
      <c r="B927" s="141"/>
      <c r="C927" s="142"/>
      <c r="D927" s="143"/>
      <c r="E927" s="143"/>
      <c r="F927" s="144"/>
      <c r="G927" s="153"/>
      <c r="H927" s="153"/>
      <c r="I927" s="144"/>
      <c r="J927" s="144"/>
      <c r="K927" s="144"/>
      <c r="L927" s="144"/>
      <c r="M927" s="144"/>
      <c r="N927" s="144"/>
      <c r="O927" s="144"/>
      <c r="P927" s="144"/>
      <c r="Q927" s="144"/>
      <c r="R927" s="144"/>
      <c r="S927" s="144"/>
      <c r="T927" s="144"/>
      <c r="U927" s="144"/>
      <c r="V927" s="144"/>
      <c r="W927" s="144"/>
      <c r="X927" s="144"/>
      <c r="Y927" s="144"/>
      <c r="Z927" s="144"/>
    </row>
    <row r="928" spans="1:26" ht="18.75">
      <c r="A928" s="144"/>
      <c r="B928" s="141"/>
      <c r="C928" s="142"/>
      <c r="D928" s="143"/>
      <c r="E928" s="143"/>
      <c r="F928" s="144"/>
      <c r="G928" s="151"/>
      <c r="H928" s="151"/>
      <c r="I928" s="144"/>
      <c r="J928" s="144"/>
      <c r="K928" s="144"/>
      <c r="L928" s="144"/>
      <c r="M928" s="144"/>
      <c r="N928" s="144"/>
      <c r="O928" s="144"/>
      <c r="P928" s="144"/>
      <c r="Q928" s="144"/>
      <c r="R928" s="144"/>
      <c r="S928" s="144"/>
      <c r="T928" s="144"/>
      <c r="U928" s="144"/>
      <c r="V928" s="144"/>
      <c r="W928" s="144"/>
      <c r="X928" s="144"/>
      <c r="Y928" s="144"/>
      <c r="Z928" s="144"/>
    </row>
    <row r="929" spans="1:26" ht="18.75">
      <c r="A929" s="144"/>
      <c r="B929" s="141"/>
      <c r="C929" s="142"/>
      <c r="D929" s="143"/>
      <c r="E929" s="143"/>
      <c r="F929" s="144"/>
      <c r="G929" s="153"/>
      <c r="H929" s="153"/>
      <c r="I929" s="144"/>
      <c r="J929" s="144"/>
      <c r="K929" s="144"/>
      <c r="L929" s="144"/>
      <c r="M929" s="144"/>
      <c r="N929" s="144"/>
      <c r="O929" s="144"/>
      <c r="P929" s="144"/>
      <c r="Q929" s="144"/>
      <c r="R929" s="144"/>
      <c r="S929" s="144"/>
      <c r="T929" s="144"/>
      <c r="U929" s="144"/>
      <c r="V929" s="144"/>
      <c r="W929" s="144"/>
      <c r="X929" s="144"/>
      <c r="Y929" s="144"/>
      <c r="Z929" s="144"/>
    </row>
    <row r="930" spans="1:26" ht="18.75">
      <c r="A930" s="144"/>
      <c r="B930" s="141"/>
      <c r="C930" s="142"/>
      <c r="D930" s="143"/>
      <c r="E930" s="143"/>
      <c r="F930" s="144"/>
      <c r="G930" s="151"/>
      <c r="H930" s="151"/>
      <c r="I930" s="144"/>
      <c r="J930" s="144"/>
      <c r="K930" s="144"/>
      <c r="L930" s="144"/>
      <c r="M930" s="144"/>
      <c r="N930" s="144"/>
      <c r="O930" s="144"/>
      <c r="P930" s="144"/>
      <c r="Q930" s="144"/>
      <c r="R930" s="144"/>
      <c r="S930" s="144"/>
      <c r="T930" s="144"/>
      <c r="U930" s="144"/>
      <c r="V930" s="144"/>
      <c r="W930" s="144"/>
      <c r="X930" s="144"/>
      <c r="Y930" s="144"/>
      <c r="Z930" s="144"/>
    </row>
    <row r="931" spans="1:26" ht="18.75">
      <c r="A931" s="144"/>
      <c r="B931" s="141"/>
      <c r="C931" s="142"/>
      <c r="D931" s="143"/>
      <c r="E931" s="143"/>
      <c r="F931" s="144"/>
      <c r="G931" s="153"/>
      <c r="H931" s="153"/>
      <c r="I931" s="144"/>
      <c r="J931" s="144"/>
      <c r="K931" s="144"/>
      <c r="L931" s="144"/>
      <c r="M931" s="144"/>
      <c r="N931" s="144"/>
      <c r="O931" s="144"/>
      <c r="P931" s="144"/>
      <c r="Q931" s="144"/>
      <c r="R931" s="144"/>
      <c r="S931" s="144"/>
      <c r="T931" s="144"/>
      <c r="U931" s="144"/>
      <c r="V931" s="144"/>
      <c r="W931" s="144"/>
      <c r="X931" s="144"/>
      <c r="Y931" s="144"/>
      <c r="Z931" s="144"/>
    </row>
    <row r="932" spans="1:26" ht="18.75">
      <c r="A932" s="144"/>
      <c r="B932" s="141"/>
      <c r="C932" s="142"/>
      <c r="D932" s="143"/>
      <c r="E932" s="143"/>
      <c r="F932" s="144"/>
      <c r="G932" s="151"/>
      <c r="H932" s="151"/>
      <c r="I932" s="144"/>
      <c r="J932" s="144"/>
      <c r="K932" s="144"/>
      <c r="L932" s="144"/>
      <c r="M932" s="144"/>
      <c r="N932" s="144"/>
      <c r="O932" s="144"/>
      <c r="P932" s="144"/>
      <c r="Q932" s="144"/>
      <c r="R932" s="144"/>
      <c r="S932" s="144"/>
      <c r="T932" s="144"/>
      <c r="U932" s="144"/>
      <c r="V932" s="144"/>
      <c r="W932" s="144"/>
      <c r="X932" s="144"/>
      <c r="Y932" s="144"/>
      <c r="Z932" s="144"/>
    </row>
    <row r="933" spans="1:26" ht="18.75">
      <c r="A933" s="144"/>
      <c r="B933" s="141"/>
      <c r="C933" s="142"/>
      <c r="D933" s="143"/>
      <c r="E933" s="143"/>
      <c r="F933" s="144"/>
      <c r="G933" s="153"/>
      <c r="H933" s="153"/>
      <c r="I933" s="144"/>
      <c r="J933" s="144"/>
      <c r="K933" s="144"/>
      <c r="L933" s="144"/>
      <c r="M933" s="144"/>
      <c r="N933" s="144"/>
      <c r="O933" s="144"/>
      <c r="P933" s="144"/>
      <c r="Q933" s="144"/>
      <c r="R933" s="144"/>
      <c r="S933" s="144"/>
      <c r="T933" s="144"/>
      <c r="U933" s="144"/>
      <c r="V933" s="144"/>
      <c r="W933" s="144"/>
      <c r="X933" s="144"/>
      <c r="Y933" s="144"/>
      <c r="Z933" s="144"/>
    </row>
    <row r="934" spans="1:26" ht="18.75">
      <c r="A934" s="144"/>
      <c r="B934" s="141"/>
      <c r="C934" s="142"/>
      <c r="D934" s="143"/>
      <c r="E934" s="143"/>
      <c r="F934" s="144"/>
      <c r="G934" s="151"/>
      <c r="H934" s="151"/>
      <c r="I934" s="144"/>
      <c r="J934" s="144"/>
      <c r="K934" s="144"/>
      <c r="L934" s="144"/>
      <c r="M934" s="144"/>
      <c r="N934" s="144"/>
      <c r="O934" s="144"/>
      <c r="P934" s="144"/>
      <c r="Q934" s="144"/>
      <c r="R934" s="144"/>
      <c r="S934" s="144"/>
      <c r="T934" s="144"/>
      <c r="U934" s="144"/>
      <c r="V934" s="144"/>
      <c r="W934" s="144"/>
      <c r="X934" s="144"/>
      <c r="Y934" s="144"/>
      <c r="Z934" s="144"/>
    </row>
    <row r="935" spans="1:26" ht="18.75">
      <c r="A935" s="144"/>
      <c r="B935" s="141"/>
      <c r="C935" s="142"/>
      <c r="D935" s="143"/>
      <c r="E935" s="143"/>
      <c r="F935" s="144"/>
      <c r="G935" s="153"/>
      <c r="H935" s="153"/>
      <c r="I935" s="144"/>
      <c r="J935" s="144"/>
      <c r="K935" s="144"/>
      <c r="L935" s="144"/>
      <c r="M935" s="144"/>
      <c r="N935" s="144"/>
      <c r="O935" s="144"/>
      <c r="P935" s="144"/>
      <c r="Q935" s="144"/>
      <c r="R935" s="144"/>
      <c r="S935" s="144"/>
      <c r="T935" s="144"/>
      <c r="U935" s="144"/>
      <c r="V935" s="144"/>
      <c r="W935" s="144"/>
      <c r="X935" s="144"/>
      <c r="Y935" s="144"/>
      <c r="Z935" s="144"/>
    </row>
    <row r="936" spans="1:26" ht="18.75">
      <c r="A936" s="144"/>
      <c r="B936" s="141"/>
      <c r="C936" s="142"/>
      <c r="D936" s="143"/>
      <c r="E936" s="143"/>
      <c r="F936" s="144"/>
      <c r="G936" s="151"/>
      <c r="H936" s="151"/>
      <c r="I936" s="144"/>
      <c r="J936" s="144"/>
      <c r="K936" s="144"/>
      <c r="L936" s="144"/>
      <c r="M936" s="144"/>
      <c r="N936" s="144"/>
      <c r="O936" s="144"/>
      <c r="P936" s="144"/>
      <c r="Q936" s="144"/>
      <c r="R936" s="144"/>
      <c r="S936" s="144"/>
      <c r="T936" s="144"/>
      <c r="U936" s="144"/>
      <c r="V936" s="144"/>
      <c r="W936" s="144"/>
      <c r="X936" s="144"/>
      <c r="Y936" s="144"/>
      <c r="Z936" s="144"/>
    </row>
    <row r="937" spans="1:26" ht="18.75">
      <c r="A937" s="144"/>
      <c r="B937" s="141"/>
      <c r="C937" s="142"/>
      <c r="D937" s="143"/>
      <c r="E937" s="143"/>
      <c r="F937" s="144"/>
      <c r="G937" s="153"/>
      <c r="H937" s="153"/>
      <c r="I937" s="144"/>
      <c r="J937" s="144"/>
      <c r="K937" s="144"/>
      <c r="L937" s="144"/>
      <c r="M937" s="144"/>
      <c r="N937" s="144"/>
      <c r="O937" s="144"/>
      <c r="P937" s="144"/>
      <c r="Q937" s="144"/>
      <c r="R937" s="144"/>
      <c r="S937" s="144"/>
      <c r="T937" s="144"/>
      <c r="U937" s="144"/>
      <c r="V937" s="144"/>
      <c r="W937" s="144"/>
      <c r="X937" s="144"/>
      <c r="Y937" s="144"/>
      <c r="Z937" s="144"/>
    </row>
    <row r="938" spans="1:26" ht="18.75">
      <c r="A938" s="144"/>
      <c r="B938" s="141"/>
      <c r="C938" s="142"/>
      <c r="D938" s="143"/>
      <c r="E938" s="143"/>
      <c r="F938" s="144"/>
      <c r="G938" s="151"/>
      <c r="H938" s="151"/>
      <c r="I938" s="144"/>
      <c r="J938" s="144"/>
      <c r="K938" s="144"/>
      <c r="L938" s="144"/>
      <c r="M938" s="144"/>
      <c r="N938" s="144"/>
      <c r="O938" s="144"/>
      <c r="P938" s="144"/>
      <c r="Q938" s="144"/>
      <c r="R938" s="144"/>
      <c r="S938" s="144"/>
      <c r="T938" s="144"/>
      <c r="U938" s="144"/>
      <c r="V938" s="144"/>
      <c r="W938" s="144"/>
      <c r="X938" s="144"/>
      <c r="Y938" s="144"/>
      <c r="Z938" s="144"/>
    </row>
    <row r="939" spans="1:26" ht="18.75">
      <c r="A939" s="144"/>
      <c r="B939" s="141"/>
      <c r="C939" s="142"/>
      <c r="D939" s="143"/>
      <c r="E939" s="143"/>
      <c r="F939" s="144"/>
      <c r="G939" s="153"/>
      <c r="H939" s="153"/>
      <c r="I939" s="144"/>
      <c r="J939" s="144"/>
      <c r="K939" s="144"/>
      <c r="L939" s="144"/>
      <c r="M939" s="144"/>
      <c r="N939" s="144"/>
      <c r="O939" s="144"/>
      <c r="P939" s="144"/>
      <c r="Q939" s="144"/>
      <c r="R939" s="144"/>
      <c r="S939" s="144"/>
      <c r="T939" s="144"/>
      <c r="U939" s="144"/>
      <c r="V939" s="144"/>
      <c r="W939" s="144"/>
      <c r="X939" s="144"/>
      <c r="Y939" s="144"/>
      <c r="Z939" s="144"/>
    </row>
    <row r="940" spans="1:26" ht="18.75">
      <c r="A940" s="144"/>
      <c r="B940" s="141"/>
      <c r="C940" s="142"/>
      <c r="D940" s="143"/>
      <c r="E940" s="143"/>
      <c r="F940" s="144"/>
      <c r="G940" s="151"/>
      <c r="H940" s="151"/>
      <c r="I940" s="144"/>
      <c r="J940" s="144"/>
      <c r="K940" s="144"/>
      <c r="L940" s="144"/>
      <c r="M940" s="144"/>
      <c r="N940" s="144"/>
      <c r="O940" s="144"/>
      <c r="P940" s="144"/>
      <c r="Q940" s="144"/>
      <c r="R940" s="144"/>
      <c r="S940" s="144"/>
      <c r="T940" s="144"/>
      <c r="U940" s="144"/>
      <c r="V940" s="144"/>
      <c r="W940" s="144"/>
      <c r="X940" s="144"/>
      <c r="Y940" s="144"/>
      <c r="Z940" s="144"/>
    </row>
    <row r="941" spans="1:26" ht="18.75">
      <c r="A941" s="144"/>
      <c r="B941" s="141"/>
      <c r="C941" s="142"/>
      <c r="D941" s="143"/>
      <c r="E941" s="143"/>
      <c r="F941" s="144"/>
      <c r="G941" s="153"/>
      <c r="H941" s="153"/>
      <c r="I941" s="144"/>
      <c r="J941" s="144"/>
      <c r="K941" s="144"/>
      <c r="L941" s="144"/>
      <c r="M941" s="144"/>
      <c r="N941" s="144"/>
      <c r="O941" s="144"/>
      <c r="P941" s="144"/>
      <c r="Q941" s="144"/>
      <c r="R941" s="144"/>
      <c r="S941" s="144"/>
      <c r="T941" s="144"/>
      <c r="U941" s="144"/>
      <c r="V941" s="144"/>
      <c r="W941" s="144"/>
      <c r="X941" s="144"/>
      <c r="Y941" s="144"/>
      <c r="Z941" s="144"/>
    </row>
    <row r="942" spans="1:26" ht="18.75">
      <c r="A942" s="144"/>
      <c r="B942" s="141"/>
      <c r="C942" s="142"/>
      <c r="D942" s="143"/>
      <c r="E942" s="143"/>
      <c r="F942" s="144"/>
      <c r="G942" s="151"/>
      <c r="H942" s="151"/>
      <c r="I942" s="144"/>
      <c r="J942" s="144"/>
      <c r="K942" s="144"/>
      <c r="L942" s="144"/>
      <c r="M942" s="144"/>
      <c r="N942" s="144"/>
      <c r="O942" s="144"/>
      <c r="P942" s="144"/>
      <c r="Q942" s="144"/>
      <c r="R942" s="144"/>
      <c r="S942" s="144"/>
      <c r="T942" s="144"/>
      <c r="U942" s="144"/>
      <c r="V942" s="144"/>
      <c r="W942" s="144"/>
      <c r="X942" s="144"/>
      <c r="Y942" s="144"/>
      <c r="Z942" s="144"/>
    </row>
    <row r="943" spans="1:26" ht="18.75">
      <c r="A943" s="144"/>
      <c r="B943" s="141"/>
      <c r="C943" s="142"/>
      <c r="D943" s="143"/>
      <c r="E943" s="143"/>
      <c r="F943" s="144"/>
      <c r="G943" s="153"/>
      <c r="H943" s="153"/>
      <c r="I943" s="144"/>
      <c r="J943" s="144"/>
      <c r="K943" s="144"/>
      <c r="L943" s="144"/>
      <c r="M943" s="144"/>
      <c r="N943" s="144"/>
      <c r="O943" s="144"/>
      <c r="P943" s="144"/>
      <c r="Q943" s="144"/>
      <c r="R943" s="144"/>
      <c r="S943" s="144"/>
      <c r="T943" s="144"/>
      <c r="U943" s="144"/>
      <c r="V943" s="144"/>
      <c r="W943" s="144"/>
      <c r="X943" s="144"/>
      <c r="Y943" s="144"/>
      <c r="Z943" s="144"/>
    </row>
    <row r="944" spans="1:26" ht="18.75">
      <c r="A944" s="144"/>
      <c r="B944" s="141"/>
      <c r="C944" s="142"/>
      <c r="D944" s="143"/>
      <c r="E944" s="143"/>
      <c r="F944" s="144"/>
      <c r="G944" s="151"/>
      <c r="H944" s="151"/>
      <c r="I944" s="144"/>
      <c r="J944" s="144"/>
      <c r="K944" s="144"/>
      <c r="L944" s="144"/>
      <c r="M944" s="144"/>
      <c r="N944" s="144"/>
      <c r="O944" s="144"/>
      <c r="P944" s="144"/>
      <c r="Q944" s="144"/>
      <c r="R944" s="144"/>
      <c r="S944" s="144"/>
      <c r="T944" s="144"/>
      <c r="U944" s="144"/>
      <c r="V944" s="144"/>
      <c r="W944" s="144"/>
      <c r="X944" s="144"/>
      <c r="Y944" s="144"/>
      <c r="Z944" s="144"/>
    </row>
    <row r="945" spans="1:26" ht="18.75">
      <c r="A945" s="144"/>
      <c r="B945" s="141"/>
      <c r="C945" s="142"/>
      <c r="D945" s="143"/>
      <c r="E945" s="143"/>
      <c r="F945" s="144"/>
      <c r="G945" s="153"/>
      <c r="H945" s="153"/>
      <c r="I945" s="144"/>
      <c r="J945" s="144"/>
      <c r="K945" s="144"/>
      <c r="L945" s="144"/>
      <c r="M945" s="144"/>
      <c r="N945" s="144"/>
      <c r="O945" s="144"/>
      <c r="P945" s="144"/>
      <c r="Q945" s="144"/>
      <c r="R945" s="144"/>
      <c r="S945" s="144"/>
      <c r="T945" s="144"/>
      <c r="U945" s="144"/>
      <c r="V945" s="144"/>
      <c r="W945" s="144"/>
      <c r="X945" s="144"/>
      <c r="Y945" s="144"/>
      <c r="Z945" s="144"/>
    </row>
    <row r="946" spans="1:26" ht="18.75">
      <c r="A946" s="144"/>
      <c r="B946" s="141"/>
      <c r="C946" s="142"/>
      <c r="D946" s="143"/>
      <c r="E946" s="143"/>
      <c r="F946" s="144"/>
      <c r="G946" s="151"/>
      <c r="H946" s="151"/>
      <c r="I946" s="144"/>
      <c r="J946" s="144"/>
      <c r="K946" s="144"/>
      <c r="L946" s="144"/>
      <c r="M946" s="144"/>
      <c r="N946" s="144"/>
      <c r="O946" s="144"/>
      <c r="P946" s="144"/>
      <c r="Q946" s="144"/>
      <c r="R946" s="144"/>
      <c r="S946" s="144"/>
      <c r="T946" s="144"/>
      <c r="U946" s="144"/>
      <c r="V946" s="144"/>
      <c r="W946" s="144"/>
      <c r="X946" s="144"/>
      <c r="Y946" s="144"/>
      <c r="Z946" s="144"/>
    </row>
    <row r="947" spans="1:26" ht="18.75">
      <c r="A947" s="144"/>
      <c r="B947" s="141"/>
      <c r="C947" s="142"/>
      <c r="D947" s="143"/>
      <c r="E947" s="143"/>
      <c r="F947" s="144"/>
      <c r="G947" s="153"/>
      <c r="H947" s="153"/>
      <c r="I947" s="144"/>
      <c r="J947" s="144"/>
      <c r="K947" s="144"/>
      <c r="L947" s="144"/>
      <c r="M947" s="144"/>
      <c r="N947" s="144"/>
      <c r="O947" s="144"/>
      <c r="P947" s="144"/>
      <c r="Q947" s="144"/>
      <c r="R947" s="144"/>
      <c r="S947" s="144"/>
      <c r="T947" s="144"/>
      <c r="U947" s="144"/>
      <c r="V947" s="144"/>
      <c r="W947" s="144"/>
      <c r="X947" s="144"/>
      <c r="Y947" s="144"/>
      <c r="Z947" s="144"/>
    </row>
    <row r="948" spans="1:26" ht="18.75">
      <c r="A948" s="144"/>
      <c r="B948" s="141"/>
      <c r="C948" s="142"/>
      <c r="D948" s="143"/>
      <c r="E948" s="143"/>
      <c r="F948" s="144"/>
      <c r="G948" s="151"/>
      <c r="H948" s="151"/>
      <c r="I948" s="144"/>
      <c r="J948" s="144"/>
      <c r="K948" s="144"/>
      <c r="L948" s="144"/>
      <c r="M948" s="144"/>
      <c r="N948" s="144"/>
      <c r="O948" s="144"/>
      <c r="P948" s="144"/>
      <c r="Q948" s="144"/>
      <c r="R948" s="144"/>
      <c r="S948" s="144"/>
      <c r="T948" s="144"/>
      <c r="U948" s="144"/>
      <c r="V948" s="144"/>
      <c r="W948" s="144"/>
      <c r="X948" s="144"/>
      <c r="Y948" s="144"/>
      <c r="Z948" s="144"/>
    </row>
    <row r="949" spans="1:26" ht="18.75">
      <c r="A949" s="144"/>
      <c r="B949" s="141"/>
      <c r="C949" s="142"/>
      <c r="D949" s="143"/>
      <c r="E949" s="143"/>
      <c r="F949" s="144"/>
      <c r="G949" s="153"/>
      <c r="H949" s="153"/>
      <c r="I949" s="144"/>
      <c r="J949" s="144"/>
      <c r="K949" s="144"/>
      <c r="L949" s="144"/>
      <c r="M949" s="144"/>
      <c r="N949" s="144"/>
      <c r="O949" s="144"/>
      <c r="P949" s="144"/>
      <c r="Q949" s="144"/>
      <c r="R949" s="144"/>
      <c r="S949" s="144"/>
      <c r="T949" s="144"/>
      <c r="U949" s="144"/>
      <c r="V949" s="144"/>
      <c r="W949" s="144"/>
      <c r="X949" s="144"/>
      <c r="Y949" s="144"/>
      <c r="Z949" s="144"/>
    </row>
    <row r="950" spans="1:26" ht="18.75">
      <c r="A950" s="144"/>
      <c r="B950" s="141"/>
      <c r="C950" s="142"/>
      <c r="D950" s="143"/>
      <c r="E950" s="143"/>
      <c r="F950" s="144"/>
      <c r="G950" s="151"/>
      <c r="H950" s="151"/>
      <c r="I950" s="144"/>
      <c r="J950" s="144"/>
      <c r="K950" s="144"/>
      <c r="L950" s="144"/>
      <c r="M950" s="144"/>
      <c r="N950" s="144"/>
      <c r="O950" s="144"/>
      <c r="P950" s="144"/>
      <c r="Q950" s="144"/>
      <c r="R950" s="144"/>
      <c r="S950" s="144"/>
      <c r="T950" s="144"/>
      <c r="U950" s="144"/>
      <c r="V950" s="144"/>
      <c r="W950" s="144"/>
      <c r="X950" s="144"/>
      <c r="Y950" s="144"/>
      <c r="Z950" s="144"/>
    </row>
    <row r="951" spans="1:26" ht="18.75">
      <c r="A951" s="144"/>
      <c r="B951" s="141"/>
      <c r="C951" s="142"/>
      <c r="D951" s="143"/>
      <c r="E951" s="143"/>
      <c r="F951" s="144"/>
      <c r="G951" s="153"/>
      <c r="H951" s="153"/>
      <c r="I951" s="144"/>
      <c r="J951" s="144"/>
      <c r="K951" s="144"/>
      <c r="L951" s="144"/>
      <c r="M951" s="144"/>
      <c r="N951" s="144"/>
      <c r="O951" s="144"/>
      <c r="P951" s="144"/>
      <c r="Q951" s="144"/>
      <c r="R951" s="144"/>
      <c r="S951" s="144"/>
      <c r="T951" s="144"/>
      <c r="U951" s="144"/>
      <c r="V951" s="144"/>
      <c r="W951" s="144"/>
      <c r="X951" s="144"/>
      <c r="Y951" s="144"/>
      <c r="Z951" s="144"/>
    </row>
    <row r="952" spans="1:26" ht="18.75">
      <c r="A952" s="144"/>
      <c r="B952" s="141"/>
      <c r="C952" s="142"/>
      <c r="D952" s="143"/>
      <c r="E952" s="143"/>
      <c r="F952" s="144"/>
      <c r="G952" s="151"/>
      <c r="H952" s="151"/>
      <c r="I952" s="144"/>
      <c r="J952" s="144"/>
      <c r="K952" s="144"/>
      <c r="L952" s="144"/>
      <c r="M952" s="144"/>
      <c r="N952" s="144"/>
      <c r="O952" s="144"/>
      <c r="P952" s="144"/>
      <c r="Q952" s="144"/>
      <c r="R952" s="144"/>
      <c r="S952" s="144"/>
      <c r="T952" s="144"/>
      <c r="U952" s="144"/>
      <c r="V952" s="144"/>
      <c r="W952" s="144"/>
      <c r="X952" s="144"/>
      <c r="Y952" s="144"/>
      <c r="Z952" s="144"/>
    </row>
    <row r="953" spans="1:26" ht="18.75">
      <c r="A953" s="144"/>
      <c r="B953" s="141"/>
      <c r="C953" s="142"/>
      <c r="D953" s="143"/>
      <c r="E953" s="143"/>
      <c r="F953" s="144"/>
      <c r="G953" s="153"/>
      <c r="H953" s="153"/>
      <c r="I953" s="144"/>
      <c r="J953" s="144"/>
      <c r="K953" s="144"/>
      <c r="L953" s="144"/>
      <c r="M953" s="144"/>
      <c r="N953" s="144"/>
      <c r="O953" s="144"/>
      <c r="P953" s="144"/>
      <c r="Q953" s="144"/>
      <c r="R953" s="144"/>
      <c r="S953" s="144"/>
      <c r="T953" s="144"/>
      <c r="U953" s="144"/>
      <c r="V953" s="144"/>
      <c r="W953" s="144"/>
      <c r="X953" s="144"/>
      <c r="Y953" s="144"/>
      <c r="Z953" s="144"/>
    </row>
    <row r="954" spans="1:26" ht="18.75">
      <c r="A954" s="144"/>
      <c r="B954" s="141"/>
      <c r="C954" s="142"/>
      <c r="D954" s="143"/>
      <c r="E954" s="143"/>
      <c r="F954" s="144"/>
      <c r="G954" s="151"/>
      <c r="H954" s="151"/>
      <c r="I954" s="144"/>
      <c r="J954" s="144"/>
      <c r="K954" s="144"/>
      <c r="L954" s="144"/>
      <c r="M954" s="144"/>
      <c r="N954" s="144"/>
      <c r="O954" s="144"/>
      <c r="P954" s="144"/>
      <c r="Q954" s="144"/>
      <c r="R954" s="144"/>
      <c r="S954" s="144"/>
      <c r="T954" s="144"/>
      <c r="U954" s="144"/>
      <c r="V954" s="144"/>
      <c r="W954" s="144"/>
      <c r="X954" s="144"/>
      <c r="Y954" s="144"/>
      <c r="Z954" s="144"/>
    </row>
    <row r="955" spans="1:26" ht="18.75">
      <c r="A955" s="144"/>
      <c r="B955" s="141"/>
      <c r="C955" s="142"/>
      <c r="D955" s="143"/>
      <c r="E955" s="143"/>
      <c r="F955" s="144"/>
      <c r="G955" s="153"/>
      <c r="H955" s="153"/>
      <c r="I955" s="144"/>
      <c r="J955" s="144"/>
      <c r="K955" s="144"/>
      <c r="L955" s="144"/>
      <c r="M955" s="144"/>
      <c r="N955" s="144"/>
      <c r="O955" s="144"/>
      <c r="P955" s="144"/>
      <c r="Q955" s="144"/>
      <c r="R955" s="144"/>
      <c r="S955" s="144"/>
      <c r="T955" s="144"/>
      <c r="U955" s="144"/>
      <c r="V955" s="144"/>
      <c r="W955" s="144"/>
      <c r="X955" s="144"/>
      <c r="Y955" s="144"/>
      <c r="Z955" s="144"/>
    </row>
    <row r="956" spans="1:26" ht="18.75">
      <c r="A956" s="144"/>
      <c r="B956" s="141"/>
      <c r="C956" s="142"/>
      <c r="D956" s="143"/>
      <c r="E956" s="143"/>
      <c r="F956" s="144"/>
      <c r="G956" s="151"/>
      <c r="H956" s="151"/>
      <c r="I956" s="144"/>
      <c r="J956" s="144"/>
      <c r="K956" s="144"/>
      <c r="L956" s="144"/>
      <c r="M956" s="144"/>
      <c r="N956" s="144"/>
      <c r="O956" s="144"/>
      <c r="P956" s="144"/>
      <c r="Q956" s="144"/>
      <c r="R956" s="144"/>
      <c r="S956" s="144"/>
      <c r="T956" s="144"/>
      <c r="U956" s="144"/>
      <c r="V956" s="144"/>
      <c r="W956" s="144"/>
      <c r="X956" s="144"/>
      <c r="Y956" s="144"/>
      <c r="Z956" s="144"/>
    </row>
    <row r="957" spans="1:26" ht="18.75">
      <c r="A957" s="144"/>
      <c r="B957" s="141"/>
      <c r="C957" s="142"/>
      <c r="D957" s="143"/>
      <c r="E957" s="143"/>
      <c r="F957" s="144"/>
      <c r="G957" s="153"/>
      <c r="H957" s="153"/>
      <c r="I957" s="144"/>
      <c r="J957" s="144"/>
      <c r="K957" s="144"/>
      <c r="L957" s="144"/>
      <c r="M957" s="144"/>
      <c r="N957" s="144"/>
      <c r="O957" s="144"/>
      <c r="P957" s="144"/>
      <c r="Q957" s="144"/>
      <c r="R957" s="144"/>
      <c r="S957" s="144"/>
      <c r="T957" s="144"/>
      <c r="U957" s="144"/>
      <c r="V957" s="144"/>
      <c r="W957" s="144"/>
      <c r="X957" s="144"/>
      <c r="Y957" s="144"/>
      <c r="Z957" s="144"/>
    </row>
    <row r="958" spans="1:26" ht="18.75">
      <c r="A958" s="144"/>
      <c r="B958" s="141"/>
      <c r="C958" s="142"/>
      <c r="D958" s="143"/>
      <c r="E958" s="143"/>
      <c r="F958" s="144"/>
      <c r="G958" s="151"/>
      <c r="H958" s="151"/>
      <c r="I958" s="144"/>
      <c r="J958" s="144"/>
      <c r="K958" s="144"/>
      <c r="L958" s="144"/>
      <c r="M958" s="144"/>
      <c r="N958" s="144"/>
      <c r="O958" s="144"/>
      <c r="P958" s="144"/>
      <c r="Q958" s="144"/>
      <c r="R958" s="144"/>
      <c r="S958" s="144"/>
      <c r="T958" s="144"/>
      <c r="U958" s="144"/>
      <c r="V958" s="144"/>
      <c r="W958" s="144"/>
      <c r="X958" s="144"/>
      <c r="Y958" s="144"/>
      <c r="Z958" s="144"/>
    </row>
    <row r="959" spans="1:26" ht="18.75">
      <c r="A959" s="144"/>
      <c r="B959" s="141"/>
      <c r="C959" s="142"/>
      <c r="D959" s="143"/>
      <c r="E959" s="143"/>
      <c r="F959" s="144"/>
      <c r="G959" s="153"/>
      <c r="H959" s="153"/>
      <c r="I959" s="144"/>
      <c r="J959" s="144"/>
      <c r="K959" s="144"/>
      <c r="L959" s="144"/>
      <c r="M959" s="144"/>
      <c r="N959" s="144"/>
      <c r="O959" s="144"/>
      <c r="P959" s="144"/>
      <c r="Q959" s="144"/>
      <c r="R959" s="144"/>
      <c r="S959" s="144"/>
      <c r="T959" s="144"/>
      <c r="U959" s="144"/>
      <c r="V959" s="144"/>
      <c r="W959" s="144"/>
      <c r="X959" s="144"/>
      <c r="Y959" s="144"/>
      <c r="Z959" s="144"/>
    </row>
    <row r="960" spans="1:26" ht="18.75">
      <c r="A960" s="144"/>
      <c r="B960" s="141"/>
      <c r="C960" s="142"/>
      <c r="D960" s="143"/>
      <c r="E960" s="143"/>
      <c r="F960" s="144"/>
      <c r="G960" s="151"/>
      <c r="H960" s="151"/>
      <c r="I960" s="144"/>
      <c r="J960" s="144"/>
      <c r="K960" s="144"/>
      <c r="L960" s="144"/>
      <c r="M960" s="144"/>
      <c r="N960" s="144"/>
      <c r="O960" s="144"/>
      <c r="P960" s="144"/>
      <c r="Q960" s="144"/>
      <c r="R960" s="144"/>
      <c r="S960" s="144"/>
      <c r="T960" s="144"/>
      <c r="U960" s="144"/>
      <c r="V960" s="144"/>
      <c r="W960" s="144"/>
      <c r="X960" s="144"/>
      <c r="Y960" s="144"/>
      <c r="Z960" s="144"/>
    </row>
    <row r="961" spans="1:26" ht="18.75">
      <c r="A961" s="144"/>
      <c r="B961" s="141"/>
      <c r="C961" s="142"/>
      <c r="D961" s="143"/>
      <c r="E961" s="143"/>
      <c r="F961" s="144"/>
      <c r="G961" s="153"/>
      <c r="H961" s="153"/>
      <c r="I961" s="144"/>
      <c r="J961" s="144"/>
      <c r="K961" s="144"/>
      <c r="L961" s="144"/>
      <c r="M961" s="144"/>
      <c r="N961" s="144"/>
      <c r="O961" s="144"/>
      <c r="P961" s="144"/>
      <c r="Q961" s="144"/>
      <c r="R961" s="144"/>
      <c r="S961" s="144"/>
      <c r="T961" s="144"/>
      <c r="U961" s="144"/>
      <c r="V961" s="144"/>
      <c r="W961" s="144"/>
      <c r="X961" s="144"/>
      <c r="Y961" s="144"/>
      <c r="Z961" s="144"/>
    </row>
    <row r="962" spans="1:26" ht="18.75">
      <c r="A962" s="144"/>
      <c r="B962" s="141"/>
      <c r="C962" s="142"/>
      <c r="D962" s="143"/>
      <c r="E962" s="143"/>
      <c r="F962" s="144"/>
      <c r="G962" s="151"/>
      <c r="H962" s="151"/>
      <c r="I962" s="144"/>
      <c r="J962" s="144"/>
      <c r="K962" s="144"/>
      <c r="L962" s="144"/>
      <c r="M962" s="144"/>
      <c r="N962" s="144"/>
      <c r="O962" s="144"/>
      <c r="P962" s="144"/>
      <c r="Q962" s="144"/>
      <c r="R962" s="144"/>
      <c r="S962" s="144"/>
      <c r="T962" s="144"/>
      <c r="U962" s="144"/>
      <c r="V962" s="144"/>
      <c r="W962" s="144"/>
      <c r="X962" s="144"/>
      <c r="Y962" s="144"/>
      <c r="Z962" s="144"/>
    </row>
    <row r="963" spans="1:26" ht="18.75">
      <c r="A963" s="144"/>
      <c r="B963" s="141"/>
      <c r="C963" s="142"/>
      <c r="D963" s="143"/>
      <c r="E963" s="143"/>
      <c r="F963" s="144"/>
      <c r="G963" s="153"/>
      <c r="H963" s="153"/>
      <c r="I963" s="144"/>
      <c r="J963" s="144"/>
      <c r="K963" s="144"/>
      <c r="L963" s="144"/>
      <c r="M963" s="144"/>
      <c r="N963" s="144"/>
      <c r="O963" s="144"/>
      <c r="P963" s="144"/>
      <c r="Q963" s="144"/>
      <c r="R963" s="144"/>
      <c r="S963" s="144"/>
      <c r="T963" s="144"/>
      <c r="U963" s="144"/>
      <c r="V963" s="144"/>
      <c r="W963" s="144"/>
      <c r="X963" s="144"/>
      <c r="Y963" s="144"/>
      <c r="Z963" s="144"/>
    </row>
    <row r="964" spans="1:26" ht="18.75">
      <c r="A964" s="144"/>
      <c r="B964" s="141"/>
      <c r="C964" s="142"/>
      <c r="D964" s="143"/>
      <c r="E964" s="143"/>
      <c r="F964" s="144"/>
      <c r="G964" s="151"/>
      <c r="H964" s="151"/>
      <c r="I964" s="144"/>
      <c r="J964" s="144"/>
      <c r="K964" s="144"/>
      <c r="L964" s="144"/>
      <c r="M964" s="144"/>
      <c r="N964" s="144"/>
      <c r="O964" s="144"/>
      <c r="P964" s="144"/>
      <c r="Q964" s="144"/>
      <c r="R964" s="144"/>
      <c r="S964" s="144"/>
      <c r="T964" s="144"/>
      <c r="U964" s="144"/>
      <c r="V964" s="144"/>
      <c r="W964" s="144"/>
      <c r="X964" s="144"/>
      <c r="Y964" s="144"/>
      <c r="Z964" s="144"/>
    </row>
    <row r="965" spans="1:26" ht="18.75">
      <c r="A965" s="144"/>
      <c r="B965" s="141"/>
      <c r="C965" s="142"/>
      <c r="D965" s="143"/>
      <c r="E965" s="143"/>
      <c r="F965" s="144"/>
      <c r="G965" s="153"/>
      <c r="H965" s="153"/>
      <c r="I965" s="144"/>
      <c r="J965" s="144"/>
      <c r="K965" s="144"/>
      <c r="L965" s="144"/>
      <c r="M965" s="144"/>
      <c r="N965" s="144"/>
      <c r="O965" s="144"/>
      <c r="P965" s="144"/>
      <c r="Q965" s="144"/>
      <c r="R965" s="144"/>
      <c r="S965" s="144"/>
      <c r="T965" s="144"/>
      <c r="U965" s="144"/>
      <c r="V965" s="144"/>
      <c r="W965" s="144"/>
      <c r="X965" s="144"/>
      <c r="Y965" s="144"/>
      <c r="Z965" s="144"/>
    </row>
    <row r="966" spans="1:26" ht="18.75">
      <c r="A966" s="144"/>
      <c r="B966" s="141"/>
      <c r="C966" s="142"/>
      <c r="D966" s="143"/>
      <c r="E966" s="143"/>
      <c r="F966" s="144"/>
      <c r="G966" s="151"/>
      <c r="H966" s="151"/>
      <c r="I966" s="144"/>
      <c r="J966" s="144"/>
      <c r="K966" s="144"/>
      <c r="L966" s="144"/>
      <c r="M966" s="144"/>
      <c r="N966" s="144"/>
      <c r="O966" s="144"/>
      <c r="P966" s="144"/>
      <c r="Q966" s="144"/>
      <c r="R966" s="144"/>
      <c r="S966" s="144"/>
      <c r="T966" s="144"/>
      <c r="U966" s="144"/>
      <c r="V966" s="144"/>
      <c r="W966" s="144"/>
      <c r="X966" s="144"/>
      <c r="Y966" s="144"/>
      <c r="Z966" s="144"/>
    </row>
    <row r="967" spans="1:26" ht="18.75">
      <c r="A967" s="144"/>
      <c r="B967" s="141"/>
      <c r="C967" s="142"/>
      <c r="D967" s="143"/>
      <c r="E967" s="143"/>
      <c r="F967" s="144"/>
      <c r="G967" s="153"/>
      <c r="H967" s="153"/>
      <c r="I967" s="144"/>
      <c r="J967" s="144"/>
      <c r="K967" s="144"/>
      <c r="L967" s="144"/>
      <c r="M967" s="144"/>
      <c r="N967" s="144"/>
      <c r="O967" s="144"/>
      <c r="P967" s="144"/>
      <c r="Q967" s="144"/>
      <c r="R967" s="144"/>
      <c r="S967" s="144"/>
      <c r="T967" s="144"/>
      <c r="U967" s="144"/>
      <c r="V967" s="144"/>
      <c r="W967" s="144"/>
      <c r="X967" s="144"/>
      <c r="Y967" s="144"/>
      <c r="Z967" s="144"/>
    </row>
    <row r="968" spans="1:26" ht="18.75">
      <c r="A968" s="144"/>
      <c r="B968" s="141"/>
      <c r="C968" s="142"/>
      <c r="D968" s="143"/>
      <c r="E968" s="143"/>
      <c r="F968" s="144"/>
      <c r="G968" s="151"/>
      <c r="H968" s="151"/>
      <c r="I968" s="144"/>
      <c r="J968" s="144"/>
      <c r="K968" s="144"/>
      <c r="L968" s="144"/>
      <c r="M968" s="144"/>
      <c r="N968" s="144"/>
      <c r="O968" s="144"/>
      <c r="P968" s="144"/>
      <c r="Q968" s="144"/>
      <c r="R968" s="144"/>
      <c r="S968" s="144"/>
      <c r="T968" s="144"/>
      <c r="U968" s="144"/>
      <c r="V968" s="144"/>
      <c r="W968" s="144"/>
      <c r="X968" s="144"/>
      <c r="Y968" s="144"/>
      <c r="Z968" s="144"/>
    </row>
    <row r="969" spans="1:26" ht="18.75">
      <c r="A969" s="144"/>
      <c r="B969" s="141"/>
      <c r="C969" s="142"/>
      <c r="D969" s="143"/>
      <c r="E969" s="143"/>
      <c r="F969" s="144"/>
      <c r="G969" s="153"/>
      <c r="H969" s="153"/>
      <c r="I969" s="144"/>
      <c r="J969" s="144"/>
      <c r="K969" s="144"/>
      <c r="L969" s="144"/>
      <c r="M969" s="144"/>
      <c r="N969" s="144"/>
      <c r="O969" s="144"/>
      <c r="P969" s="144"/>
      <c r="Q969" s="144"/>
      <c r="R969" s="144"/>
      <c r="S969" s="144"/>
      <c r="T969" s="144"/>
      <c r="U969" s="144"/>
      <c r="V969" s="144"/>
      <c r="W969" s="144"/>
      <c r="X969" s="144"/>
      <c r="Y969" s="144"/>
      <c r="Z969" s="144"/>
    </row>
    <row r="970" spans="1:26" ht="18.75">
      <c r="A970" s="144"/>
      <c r="B970" s="141"/>
      <c r="C970" s="142"/>
      <c r="D970" s="143"/>
      <c r="E970" s="143"/>
      <c r="F970" s="144"/>
      <c r="G970" s="151"/>
      <c r="H970" s="151"/>
      <c r="I970" s="144"/>
      <c r="J970" s="144"/>
      <c r="K970" s="144"/>
      <c r="L970" s="144"/>
      <c r="M970" s="144"/>
      <c r="N970" s="144"/>
      <c r="O970" s="144"/>
      <c r="P970" s="144"/>
      <c r="Q970" s="144"/>
      <c r="R970" s="144"/>
      <c r="S970" s="144"/>
      <c r="T970" s="144"/>
      <c r="U970" s="144"/>
      <c r="V970" s="144"/>
      <c r="W970" s="144"/>
      <c r="X970" s="144"/>
      <c r="Y970" s="144"/>
      <c r="Z970" s="144"/>
    </row>
    <row r="971" spans="1:26" ht="18.75">
      <c r="A971" s="144"/>
      <c r="B971" s="141"/>
      <c r="C971" s="142"/>
      <c r="D971" s="143"/>
      <c r="E971" s="143"/>
      <c r="F971" s="144"/>
      <c r="G971" s="153"/>
      <c r="H971" s="153"/>
      <c r="I971" s="144"/>
      <c r="J971" s="144"/>
      <c r="K971" s="144"/>
      <c r="L971" s="144"/>
      <c r="M971" s="144"/>
      <c r="N971" s="144"/>
      <c r="O971" s="144"/>
      <c r="P971" s="144"/>
      <c r="Q971" s="144"/>
      <c r="R971" s="144"/>
      <c r="S971" s="144"/>
      <c r="T971" s="144"/>
      <c r="U971" s="144"/>
      <c r="V971" s="144"/>
      <c r="W971" s="144"/>
      <c r="X971" s="144"/>
      <c r="Y971" s="144"/>
      <c r="Z971" s="144"/>
    </row>
    <row r="972" spans="1:26" ht="18.75">
      <c r="A972" s="144"/>
      <c r="B972" s="141"/>
      <c r="C972" s="142"/>
      <c r="D972" s="143"/>
      <c r="E972" s="143"/>
      <c r="F972" s="144"/>
      <c r="G972" s="151"/>
      <c r="H972" s="151"/>
      <c r="I972" s="144"/>
      <c r="J972" s="144"/>
      <c r="K972" s="144"/>
      <c r="L972" s="144"/>
      <c r="M972" s="144"/>
      <c r="N972" s="144"/>
      <c r="O972" s="144"/>
      <c r="P972" s="144"/>
      <c r="Q972" s="144"/>
      <c r="R972" s="144"/>
      <c r="S972" s="144"/>
      <c r="T972" s="144"/>
      <c r="U972" s="144"/>
      <c r="V972" s="144"/>
      <c r="W972" s="144"/>
      <c r="X972" s="144"/>
      <c r="Y972" s="144"/>
      <c r="Z972" s="144"/>
    </row>
    <row r="973" spans="1:26" ht="18.75">
      <c r="A973" s="144"/>
      <c r="B973" s="141"/>
      <c r="C973" s="142"/>
      <c r="D973" s="143"/>
      <c r="E973" s="143"/>
      <c r="F973" s="144"/>
      <c r="G973" s="153"/>
      <c r="H973" s="153"/>
      <c r="I973" s="144"/>
      <c r="J973" s="144"/>
      <c r="K973" s="144"/>
      <c r="L973" s="144"/>
      <c r="M973" s="144"/>
      <c r="N973" s="144"/>
      <c r="O973" s="144"/>
      <c r="P973" s="144"/>
      <c r="Q973" s="144"/>
      <c r="R973" s="144"/>
      <c r="S973" s="144"/>
      <c r="T973" s="144"/>
      <c r="U973" s="144"/>
      <c r="V973" s="144"/>
      <c r="W973" s="144"/>
      <c r="X973" s="144"/>
      <c r="Y973" s="144"/>
      <c r="Z973" s="144"/>
    </row>
    <row r="974" spans="1:26" ht="18.75">
      <c r="A974" s="144"/>
      <c r="B974" s="141"/>
      <c r="C974" s="142"/>
      <c r="D974" s="143"/>
      <c r="E974" s="143"/>
      <c r="F974" s="144"/>
      <c r="G974" s="151"/>
      <c r="H974" s="151"/>
      <c r="I974" s="144"/>
      <c r="J974" s="144"/>
      <c r="K974" s="144"/>
      <c r="L974" s="144"/>
      <c r="M974" s="144"/>
      <c r="N974" s="144"/>
      <c r="O974" s="144"/>
      <c r="P974" s="144"/>
      <c r="Q974" s="144"/>
      <c r="R974" s="144"/>
      <c r="S974" s="144"/>
      <c r="T974" s="144"/>
      <c r="U974" s="144"/>
      <c r="V974" s="144"/>
      <c r="W974" s="144"/>
      <c r="X974" s="144"/>
      <c r="Y974" s="144"/>
      <c r="Z974" s="144"/>
    </row>
    <row r="975" spans="1:26" ht="18.75">
      <c r="A975" s="144"/>
      <c r="B975" s="141"/>
      <c r="C975" s="142"/>
      <c r="D975" s="143"/>
      <c r="E975" s="143"/>
      <c r="F975" s="144"/>
      <c r="G975" s="153"/>
      <c r="H975" s="153"/>
      <c r="I975" s="144"/>
      <c r="J975" s="144"/>
      <c r="K975" s="144"/>
      <c r="L975" s="144"/>
      <c r="M975" s="144"/>
      <c r="N975" s="144"/>
      <c r="O975" s="144"/>
      <c r="P975" s="144"/>
      <c r="Q975" s="144"/>
      <c r="R975" s="144"/>
      <c r="S975" s="144"/>
      <c r="T975" s="144"/>
      <c r="U975" s="144"/>
      <c r="V975" s="144"/>
      <c r="W975" s="144"/>
      <c r="X975" s="144"/>
      <c r="Y975" s="144"/>
      <c r="Z975" s="144"/>
    </row>
    <row r="976" spans="1:26" ht="18.75">
      <c r="A976" s="144"/>
      <c r="B976" s="141"/>
      <c r="C976" s="142"/>
      <c r="D976" s="143"/>
      <c r="E976" s="143"/>
      <c r="F976" s="144"/>
      <c r="G976" s="151"/>
      <c r="H976" s="151"/>
      <c r="I976" s="144"/>
      <c r="J976" s="144"/>
      <c r="K976" s="144"/>
      <c r="L976" s="144"/>
      <c r="M976" s="144"/>
      <c r="N976" s="144"/>
      <c r="O976" s="144"/>
      <c r="P976" s="144"/>
      <c r="Q976" s="144"/>
      <c r="R976" s="144"/>
      <c r="S976" s="144"/>
      <c r="T976" s="144"/>
      <c r="U976" s="144"/>
      <c r="V976" s="144"/>
      <c r="W976" s="144"/>
      <c r="X976" s="144"/>
      <c r="Y976" s="144"/>
      <c r="Z976" s="144"/>
    </row>
    <row r="977" spans="1:26" ht="18.75">
      <c r="A977" s="144"/>
      <c r="B977" s="141"/>
      <c r="C977" s="142"/>
      <c r="D977" s="143"/>
      <c r="E977" s="143"/>
      <c r="F977" s="144"/>
      <c r="G977" s="153"/>
      <c r="H977" s="153"/>
      <c r="I977" s="144"/>
      <c r="J977" s="144"/>
      <c r="K977" s="144"/>
      <c r="L977" s="144"/>
      <c r="M977" s="144"/>
      <c r="N977" s="144"/>
      <c r="O977" s="144"/>
      <c r="P977" s="144"/>
      <c r="Q977" s="144"/>
      <c r="R977" s="144"/>
      <c r="S977" s="144"/>
      <c r="T977" s="144"/>
      <c r="U977" s="144"/>
      <c r="V977" s="144"/>
      <c r="W977" s="144"/>
      <c r="X977" s="144"/>
      <c r="Y977" s="144"/>
      <c r="Z977" s="144"/>
    </row>
    <row r="978" spans="1:26" ht="18.75">
      <c r="A978" s="144"/>
      <c r="B978" s="141"/>
      <c r="C978" s="142"/>
      <c r="D978" s="143"/>
      <c r="E978" s="143"/>
      <c r="F978" s="144"/>
      <c r="G978" s="151"/>
      <c r="H978" s="151"/>
      <c r="I978" s="144"/>
      <c r="J978" s="144"/>
      <c r="K978" s="144"/>
      <c r="L978" s="144"/>
      <c r="M978" s="144"/>
      <c r="N978" s="144"/>
      <c r="O978" s="144"/>
      <c r="P978" s="144"/>
      <c r="Q978" s="144"/>
      <c r="R978" s="144"/>
      <c r="S978" s="144"/>
      <c r="T978" s="144"/>
      <c r="U978" s="144"/>
      <c r="V978" s="144"/>
      <c r="W978" s="144"/>
      <c r="X978" s="144"/>
      <c r="Y978" s="144"/>
      <c r="Z978" s="144"/>
    </row>
    <row r="979" spans="1:26" ht="18.75">
      <c r="A979" s="144"/>
      <c r="B979" s="141"/>
      <c r="C979" s="142"/>
      <c r="D979" s="143"/>
      <c r="E979" s="143"/>
      <c r="F979" s="144"/>
      <c r="G979" s="153"/>
      <c r="H979" s="153"/>
      <c r="I979" s="144"/>
      <c r="J979" s="144"/>
      <c r="K979" s="144"/>
      <c r="L979" s="144"/>
      <c r="M979" s="144"/>
      <c r="N979" s="144"/>
      <c r="O979" s="144"/>
      <c r="P979" s="144"/>
      <c r="Q979" s="144"/>
      <c r="R979" s="144"/>
      <c r="S979" s="144"/>
      <c r="T979" s="144"/>
      <c r="U979" s="144"/>
      <c r="V979" s="144"/>
      <c r="W979" s="144"/>
      <c r="X979" s="144"/>
      <c r="Y979" s="144"/>
      <c r="Z979" s="144"/>
    </row>
    <row r="980" spans="1:26" ht="18.75">
      <c r="A980" s="144"/>
      <c r="B980" s="141"/>
      <c r="C980" s="142"/>
      <c r="D980" s="143"/>
      <c r="E980" s="143"/>
      <c r="F980" s="144"/>
      <c r="G980" s="151"/>
      <c r="H980" s="151"/>
      <c r="I980" s="144"/>
      <c r="J980" s="144"/>
      <c r="K980" s="144"/>
      <c r="L980" s="144"/>
      <c r="M980" s="144"/>
      <c r="N980" s="144"/>
      <c r="O980" s="144"/>
      <c r="P980" s="144"/>
      <c r="Q980" s="144"/>
      <c r="R980" s="144"/>
      <c r="S980" s="144"/>
      <c r="T980" s="144"/>
      <c r="U980" s="144"/>
      <c r="V980" s="144"/>
      <c r="W980" s="144"/>
      <c r="X980" s="144"/>
      <c r="Y980" s="144"/>
      <c r="Z980" s="144"/>
    </row>
    <row r="981" spans="1:26" ht="18.75">
      <c r="A981" s="144"/>
      <c r="B981" s="141"/>
      <c r="C981" s="142"/>
      <c r="D981" s="143"/>
      <c r="E981" s="143"/>
      <c r="F981" s="144"/>
      <c r="G981" s="153"/>
      <c r="H981" s="153"/>
      <c r="I981" s="144"/>
      <c r="J981" s="144"/>
      <c r="K981" s="144"/>
      <c r="L981" s="144"/>
      <c r="M981" s="144"/>
      <c r="N981" s="144"/>
      <c r="O981" s="144"/>
      <c r="P981" s="144"/>
      <c r="Q981" s="144"/>
      <c r="R981" s="144"/>
      <c r="S981" s="144"/>
      <c r="T981" s="144"/>
      <c r="U981" s="144"/>
      <c r="V981" s="144"/>
      <c r="W981" s="144"/>
      <c r="X981" s="144"/>
      <c r="Y981" s="144"/>
      <c r="Z981" s="144"/>
    </row>
    <row r="982" spans="1:26" ht="18.75">
      <c r="A982" s="144"/>
      <c r="B982" s="141"/>
      <c r="C982" s="142"/>
      <c r="D982" s="143"/>
      <c r="E982" s="143"/>
      <c r="F982" s="144"/>
      <c r="G982" s="151"/>
      <c r="H982" s="151"/>
      <c r="I982" s="144"/>
      <c r="J982" s="144"/>
      <c r="K982" s="144"/>
      <c r="L982" s="144"/>
      <c r="M982" s="144"/>
      <c r="N982" s="144"/>
      <c r="O982" s="144"/>
      <c r="P982" s="144"/>
      <c r="Q982" s="144"/>
      <c r="R982" s="144"/>
      <c r="S982" s="144"/>
      <c r="T982" s="144"/>
      <c r="U982" s="144"/>
      <c r="V982" s="144"/>
      <c r="W982" s="144"/>
      <c r="X982" s="144"/>
      <c r="Y982" s="144"/>
      <c r="Z982" s="144"/>
    </row>
    <row r="983" spans="1:26" ht="18.75">
      <c r="A983" s="144"/>
      <c r="B983" s="141"/>
      <c r="C983" s="142"/>
      <c r="D983" s="143"/>
      <c r="E983" s="143"/>
      <c r="F983" s="144"/>
      <c r="G983" s="153"/>
      <c r="H983" s="153"/>
      <c r="I983" s="144"/>
      <c r="J983" s="144"/>
      <c r="K983" s="144"/>
      <c r="L983" s="144"/>
      <c r="M983" s="144"/>
      <c r="N983" s="144"/>
      <c r="O983" s="144"/>
      <c r="P983" s="144"/>
      <c r="Q983" s="144"/>
      <c r="R983" s="144"/>
      <c r="S983" s="144"/>
      <c r="T983" s="144"/>
      <c r="U983" s="144"/>
      <c r="V983" s="144"/>
      <c r="W983" s="144"/>
      <c r="X983" s="144"/>
      <c r="Y983" s="144"/>
      <c r="Z983" s="144"/>
    </row>
    <row r="984" spans="1:26" ht="18.75">
      <c r="A984" s="144"/>
      <c r="B984" s="141"/>
      <c r="C984" s="142"/>
      <c r="D984" s="143"/>
      <c r="E984" s="143"/>
      <c r="F984" s="144"/>
      <c r="G984" s="151"/>
      <c r="H984" s="151"/>
      <c r="I984" s="144"/>
      <c r="J984" s="144"/>
      <c r="K984" s="144"/>
      <c r="L984" s="144"/>
      <c r="M984" s="144"/>
      <c r="N984" s="144"/>
      <c r="O984" s="144"/>
      <c r="P984" s="144"/>
      <c r="Q984" s="144"/>
      <c r="R984" s="144"/>
      <c r="S984" s="144"/>
      <c r="T984" s="144"/>
      <c r="U984" s="144"/>
      <c r="V984" s="144"/>
      <c r="W984" s="144"/>
      <c r="X984" s="144"/>
      <c r="Y984" s="144"/>
      <c r="Z984" s="144"/>
    </row>
    <row r="985" spans="1:26" ht="18.75">
      <c r="A985" s="144"/>
      <c r="B985" s="141"/>
      <c r="C985" s="142"/>
      <c r="D985" s="143"/>
      <c r="E985" s="143"/>
      <c r="F985" s="144"/>
      <c r="G985" s="153"/>
      <c r="H985" s="153"/>
      <c r="I985" s="144"/>
      <c r="J985" s="144"/>
      <c r="K985" s="144"/>
      <c r="L985" s="144"/>
      <c r="M985" s="144"/>
      <c r="N985" s="144"/>
      <c r="O985" s="144"/>
      <c r="P985" s="144"/>
      <c r="Q985" s="144"/>
      <c r="R985" s="144"/>
      <c r="S985" s="144"/>
      <c r="T985" s="144"/>
      <c r="U985" s="144"/>
      <c r="V985" s="144"/>
      <c r="W985" s="144"/>
      <c r="X985" s="144"/>
      <c r="Y985" s="144"/>
      <c r="Z985" s="144"/>
    </row>
    <row r="986" spans="1:26" ht="18.75">
      <c r="A986" s="144"/>
      <c r="B986" s="141"/>
      <c r="C986" s="142"/>
      <c r="D986" s="143"/>
      <c r="E986" s="143"/>
      <c r="F986" s="144"/>
      <c r="G986" s="151"/>
      <c r="H986" s="151"/>
      <c r="I986" s="144"/>
      <c r="J986" s="144"/>
      <c r="K986" s="144"/>
      <c r="L986" s="144"/>
      <c r="M986" s="144"/>
      <c r="N986" s="144"/>
      <c r="O986" s="144"/>
      <c r="P986" s="144"/>
      <c r="Q986" s="144"/>
      <c r="R986" s="144"/>
      <c r="S986" s="144"/>
      <c r="T986" s="144"/>
      <c r="U986" s="144"/>
      <c r="V986" s="144"/>
      <c r="W986" s="144"/>
      <c r="X986" s="144"/>
      <c r="Y986" s="144"/>
      <c r="Z986" s="144"/>
    </row>
    <row r="987" spans="1:26" ht="18.75">
      <c r="A987" s="144"/>
      <c r="B987" s="141"/>
      <c r="C987" s="142"/>
      <c r="D987" s="143"/>
      <c r="E987" s="143"/>
      <c r="F987" s="144"/>
      <c r="G987" s="153"/>
      <c r="H987" s="153"/>
      <c r="I987" s="144"/>
      <c r="J987" s="144"/>
      <c r="K987" s="144"/>
      <c r="L987" s="144"/>
      <c r="M987" s="144"/>
      <c r="N987" s="144"/>
      <c r="O987" s="144"/>
      <c r="P987" s="144"/>
      <c r="Q987" s="144"/>
      <c r="R987" s="144"/>
      <c r="S987" s="144"/>
      <c r="T987" s="144"/>
      <c r="U987" s="144"/>
      <c r="V987" s="144"/>
      <c r="W987" s="144"/>
      <c r="X987" s="144"/>
      <c r="Y987" s="144"/>
      <c r="Z987" s="144"/>
    </row>
    <row r="988" spans="1:26" ht="18.75">
      <c r="A988" s="144"/>
      <c r="B988" s="141"/>
      <c r="C988" s="142"/>
      <c r="D988" s="143"/>
      <c r="E988" s="143"/>
      <c r="F988" s="144"/>
      <c r="G988" s="151"/>
      <c r="H988" s="151"/>
      <c r="I988" s="144"/>
      <c r="J988" s="144"/>
      <c r="K988" s="144"/>
      <c r="L988" s="144"/>
      <c r="M988" s="144"/>
      <c r="N988" s="144"/>
      <c r="O988" s="144"/>
      <c r="P988" s="144"/>
      <c r="Q988" s="144"/>
      <c r="R988" s="144"/>
      <c r="S988" s="144"/>
      <c r="T988" s="144"/>
      <c r="U988" s="144"/>
      <c r="V988" s="144"/>
      <c r="W988" s="144"/>
      <c r="X988" s="144"/>
      <c r="Y988" s="144"/>
      <c r="Z988" s="144"/>
    </row>
    <row r="989" spans="1:26" ht="18.75">
      <c r="A989" s="144"/>
      <c r="B989" s="141"/>
      <c r="C989" s="142"/>
      <c r="D989" s="143"/>
      <c r="E989" s="143"/>
      <c r="F989" s="144"/>
      <c r="G989" s="153"/>
      <c r="H989" s="153"/>
      <c r="I989" s="144"/>
      <c r="J989" s="144"/>
      <c r="K989" s="144"/>
      <c r="L989" s="144"/>
      <c r="M989" s="144"/>
      <c r="N989" s="144"/>
      <c r="O989" s="144"/>
      <c r="P989" s="144"/>
      <c r="Q989" s="144"/>
      <c r="R989" s="144"/>
      <c r="S989" s="144"/>
      <c r="T989" s="144"/>
      <c r="U989" s="144"/>
      <c r="V989" s="144"/>
      <c r="W989" s="144"/>
      <c r="X989" s="144"/>
      <c r="Y989" s="144"/>
      <c r="Z989" s="144"/>
    </row>
    <row r="990" spans="1:26" ht="18.75">
      <c r="A990" s="144"/>
      <c r="B990" s="141"/>
      <c r="C990" s="142"/>
      <c r="D990" s="143"/>
      <c r="E990" s="143"/>
      <c r="F990" s="144"/>
      <c r="G990" s="151"/>
      <c r="H990" s="151"/>
      <c r="I990" s="144"/>
      <c r="J990" s="144"/>
      <c r="K990" s="144"/>
      <c r="L990" s="144"/>
      <c r="M990" s="144"/>
      <c r="N990" s="144"/>
      <c r="O990" s="144"/>
      <c r="P990" s="144"/>
      <c r="Q990" s="144"/>
      <c r="R990" s="144"/>
      <c r="S990" s="144"/>
      <c r="T990" s="144"/>
      <c r="U990" s="144"/>
      <c r="V990" s="144"/>
      <c r="W990" s="144"/>
      <c r="X990" s="144"/>
      <c r="Y990" s="144"/>
      <c r="Z990" s="144"/>
    </row>
    <row r="991" spans="1:26" ht="18.75">
      <c r="A991" s="144"/>
      <c r="B991" s="141"/>
      <c r="C991" s="142"/>
      <c r="D991" s="143"/>
      <c r="E991" s="143"/>
      <c r="F991" s="144"/>
      <c r="G991" s="153"/>
      <c r="H991" s="153"/>
      <c r="I991" s="144"/>
      <c r="J991" s="144"/>
      <c r="K991" s="144"/>
      <c r="L991" s="144"/>
      <c r="M991" s="144"/>
      <c r="N991" s="144"/>
      <c r="O991" s="144"/>
      <c r="P991" s="144"/>
      <c r="Q991" s="144"/>
      <c r="R991" s="144"/>
      <c r="S991" s="144"/>
      <c r="T991" s="144"/>
      <c r="U991" s="144"/>
      <c r="V991" s="144"/>
      <c r="W991" s="144"/>
      <c r="X991" s="144"/>
      <c r="Y991" s="144"/>
      <c r="Z991" s="144"/>
    </row>
    <row r="992" spans="1:26" ht="18.75">
      <c r="A992" s="144"/>
      <c r="B992" s="141"/>
      <c r="C992" s="142"/>
      <c r="D992" s="143"/>
      <c r="E992" s="143"/>
      <c r="F992" s="144"/>
      <c r="G992" s="151"/>
      <c r="H992" s="151"/>
      <c r="I992" s="144"/>
      <c r="J992" s="144"/>
      <c r="K992" s="144"/>
      <c r="L992" s="144"/>
      <c r="M992" s="144"/>
      <c r="N992" s="144"/>
      <c r="O992" s="144"/>
      <c r="P992" s="144"/>
      <c r="Q992" s="144"/>
      <c r="R992" s="144"/>
      <c r="S992" s="144"/>
      <c r="T992" s="144"/>
      <c r="U992" s="144"/>
      <c r="V992" s="144"/>
      <c r="W992" s="144"/>
      <c r="X992" s="144"/>
      <c r="Y992" s="144"/>
      <c r="Z992" s="144"/>
    </row>
    <row r="993" spans="1:26" ht="18.75">
      <c r="A993" s="144"/>
      <c r="B993" s="141"/>
      <c r="C993" s="142"/>
      <c r="D993" s="143"/>
      <c r="E993" s="143"/>
      <c r="F993" s="144"/>
      <c r="G993" s="153"/>
      <c r="H993" s="153"/>
      <c r="I993" s="144"/>
      <c r="J993" s="144"/>
      <c r="K993" s="144"/>
      <c r="L993" s="144"/>
      <c r="M993" s="144"/>
      <c r="N993" s="144"/>
      <c r="O993" s="144"/>
      <c r="P993" s="144"/>
      <c r="Q993" s="144"/>
      <c r="R993" s="144"/>
      <c r="S993" s="144"/>
      <c r="T993" s="144"/>
      <c r="U993" s="144"/>
      <c r="V993" s="144"/>
      <c r="W993" s="144"/>
      <c r="X993" s="144"/>
      <c r="Y993" s="144"/>
      <c r="Z993" s="144"/>
    </row>
    <row r="994" spans="1:26" ht="18.75">
      <c r="A994" s="144"/>
      <c r="B994" s="141"/>
      <c r="C994" s="142"/>
      <c r="D994" s="143"/>
      <c r="E994" s="143"/>
      <c r="F994" s="144"/>
      <c r="G994" s="151"/>
      <c r="H994" s="151"/>
      <c r="I994" s="144"/>
      <c r="J994" s="144"/>
      <c r="K994" s="144"/>
      <c r="L994" s="144"/>
      <c r="M994" s="144"/>
      <c r="N994" s="144"/>
      <c r="O994" s="144"/>
      <c r="P994" s="144"/>
      <c r="Q994" s="144"/>
      <c r="R994" s="144"/>
      <c r="S994" s="144"/>
      <c r="T994" s="144"/>
      <c r="U994" s="144"/>
      <c r="V994" s="144"/>
      <c r="W994" s="144"/>
      <c r="X994" s="144"/>
      <c r="Y994" s="144"/>
      <c r="Z994" s="144"/>
    </row>
    <row r="995" spans="1:26" ht="18.75">
      <c r="A995" s="144"/>
      <c r="B995" s="141"/>
      <c r="C995" s="142"/>
      <c r="D995" s="143"/>
      <c r="E995" s="143"/>
      <c r="F995" s="144"/>
      <c r="G995" s="153"/>
      <c r="H995" s="153"/>
      <c r="I995" s="144"/>
      <c r="J995" s="144"/>
      <c r="K995" s="144"/>
      <c r="L995" s="144"/>
      <c r="M995" s="144"/>
      <c r="N995" s="144"/>
      <c r="O995" s="144"/>
      <c r="P995" s="144"/>
      <c r="Q995" s="144"/>
      <c r="R995" s="144"/>
      <c r="S995" s="144"/>
      <c r="T995" s="144"/>
      <c r="U995" s="144"/>
      <c r="V995" s="144"/>
      <c r="W995" s="144"/>
      <c r="X995" s="144"/>
      <c r="Y995" s="144"/>
      <c r="Z995" s="144"/>
    </row>
    <row r="996" spans="1:26" ht="18.75">
      <c r="A996" s="144"/>
      <c r="B996" s="141"/>
      <c r="C996" s="142"/>
      <c r="D996" s="143"/>
      <c r="E996" s="143"/>
      <c r="F996" s="144"/>
      <c r="G996" s="151"/>
      <c r="H996" s="151"/>
      <c r="I996" s="144"/>
      <c r="J996" s="144"/>
      <c r="K996" s="144"/>
      <c r="L996" s="144"/>
      <c r="M996" s="144"/>
      <c r="N996" s="144"/>
      <c r="O996" s="144"/>
      <c r="P996" s="144"/>
      <c r="Q996" s="144"/>
      <c r="R996" s="144"/>
      <c r="S996" s="144"/>
      <c r="T996" s="144"/>
      <c r="U996" s="144"/>
      <c r="V996" s="144"/>
      <c r="W996" s="144"/>
      <c r="X996" s="144"/>
      <c r="Y996" s="144"/>
      <c r="Z996" s="144"/>
    </row>
    <row r="997" spans="1:26" ht="18.75">
      <c r="A997" s="144"/>
      <c r="B997" s="141"/>
      <c r="C997" s="142"/>
      <c r="D997" s="143"/>
      <c r="E997" s="143"/>
      <c r="F997" s="144"/>
      <c r="G997" s="153"/>
      <c r="H997" s="153"/>
      <c r="I997" s="144"/>
      <c r="J997" s="144"/>
      <c r="K997" s="144"/>
      <c r="L997" s="144"/>
      <c r="M997" s="144"/>
      <c r="N997" s="144"/>
      <c r="O997" s="144"/>
      <c r="P997" s="144"/>
      <c r="Q997" s="144"/>
      <c r="R997" s="144"/>
      <c r="S997" s="144"/>
      <c r="T997" s="144"/>
      <c r="U997" s="144"/>
      <c r="V997" s="144"/>
      <c r="W997" s="144"/>
      <c r="X997" s="144"/>
      <c r="Y997" s="144"/>
      <c r="Z997" s="144"/>
    </row>
    <row r="998" spans="1:26" ht="18.75">
      <c r="A998" s="144"/>
      <c r="B998" s="141"/>
      <c r="C998" s="142"/>
      <c r="D998" s="143"/>
      <c r="E998" s="143"/>
      <c r="F998" s="144"/>
      <c r="G998" s="151"/>
      <c r="H998" s="151"/>
      <c r="I998" s="144"/>
      <c r="J998" s="144"/>
      <c r="K998" s="144"/>
      <c r="L998" s="144"/>
      <c r="M998" s="144"/>
      <c r="N998" s="144"/>
      <c r="O998" s="144"/>
      <c r="P998" s="144"/>
      <c r="Q998" s="144"/>
      <c r="R998" s="144"/>
      <c r="S998" s="144"/>
      <c r="T998" s="144"/>
      <c r="U998" s="144"/>
      <c r="V998" s="144"/>
      <c r="W998" s="144"/>
      <c r="X998" s="144"/>
      <c r="Y998" s="144"/>
      <c r="Z998" s="144"/>
    </row>
    <row r="999" spans="1:26" ht="18.75">
      <c r="A999" s="144"/>
      <c r="B999" s="141"/>
      <c r="C999" s="142"/>
      <c r="D999" s="143"/>
      <c r="E999" s="143"/>
      <c r="F999" s="144"/>
      <c r="G999" s="153"/>
      <c r="H999" s="153"/>
      <c r="I999" s="144"/>
      <c r="J999" s="144"/>
      <c r="K999" s="144"/>
      <c r="L999" s="144"/>
      <c r="M999" s="144"/>
      <c r="N999" s="144"/>
      <c r="O999" s="144"/>
      <c r="P999" s="144"/>
      <c r="Q999" s="144"/>
      <c r="R999" s="144"/>
      <c r="S999" s="144"/>
      <c r="T999" s="144"/>
      <c r="U999" s="144"/>
      <c r="V999" s="144"/>
      <c r="W999" s="144"/>
      <c r="X999" s="144"/>
      <c r="Y999" s="144"/>
      <c r="Z999" s="144"/>
    </row>
    <row r="1000" spans="1:26" ht="18.75">
      <c r="A1000" s="144"/>
      <c r="B1000" s="141"/>
      <c r="C1000" s="142"/>
      <c r="D1000" s="143"/>
      <c r="E1000" s="143"/>
      <c r="F1000" s="144"/>
      <c r="G1000" s="151"/>
      <c r="H1000" s="151"/>
      <c r="I1000" s="144"/>
      <c r="J1000" s="144"/>
      <c r="K1000" s="144"/>
      <c r="L1000" s="144"/>
      <c r="M1000" s="144"/>
      <c r="N1000" s="144"/>
      <c r="O1000" s="144"/>
      <c r="P1000" s="144"/>
      <c r="Q1000" s="144"/>
      <c r="R1000" s="144"/>
      <c r="S1000" s="144"/>
      <c r="T1000" s="144"/>
      <c r="U1000" s="144"/>
      <c r="V1000" s="144"/>
      <c r="W1000" s="144"/>
      <c r="X1000" s="144"/>
      <c r="Y1000" s="144"/>
      <c r="Z1000" s="144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baseColWidth="10" defaultColWidth="14.42578125" defaultRowHeight="15" customHeight="1"/>
  <cols>
    <col min="2" max="2" width="45" customWidth="1"/>
    <col min="3" max="3" width="39.140625" customWidth="1"/>
  </cols>
  <sheetData>
    <row r="1" spans="1:26" ht="15" customHeight="1">
      <c r="A1" s="140" t="str">
        <f ca="1">IFERROR(__xludf.DUMMYFUNCTION("query(Subida!A1:Z1000,""select * where A='FIN' OR A='FIN/PROPÓSITO'"")"),"")</f>
        <v/>
      </c>
      <c r="B1" s="141" t="str">
        <f ca="1">IFERROR(__xludf.DUMMYFUNCTION("""COMPUTED_VALUE"""),"RESUMEN NARRATIVO")</f>
        <v>RESUMEN NARRATIVO</v>
      </c>
      <c r="C1" s="142" t="str">
        <f ca="1">IFERROR(__xludf.DUMMYFUNCTION("""COMPUTED_VALUE"""),"OBJETIVOS DE RESULTADO")</f>
        <v>OBJETIVOS DE RESULTADO</v>
      </c>
      <c r="D1" s="154" t="str">
        <f ca="1">IFERROR(__xludf.DUMMYFUNCTION("""COMPUTED_VALUE"""),"UNIDAD DE MEDIDA")</f>
        <v>UNIDAD DE MEDIDA</v>
      </c>
      <c r="E1" s="143" t="str">
        <f ca="1">IFERROR(__xludf.DUMMYFUNCTION("""COMPUTED_VALUE"""),"Acumulado")</f>
        <v>Acumulado</v>
      </c>
      <c r="F1" s="144" t="str">
        <f ca="1">IFERROR(__xludf.DUMMYFUNCTION("""COMPUTED_VALUE"""),"META PROGRAMADA")</f>
        <v>META PROGRAMADA</v>
      </c>
      <c r="G1" s="145" t="str">
        <f ca="1">IFERROR(__xludf.DUMMYFUNCTION("""COMPUTED_VALUE"""),"cOMENTARIO")</f>
        <v>cOMENTARIO</v>
      </c>
      <c r="H1" s="145" t="str">
        <f ca="1">IFERROR(__xludf.DUMMYFUNCTION("""COMPUTED_VALUE"""),"SUBIDA")</f>
        <v>SUBIDA</v>
      </c>
      <c r="I1" s="144" t="str">
        <f ca="1">IFERROR(__xludf.DUMMYFUNCTION("""COMPUTED_VALUE"""),"")</f>
        <v/>
      </c>
      <c r="J1" s="144" t="str">
        <f ca="1">IFERROR(__xludf.DUMMYFUNCTION("""COMPUTED_VALUE"""),"")</f>
        <v/>
      </c>
      <c r="K1" s="144" t="str">
        <f ca="1">IFERROR(__xludf.DUMMYFUNCTION("""COMPUTED_VALUE"""),"")</f>
        <v/>
      </c>
      <c r="L1" s="144" t="str">
        <f ca="1">IFERROR(__xludf.DUMMYFUNCTION("""COMPUTED_VALUE"""),"")</f>
        <v/>
      </c>
      <c r="M1" s="144" t="str">
        <f ca="1">IFERROR(__xludf.DUMMYFUNCTION("""COMPUTED_VALUE"""),"")</f>
        <v/>
      </c>
      <c r="N1" s="144" t="str">
        <f ca="1">IFERROR(__xludf.DUMMYFUNCTION("""COMPUTED_VALUE"""),"")</f>
        <v/>
      </c>
      <c r="O1" s="144" t="str">
        <f ca="1">IFERROR(__xludf.DUMMYFUNCTION("""COMPUTED_VALUE"""),"")</f>
        <v/>
      </c>
      <c r="P1" s="144" t="str">
        <f ca="1">IFERROR(__xludf.DUMMYFUNCTION("""COMPUTED_VALUE"""),"")</f>
        <v/>
      </c>
      <c r="Q1" s="144" t="str">
        <f ca="1">IFERROR(__xludf.DUMMYFUNCTION("""COMPUTED_VALUE"""),"")</f>
        <v/>
      </c>
      <c r="R1" s="144" t="str">
        <f ca="1">IFERROR(__xludf.DUMMYFUNCTION("""COMPUTED_VALUE"""),"")</f>
        <v/>
      </c>
      <c r="S1" s="144" t="str">
        <f ca="1">IFERROR(__xludf.DUMMYFUNCTION("""COMPUTED_VALUE"""),"")</f>
        <v/>
      </c>
      <c r="T1" s="144" t="str">
        <f ca="1">IFERROR(__xludf.DUMMYFUNCTION("""COMPUTED_VALUE"""),"")</f>
        <v/>
      </c>
      <c r="U1" s="144" t="str">
        <f ca="1">IFERROR(__xludf.DUMMYFUNCTION("""COMPUTED_VALUE"""),"")</f>
        <v/>
      </c>
      <c r="V1" s="144" t="str">
        <f ca="1">IFERROR(__xludf.DUMMYFUNCTION("""COMPUTED_VALUE"""),"")</f>
        <v/>
      </c>
      <c r="W1" s="144" t="str">
        <f ca="1">IFERROR(__xludf.DUMMYFUNCTION("""COMPUTED_VALUE"""),"")</f>
        <v/>
      </c>
      <c r="X1" s="144" t="str">
        <f ca="1">IFERROR(__xludf.DUMMYFUNCTION("""COMPUTED_VALUE"""),"")</f>
        <v/>
      </c>
      <c r="Y1" s="144" t="str">
        <f ca="1">IFERROR(__xludf.DUMMYFUNCTION("""COMPUTED_VALUE"""),"")</f>
        <v/>
      </c>
      <c r="Z1" s="144" t="str">
        <f ca="1">IFERROR(__xludf.DUMMYFUNCTION("""COMPUTED_VALUE"""),"")</f>
        <v/>
      </c>
    </row>
    <row r="2" spans="1:26" ht="15" customHeight="1">
      <c r="A2" s="144" t="str">
        <f ca="1">IFERROR(__xludf.DUMMYFUNCTION("""COMPUTED_VALUE"""),"FIN")</f>
        <v>FIN</v>
      </c>
      <c r="B2" s="141" t="str">
        <f ca="1">IFERROR(__xludf.DUMMYFUNCTION("""COMPUTED_VALUE"""),"ACTIVIDAD 1.1")</f>
        <v>ACTIVIDAD 1.1</v>
      </c>
      <c r="C2" s="142" t="str">
        <f ca="1">IFERROR(__xludf.DUMMYFUNCTION("""COMPUTED_VALUE"""),"Apoyos asistenciales entregados a la población vulnerable que radica en la municipalidad de Guadalajara y en tránsito en el programa de Trabajo Social Asistencial durante el 2023")</f>
        <v>Apoyos asistenciales entregados a la población vulnerable que radica en la municipalidad de Guadalajara y en tránsito en el programa de Trabajo Social Asistencial durante el 2023</v>
      </c>
      <c r="D2" s="154" t="str">
        <f ca="1">IFERROR(__xludf.DUMMYFUNCTION("""COMPUTED_VALUE"""),"Porcentaje")</f>
        <v>Porcentaje</v>
      </c>
      <c r="E2" s="143">
        <f ca="1">IFERROR(__xludf.DUMMYFUNCTION("""COMPUTED_VALUE"""),463)</f>
        <v>463</v>
      </c>
      <c r="F2" s="144">
        <f ca="1">IFERROR(__xludf.DUMMYFUNCTION("""COMPUTED_VALUE"""),7450)</f>
        <v>7450</v>
      </c>
      <c r="G2" s="146" t="str">
        <f ca="1">IFERROR(__xludf.DUMMYFUNCTION("""COMPUTED_VALUE"""),"Sin comentarios")</f>
        <v>Sin comentarios</v>
      </c>
      <c r="H2" s="147" t="b">
        <f ca="1">IFERROR(__xludf.DUMMYFUNCTION("""COMPUTED_VALUE"""),TRUE)</f>
        <v>1</v>
      </c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</row>
    <row r="3" spans="1:26" ht="15" customHeight="1">
      <c r="A3" s="144" t="str">
        <f ca="1">IFERROR(__xludf.DUMMYFUNCTION("""COMPUTED_VALUE"""),"FIN/PROPÓSITO")</f>
        <v>FIN/PROPÓSITO</v>
      </c>
      <c r="B3" s="141" t="str">
        <f ca="1">IFERROR(__xludf.DUMMYFUNCTION("""COMPUTED_VALUE"""),"ACTIVIDAD 1.3")</f>
        <v>ACTIVIDAD 1.3</v>
      </c>
      <c r="C3" s="142" t="str">
        <f ca="1">IFERROR(__xludf.DUMMYFUNCTION("""COMPUTED_VALUE"""),"Servicios médicos de atención y prevención de primer nivel brindados, durante el 2023")</f>
        <v>Servicios médicos de atención y prevención de primer nivel brindados, durante el 2023</v>
      </c>
      <c r="D3" s="154" t="str">
        <f ca="1">IFERROR(__xludf.DUMMYFUNCTION("""COMPUTED_VALUE"""),"Porcentaje")</f>
        <v>Porcentaje</v>
      </c>
      <c r="E3" s="143">
        <f ca="1">IFERROR(__xludf.DUMMYFUNCTION("""COMPUTED_VALUE"""),3448)</f>
        <v>3448</v>
      </c>
      <c r="F3" s="144">
        <f ca="1">IFERROR(__xludf.DUMMYFUNCTION("""COMPUTED_VALUE"""),5000)</f>
        <v>5000</v>
      </c>
      <c r="G3" s="146" t="str">
        <f ca="1">IFERROR(__xludf.DUMMYFUNCTION("""COMPUTED_VALUE"""),"Sin comentarios")</f>
        <v>Sin comentarios</v>
      </c>
      <c r="H3" s="148" t="b">
        <f ca="1">IFERROR(__xludf.DUMMYFUNCTION("""COMPUTED_VALUE"""),TRUE)</f>
        <v>1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</row>
    <row r="4" spans="1:26" ht="15" customHeight="1">
      <c r="A4" s="144" t="str">
        <f ca="1">IFERROR(__xludf.DUMMYFUNCTION("""COMPUTED_VALUE"""),"FIN")</f>
        <v>FIN</v>
      </c>
      <c r="B4" s="141" t="str">
        <f ca="1">IFERROR(__xludf.DUMMYFUNCTION("""COMPUTED_VALUE"""),"ACTIVIDAD 1.4")</f>
        <v>ACTIVIDAD 1.4</v>
      </c>
      <c r="C4" s="142" t="str">
        <f ca="1">IFERROR(__xludf.DUMMYFUNCTION("""COMPUTED_VALUE"""),"Alimentos nutritivos e inocuos entregados a la población con inseguridad alimentaria en el municipio de Guadalajara, durante el 2023")</f>
        <v>Alimentos nutritivos e inocuos entregados a la población con inseguridad alimentaria en el municipio de Guadalajara, durante el 2023</v>
      </c>
      <c r="D4" s="154" t="str">
        <f ca="1">IFERROR(__xludf.DUMMYFUNCTION("""COMPUTED_VALUE"""),"Porcentaje")</f>
        <v>Porcentaje</v>
      </c>
      <c r="E4" s="143">
        <f ca="1">IFERROR(__xludf.DUMMYFUNCTION("""COMPUTED_VALUE"""),7578)</f>
        <v>7578</v>
      </c>
      <c r="F4" s="144">
        <f ca="1">IFERROR(__xludf.DUMMYFUNCTION("""COMPUTED_VALUE"""),8791)</f>
        <v>8791</v>
      </c>
      <c r="G4" s="146" t="str">
        <f ca="1">IFERROR(__xludf.DUMMYFUNCTION("""COMPUTED_VALUE"""),"Sin comentarios")</f>
        <v>Sin comentarios</v>
      </c>
      <c r="H4" s="149" t="b">
        <f ca="1">IFERROR(__xludf.DUMMYFUNCTION("""COMPUTED_VALUE"""),TRUE)</f>
        <v>1</v>
      </c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</row>
    <row r="5" spans="1:26" ht="15" customHeight="1">
      <c r="A5" s="144" t="str">
        <f ca="1">IFERROR(__xludf.DUMMYFUNCTION("""COMPUTED_VALUE"""),"FIN/PROPÓSITO")</f>
        <v>FIN/PROPÓSITO</v>
      </c>
      <c r="B5" s="141" t="str">
        <f ca="1">IFERROR(__xludf.DUMMYFUNCTION("""COMPUTED_VALUE"""),"ACTIVIDAD 1.8")</f>
        <v>ACTIVIDAD 1.8</v>
      </c>
      <c r="C5" s="142" t="str">
        <f ca="1">IFERROR(__xludf.DUMMYFUNCTION("""COMPUTED_VALUE"""),"Prácticas de autocuidado, prevención y atención a la salud bucal y maxilofacial a través de los servicios otorgados, durante el 2023")</f>
        <v>Prácticas de autocuidado, prevención y atención a la salud bucal y maxilofacial a través de los servicios otorgados, durante el 2023</v>
      </c>
      <c r="D5" s="154" t="str">
        <f ca="1">IFERROR(__xludf.DUMMYFUNCTION("""COMPUTED_VALUE"""),"Porcentaje")</f>
        <v>Porcentaje</v>
      </c>
      <c r="E5" s="143">
        <f ca="1">IFERROR(__xludf.DUMMYFUNCTION("""COMPUTED_VALUE"""),1940)</f>
        <v>1940</v>
      </c>
      <c r="F5" s="144">
        <f ca="1">IFERROR(__xludf.DUMMYFUNCTION("""COMPUTED_VALUE"""),6000)</f>
        <v>6000</v>
      </c>
      <c r="G5" s="146" t="str">
        <f ca="1">IFERROR(__xludf.DUMMYFUNCTION("""COMPUTED_VALUE"""),"Sin comentarios")</f>
        <v>Sin comentarios</v>
      </c>
      <c r="H5" s="150" t="b">
        <f ca="1">IFERROR(__xludf.DUMMYFUNCTION("""COMPUTED_VALUE"""),TRUE)</f>
        <v>1</v>
      </c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</row>
    <row r="6" spans="1:26" ht="15" customHeight="1">
      <c r="A6" s="144" t="str">
        <f ca="1">IFERROR(__xludf.DUMMYFUNCTION("""COMPUTED_VALUE"""),"FIN")</f>
        <v>FIN</v>
      </c>
      <c r="B6" s="141" t="str">
        <f ca="1">IFERROR(__xludf.DUMMYFUNCTION("""COMPUTED_VALUE"""),"ACTIVIDAD 1.9")</f>
        <v>ACTIVIDAD 1.9</v>
      </c>
      <c r="C6" s="142" t="str">
        <f ca="1">IFERROR(__xludf.DUMMYFUNCTION("""COMPUTED_VALUE"""),"Personas en situación de vulnerabilidad que recibieron atención psicológica en CDC, y CAETF en 2023")</f>
        <v>Personas en situación de vulnerabilidad que recibieron atención psicológica en CDC, y CAETF en 2023</v>
      </c>
      <c r="D6" s="154" t="str">
        <f ca="1">IFERROR(__xludf.DUMMYFUNCTION("""COMPUTED_VALUE"""),"Promedio")</f>
        <v>Promedio</v>
      </c>
      <c r="E6" s="143">
        <f ca="1">IFERROR(__xludf.DUMMYFUNCTION("""COMPUTED_VALUE"""),2292)</f>
        <v>2292</v>
      </c>
      <c r="F6" s="144">
        <f ca="1">IFERROR(__xludf.DUMMYFUNCTION("""COMPUTED_VALUE"""),850)</f>
        <v>850</v>
      </c>
      <c r="G6" s="155" t="str">
        <f ca="1">IFERROR(__xludf.DUMMYFUNCTION("""COMPUTED_VALUE"""),"764")</f>
        <v>764</v>
      </c>
      <c r="H6" s="147" t="b">
        <f ca="1">IFERROR(__xludf.DUMMYFUNCTION("""COMPUTED_VALUE"""),TRUE)</f>
        <v>1</v>
      </c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</row>
    <row r="7" spans="1:26" ht="15" customHeight="1">
      <c r="A7" s="144" t="str">
        <f ca="1">IFERROR(__xludf.DUMMYFUNCTION("""COMPUTED_VALUE"""),"FIN")</f>
        <v>FIN</v>
      </c>
      <c r="B7" s="141" t="str">
        <f ca="1">IFERROR(__xludf.DUMMYFUNCTION("""COMPUTED_VALUE"""),"ACTIVIDAD 1.12")</f>
        <v>ACTIVIDAD 1.12</v>
      </c>
      <c r="C7" s="142" t="str">
        <f ca="1">IFERROR(__xludf.DUMMYFUNCTION("""COMPUTED_VALUE"""),"Usuarios y usuarias recibieron raciones alimenticias en los comedores comunitarios, durante el 2023")</f>
        <v>Usuarios y usuarias recibieron raciones alimenticias en los comedores comunitarios, durante el 2023</v>
      </c>
      <c r="D7" s="154" t="str">
        <f ca="1">IFERROR(__xludf.DUMMYFUNCTION("""COMPUTED_VALUE"""),"Promedio")</f>
        <v>Promedio</v>
      </c>
      <c r="E7" s="143">
        <f ca="1">IFERROR(__xludf.DUMMYFUNCTION("""COMPUTED_VALUE"""),1530)</f>
        <v>1530</v>
      </c>
      <c r="F7" s="144">
        <f ca="1">IFERROR(__xludf.DUMMYFUNCTION("""COMPUTED_VALUE"""),500)</f>
        <v>500</v>
      </c>
      <c r="G7" s="155" t="str">
        <f ca="1">IFERROR(__xludf.DUMMYFUNCTION("""COMPUTED_VALUE"""),"510")</f>
        <v>510</v>
      </c>
      <c r="H7" s="150" t="b">
        <f ca="1">IFERROR(__xludf.DUMMYFUNCTION("""COMPUTED_VALUE"""),TRUE)</f>
        <v>1</v>
      </c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</row>
    <row r="8" spans="1:26" ht="15" customHeight="1">
      <c r="A8" s="144" t="str">
        <f ca="1">IFERROR(__xludf.DUMMYFUNCTION("""COMPUTED_VALUE"""),"FIN")</f>
        <v>FIN</v>
      </c>
      <c r="B8" s="141" t="str">
        <f ca="1">IFERROR(__xludf.DUMMYFUNCTION("""COMPUTED_VALUE"""),"ACTIVIDAD 1.14")</f>
        <v>ACTIVIDAD 1.14</v>
      </c>
      <c r="C8" s="142" t="str">
        <f ca="1">IFERROR(__xludf.DUMMYFUNCTION("""COMPUTED_VALUE"""),"Usuarios que asistieron a talleres y cursos realizados en CDC e ICAS trimestralmente en 2023")</f>
        <v>Usuarios que asistieron a talleres y cursos realizados en CDC e ICAS trimestralmente en 2023</v>
      </c>
      <c r="D8" s="154" t="str">
        <f ca="1">IFERROR(__xludf.DUMMYFUNCTION("""COMPUTED_VALUE"""),"Promedio")</f>
        <v>Promedio</v>
      </c>
      <c r="E8" s="143">
        <f ca="1">IFERROR(__xludf.DUMMYFUNCTION("""COMPUTED_VALUE"""),5082)</f>
        <v>5082</v>
      </c>
      <c r="F8" s="144">
        <f ca="1">IFERROR(__xludf.DUMMYFUNCTION("""COMPUTED_VALUE"""),1300)</f>
        <v>1300</v>
      </c>
      <c r="G8" s="155" t="str">
        <f ca="1">IFERROR(__xludf.DUMMYFUNCTION("""COMPUTED_VALUE"""),"1694")</f>
        <v>1694</v>
      </c>
      <c r="H8" s="147" t="b">
        <f ca="1">IFERROR(__xludf.DUMMYFUNCTION("""COMPUTED_VALUE"""),TRUE)</f>
        <v>1</v>
      </c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</row>
    <row r="9" spans="1:26" ht="15" customHeight="1">
      <c r="A9" s="144" t="str">
        <f ca="1">IFERROR(__xludf.DUMMYFUNCTION("""COMPUTED_VALUE"""),"FIN")</f>
        <v>FIN</v>
      </c>
      <c r="B9" s="141" t="str">
        <f ca="1">IFERROR(__xludf.DUMMYFUNCTION("""COMPUTED_VALUE"""),"ACTIVIDAD 1.16")</f>
        <v>ACTIVIDAD 1.16</v>
      </c>
      <c r="C9" s="142" t="str">
        <f ca="1">IFERROR(__xludf.DUMMYFUNCTION("""COMPUTED_VALUE"""),"Niñas y niños en condición de vulnerabilidad económica que terminaron ciclo escolar de nivel preescolar en 2023")</f>
        <v>Niñas y niños en condición de vulnerabilidad económica que terminaron ciclo escolar de nivel preescolar en 2023</v>
      </c>
      <c r="D9" s="154" t="str">
        <f ca="1">IFERROR(__xludf.DUMMYFUNCTION("""COMPUTED_VALUE"""),"Porcentaje")</f>
        <v>Porcentaje</v>
      </c>
      <c r="E9" s="143">
        <f ca="1">IFERROR(__xludf.DUMMYFUNCTION("""COMPUTED_VALUE"""),0)</f>
        <v>0</v>
      </c>
      <c r="F9" s="144">
        <f ca="1">IFERROR(__xludf.DUMMYFUNCTION("""COMPUTED_VALUE"""),2030)</f>
        <v>2030</v>
      </c>
      <c r="G9" s="146" t="str">
        <f ca="1">IFERROR(__xludf.DUMMYFUNCTION("""COMPUTED_VALUE"""),"Sin comentarios")</f>
        <v>Sin comentarios</v>
      </c>
      <c r="H9" s="150" t="b">
        <f ca="1">IFERROR(__xludf.DUMMYFUNCTION("""COMPUTED_VALUE"""),TRUE)</f>
        <v>1</v>
      </c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</row>
    <row r="10" spans="1:26" ht="15" customHeight="1">
      <c r="A10" s="144" t="str">
        <f ca="1">IFERROR(__xludf.DUMMYFUNCTION("""COMPUTED_VALUE"""),"FIN")</f>
        <v>FIN</v>
      </c>
      <c r="B10" s="141" t="str">
        <f ca="1">IFERROR(__xludf.DUMMYFUNCTION("""COMPUTED_VALUE"""),"COMPONENTE 2")</f>
        <v>COMPONENTE 2</v>
      </c>
      <c r="C10" s="142" t="str">
        <f ca="1">IFERROR(__xludf.DUMMYFUNCTION("""COMPUTED_VALUE"""),"Apoyos asistenciales entregados a población en situación de emergencia, durante el 2023")</f>
        <v>Apoyos asistenciales entregados a población en situación de emergencia, durante el 2023</v>
      </c>
      <c r="D10" s="154" t="str">
        <f ca="1">IFERROR(__xludf.DUMMYFUNCTION("""COMPUTED_VALUE"""),"Porcentaje")</f>
        <v>Porcentaje</v>
      </c>
      <c r="E10" s="143">
        <f ca="1">IFERROR(__xludf.DUMMYFUNCTION("""COMPUTED_VALUE"""),33)</f>
        <v>33</v>
      </c>
      <c r="F10" s="144">
        <f ca="1">IFERROR(__xludf.DUMMYFUNCTION("""COMPUTED_VALUE"""),5000)</f>
        <v>5000</v>
      </c>
      <c r="G10" s="146" t="str">
        <f ca="1">IFERROR(__xludf.DUMMYFUNCTION("""COMPUTED_VALUE"""),"Sin comentarios")</f>
        <v>Sin comentarios</v>
      </c>
      <c r="H10" s="147" t="b">
        <f ca="1">IFERROR(__xludf.DUMMYFUNCTION("""COMPUTED_VALUE"""),TRUE)</f>
        <v>1</v>
      </c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</row>
    <row r="11" spans="1:26" ht="15" customHeight="1">
      <c r="A11" s="144" t="str">
        <f ca="1">IFERROR(__xludf.DUMMYFUNCTION("""COMPUTED_VALUE"""),"FIN")</f>
        <v>FIN</v>
      </c>
      <c r="B11" s="141" t="str">
        <f ca="1">IFERROR(__xludf.DUMMYFUNCTION("""COMPUTED_VALUE"""),"ACTIVIDAD 3.1")</f>
        <v>ACTIVIDAD 3.1</v>
      </c>
      <c r="C11" s="142" t="str">
        <f ca="1">IFERROR(__xludf.DUMMYFUNCTION("""COMPUTED_VALUE"""),"Aperturas de expedientes para la atención multidisciplinaria primaria realizadas a las personas que viven y/o ejercen violencia familiar en el Municipio de Guadalajara, durante el 2023")</f>
        <v>Aperturas de expedientes para la atención multidisciplinaria primaria realizadas a las personas que viven y/o ejercen violencia familiar en el Municipio de Guadalajara, durante el 2023</v>
      </c>
      <c r="D11" s="154" t="str">
        <f ca="1">IFERROR(__xludf.DUMMYFUNCTION("""COMPUTED_VALUE"""),"Porcentaje")</f>
        <v>Porcentaje</v>
      </c>
      <c r="E11" s="143">
        <f ca="1">IFERROR(__xludf.DUMMYFUNCTION("""COMPUTED_VALUE"""),178)</f>
        <v>178</v>
      </c>
      <c r="F11" s="144">
        <f ca="1">IFERROR(__xludf.DUMMYFUNCTION("""COMPUTED_VALUE"""),700)</f>
        <v>700</v>
      </c>
      <c r="G11" s="146" t="str">
        <f ca="1">IFERROR(__xludf.DUMMYFUNCTION("""COMPUTED_VALUE"""),"Sin comentarios")</f>
        <v>Sin comentarios</v>
      </c>
      <c r="H11" s="150" t="b">
        <f ca="1">IFERROR(__xludf.DUMMYFUNCTION("""COMPUTED_VALUE"""),TRUE)</f>
        <v>1</v>
      </c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</row>
    <row r="12" spans="1:26" ht="15" customHeight="1">
      <c r="A12" s="144" t="str">
        <f ca="1">IFERROR(__xludf.DUMMYFUNCTION("""COMPUTED_VALUE"""),"FIN")</f>
        <v>FIN</v>
      </c>
      <c r="B12" s="141" t="str">
        <f ca="1">IFERROR(__xludf.DUMMYFUNCTION("""COMPUTED_VALUE"""),"ACTIVIDAD 4.1")</f>
        <v>ACTIVIDAD 4.1</v>
      </c>
      <c r="C12" s="142" t="str">
        <f ca="1">IFERROR(__xludf.DUMMYFUNCTION("""COMPUTED_VALUE"""),"Acompañamientos psicosociales para familiares de víctimas indirectas de desaparición brindadas, durante el 2023")</f>
        <v>Acompañamientos psicosociales para familiares de víctimas indirectas de desaparición brindadas, durante el 2023</v>
      </c>
      <c r="D12" s="154" t="str">
        <f ca="1">IFERROR(__xludf.DUMMYFUNCTION("""COMPUTED_VALUE"""),"Promedio")</f>
        <v>Promedio</v>
      </c>
      <c r="E12" s="143">
        <f ca="1">IFERROR(__xludf.DUMMYFUNCTION("""COMPUTED_VALUE"""),243)</f>
        <v>243</v>
      </c>
      <c r="F12" s="144">
        <f ca="1">IFERROR(__xludf.DUMMYFUNCTION("""COMPUTED_VALUE"""),110)</f>
        <v>110</v>
      </c>
      <c r="G12" s="155" t="str">
        <f ca="1">IFERROR(__xludf.DUMMYFUNCTION("""COMPUTED_VALUE"""),"81")</f>
        <v>81</v>
      </c>
      <c r="H12" s="147" t="b">
        <f ca="1">IFERROR(__xludf.DUMMYFUNCTION("""COMPUTED_VALUE"""),TRUE)</f>
        <v>1</v>
      </c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</row>
    <row r="13" spans="1:26" ht="15" customHeight="1">
      <c r="A13" s="144"/>
      <c r="B13" s="141"/>
      <c r="C13" s="142"/>
      <c r="D13" s="154"/>
      <c r="E13" s="143"/>
      <c r="F13" s="144"/>
      <c r="G13" s="151"/>
      <c r="H13" s="150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</row>
    <row r="14" spans="1:26" ht="15" customHeight="1">
      <c r="A14" s="144"/>
      <c r="B14" s="141"/>
      <c r="C14" s="142"/>
      <c r="D14" s="154"/>
      <c r="E14" s="143"/>
      <c r="F14" s="144"/>
      <c r="G14" s="146"/>
      <c r="H14" s="147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</row>
    <row r="15" spans="1:26" ht="15" customHeight="1">
      <c r="A15" s="144"/>
      <c r="B15" s="141"/>
      <c r="C15" s="142"/>
      <c r="D15" s="154"/>
      <c r="E15" s="143"/>
      <c r="F15" s="144"/>
      <c r="G15" s="146"/>
      <c r="H15" s="150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</row>
    <row r="16" spans="1:26" ht="15" customHeight="1">
      <c r="A16" s="144"/>
      <c r="B16" s="141"/>
      <c r="C16" s="142"/>
      <c r="D16" s="154"/>
      <c r="E16" s="143"/>
      <c r="F16" s="144"/>
      <c r="G16" s="151"/>
      <c r="H16" s="147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</row>
    <row r="17" spans="1:26" ht="15" customHeight="1">
      <c r="A17" s="144"/>
      <c r="B17" s="141"/>
      <c r="C17" s="142"/>
      <c r="D17" s="154"/>
      <c r="E17" s="143"/>
      <c r="F17" s="144"/>
      <c r="G17" s="146"/>
      <c r="H17" s="150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</row>
    <row r="18" spans="1:26" ht="15" customHeight="1">
      <c r="A18" s="144"/>
      <c r="B18" s="141"/>
      <c r="C18" s="142"/>
      <c r="D18" s="154"/>
      <c r="E18" s="143"/>
      <c r="F18" s="144"/>
      <c r="G18" s="151"/>
      <c r="H18" s="147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</row>
    <row r="19" spans="1:26" ht="15" customHeight="1">
      <c r="A19" s="144"/>
      <c r="B19" s="141"/>
      <c r="C19" s="142"/>
      <c r="D19" s="154"/>
      <c r="E19" s="143"/>
      <c r="F19" s="144"/>
      <c r="G19" s="151"/>
      <c r="H19" s="150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</row>
    <row r="20" spans="1:26" ht="15" customHeight="1">
      <c r="A20" s="144"/>
      <c r="B20" s="141"/>
      <c r="C20" s="142"/>
      <c r="D20" s="154"/>
      <c r="E20" s="143"/>
      <c r="F20" s="144"/>
      <c r="G20" s="146"/>
      <c r="H20" s="147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</row>
    <row r="21" spans="1:26" ht="15" customHeight="1">
      <c r="A21" s="144"/>
      <c r="B21" s="141"/>
      <c r="C21" s="142"/>
      <c r="D21" s="154"/>
      <c r="E21" s="143"/>
      <c r="F21" s="144"/>
      <c r="G21" s="146"/>
      <c r="H21" s="150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</row>
    <row r="22" spans="1:26" ht="15" customHeight="1">
      <c r="A22" s="144"/>
      <c r="B22" s="141"/>
      <c r="C22" s="142"/>
      <c r="D22" s="154"/>
      <c r="E22" s="143"/>
      <c r="F22" s="144"/>
      <c r="G22" s="146"/>
      <c r="H22" s="147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</row>
    <row r="23" spans="1:26" ht="15" customHeight="1">
      <c r="A23" s="144"/>
      <c r="B23" s="141"/>
      <c r="C23" s="142"/>
      <c r="D23" s="154"/>
      <c r="E23" s="143"/>
      <c r="F23" s="144"/>
      <c r="G23" s="146"/>
      <c r="H23" s="150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</row>
    <row r="24" spans="1:26" ht="15" customHeight="1">
      <c r="A24" s="144"/>
      <c r="B24" s="141"/>
      <c r="C24" s="142"/>
      <c r="D24" s="154"/>
      <c r="E24" s="143"/>
      <c r="F24" s="144"/>
      <c r="G24" s="146"/>
      <c r="H24" s="147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</row>
    <row r="25" spans="1:26" ht="24.75">
      <c r="A25" s="144"/>
      <c r="B25" s="141"/>
      <c r="C25" s="142"/>
      <c r="D25" s="154"/>
      <c r="E25" s="143"/>
      <c r="F25" s="144"/>
      <c r="G25" s="146"/>
      <c r="H25" s="150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</row>
    <row r="26" spans="1:26" ht="24.75">
      <c r="A26" s="144"/>
      <c r="B26" s="141"/>
      <c r="C26" s="142"/>
      <c r="D26" s="154"/>
      <c r="E26" s="143"/>
      <c r="F26" s="144"/>
      <c r="G26" s="146"/>
      <c r="H26" s="147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</row>
    <row r="27" spans="1:26" ht="24.75">
      <c r="A27" s="144"/>
      <c r="B27" s="141"/>
      <c r="C27" s="142"/>
      <c r="D27" s="154"/>
      <c r="E27" s="143"/>
      <c r="F27" s="144"/>
      <c r="G27" s="146"/>
      <c r="H27" s="150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</row>
    <row r="28" spans="1:26" ht="24.75">
      <c r="A28" s="144"/>
      <c r="B28" s="141"/>
      <c r="C28" s="142"/>
      <c r="D28" s="154"/>
      <c r="E28" s="143"/>
      <c r="F28" s="144"/>
      <c r="G28" s="151"/>
      <c r="H28" s="147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</row>
    <row r="29" spans="1:26" ht="24.75">
      <c r="A29" s="144"/>
      <c r="B29" s="141"/>
      <c r="C29" s="142"/>
      <c r="D29" s="154"/>
      <c r="E29" s="143"/>
      <c r="F29" s="144"/>
      <c r="G29" s="151"/>
      <c r="H29" s="150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</row>
    <row r="30" spans="1:26" ht="24.75">
      <c r="A30" s="144"/>
      <c r="B30" s="141"/>
      <c r="C30" s="142"/>
      <c r="D30" s="154"/>
      <c r="E30" s="143"/>
      <c r="F30" s="144"/>
      <c r="G30" s="151"/>
      <c r="H30" s="151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</row>
    <row r="31" spans="1:26" ht="24.75">
      <c r="A31" s="144"/>
      <c r="B31" s="141"/>
      <c r="C31" s="142"/>
      <c r="D31" s="154"/>
      <c r="E31" s="143"/>
      <c r="F31" s="144"/>
      <c r="G31" s="153"/>
      <c r="H31" s="153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</row>
    <row r="32" spans="1:26" ht="24.75">
      <c r="A32" s="144"/>
      <c r="B32" s="141"/>
      <c r="C32" s="142"/>
      <c r="D32" s="154"/>
      <c r="E32" s="143"/>
      <c r="F32" s="144"/>
      <c r="G32" s="151"/>
      <c r="H32" s="151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</row>
    <row r="33" spans="1:26" ht="24.75">
      <c r="A33" s="144"/>
      <c r="B33" s="141"/>
      <c r="C33" s="142"/>
      <c r="D33" s="154"/>
      <c r="E33" s="143"/>
      <c r="F33" s="144"/>
      <c r="G33" s="153"/>
      <c r="H33" s="153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</row>
    <row r="34" spans="1:26" ht="24.75">
      <c r="A34" s="144"/>
      <c r="B34" s="141"/>
      <c r="C34" s="142"/>
      <c r="D34" s="154"/>
      <c r="E34" s="143"/>
      <c r="F34" s="144"/>
      <c r="G34" s="151"/>
      <c r="H34" s="151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</row>
    <row r="35" spans="1:26" ht="24.75">
      <c r="A35" s="144"/>
      <c r="B35" s="141"/>
      <c r="C35" s="142"/>
      <c r="D35" s="154"/>
      <c r="E35" s="143"/>
      <c r="F35" s="144"/>
      <c r="G35" s="153"/>
      <c r="H35" s="153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</row>
    <row r="36" spans="1:26" ht="24.75">
      <c r="A36" s="144"/>
      <c r="B36" s="141"/>
      <c r="C36" s="142"/>
      <c r="D36" s="154"/>
      <c r="E36" s="143"/>
      <c r="F36" s="144"/>
      <c r="G36" s="151"/>
      <c r="H36" s="151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</row>
    <row r="37" spans="1:26" ht="24.75">
      <c r="A37" s="144"/>
      <c r="B37" s="141"/>
      <c r="C37" s="142"/>
      <c r="D37" s="154"/>
      <c r="E37" s="143"/>
      <c r="F37" s="144"/>
      <c r="G37" s="153"/>
      <c r="H37" s="153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</row>
    <row r="38" spans="1:26" ht="24.75">
      <c r="A38" s="144"/>
      <c r="B38" s="141"/>
      <c r="C38" s="142"/>
      <c r="D38" s="154"/>
      <c r="E38" s="143"/>
      <c r="F38" s="144"/>
      <c r="G38" s="151"/>
      <c r="H38" s="151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</row>
    <row r="39" spans="1:26" ht="24.75">
      <c r="A39" s="144"/>
      <c r="B39" s="141"/>
      <c r="C39" s="142"/>
      <c r="D39" s="154"/>
      <c r="E39" s="143"/>
      <c r="F39" s="144"/>
      <c r="G39" s="153"/>
      <c r="H39" s="153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</row>
    <row r="40" spans="1:26" ht="24.75">
      <c r="A40" s="144"/>
      <c r="B40" s="141"/>
      <c r="C40" s="142"/>
      <c r="D40" s="154"/>
      <c r="E40" s="143"/>
      <c r="F40" s="144"/>
      <c r="G40" s="151"/>
      <c r="H40" s="151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</row>
    <row r="41" spans="1:26" ht="24.75">
      <c r="A41" s="144"/>
      <c r="B41" s="141"/>
      <c r="C41" s="142"/>
      <c r="D41" s="154"/>
      <c r="E41" s="143"/>
      <c r="F41" s="144"/>
      <c r="G41" s="153"/>
      <c r="H41" s="153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</row>
    <row r="42" spans="1:26" ht="24.75">
      <c r="A42" s="144"/>
      <c r="B42" s="141"/>
      <c r="C42" s="142"/>
      <c r="D42" s="154"/>
      <c r="E42" s="143"/>
      <c r="F42" s="144"/>
      <c r="G42" s="151"/>
      <c r="H42" s="151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</row>
    <row r="43" spans="1:26" ht="24.75">
      <c r="A43" s="144"/>
      <c r="B43" s="141"/>
      <c r="C43" s="142"/>
      <c r="D43" s="154"/>
      <c r="E43" s="143"/>
      <c r="F43" s="144"/>
      <c r="G43" s="153"/>
      <c r="H43" s="153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</row>
    <row r="44" spans="1:26" ht="24.75">
      <c r="A44" s="144"/>
      <c r="B44" s="141"/>
      <c r="C44" s="142"/>
      <c r="D44" s="154"/>
      <c r="E44" s="143"/>
      <c r="F44" s="144"/>
      <c r="G44" s="151"/>
      <c r="H44" s="151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</row>
    <row r="45" spans="1:26" ht="24.75">
      <c r="A45" s="144"/>
      <c r="B45" s="141"/>
      <c r="C45" s="142"/>
      <c r="D45" s="154"/>
      <c r="E45" s="143"/>
      <c r="F45" s="144"/>
      <c r="G45" s="153"/>
      <c r="H45" s="153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</row>
    <row r="46" spans="1:26" ht="24.75">
      <c r="A46" s="144"/>
      <c r="B46" s="141"/>
      <c r="C46" s="142"/>
      <c r="D46" s="154"/>
      <c r="E46" s="143"/>
      <c r="F46" s="144"/>
      <c r="G46" s="151"/>
      <c r="H46" s="151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</row>
    <row r="47" spans="1:26" ht="24.75">
      <c r="A47" s="144"/>
      <c r="B47" s="141"/>
      <c r="C47" s="142"/>
      <c r="D47" s="154"/>
      <c r="E47" s="143"/>
      <c r="F47" s="144"/>
      <c r="G47" s="153"/>
      <c r="H47" s="153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</row>
    <row r="48" spans="1:26" ht="24.75">
      <c r="A48" s="144"/>
      <c r="B48" s="141"/>
      <c r="C48" s="142"/>
      <c r="D48" s="154"/>
      <c r="E48" s="143"/>
      <c r="F48" s="144"/>
      <c r="G48" s="151"/>
      <c r="H48" s="151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</row>
    <row r="49" spans="1:26" ht="24.75">
      <c r="A49" s="144"/>
      <c r="B49" s="141"/>
      <c r="C49" s="142"/>
      <c r="D49" s="154"/>
      <c r="E49" s="143"/>
      <c r="F49" s="144"/>
      <c r="G49" s="153"/>
      <c r="H49" s="153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</row>
    <row r="50" spans="1:26" ht="24.75">
      <c r="A50" s="144"/>
      <c r="B50" s="141"/>
      <c r="C50" s="142"/>
      <c r="D50" s="154"/>
      <c r="E50" s="143"/>
      <c r="F50" s="144"/>
      <c r="G50" s="151"/>
      <c r="H50" s="151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</row>
    <row r="51" spans="1:26" ht="24.75">
      <c r="A51" s="144"/>
      <c r="B51" s="141"/>
      <c r="C51" s="142"/>
      <c r="D51" s="154"/>
      <c r="E51" s="143"/>
      <c r="F51" s="144"/>
      <c r="G51" s="153"/>
      <c r="H51" s="153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</row>
    <row r="52" spans="1:26" ht="24.75">
      <c r="A52" s="144"/>
      <c r="B52" s="141"/>
      <c r="C52" s="142"/>
      <c r="D52" s="154"/>
      <c r="E52" s="143"/>
      <c r="F52" s="144"/>
      <c r="G52" s="151"/>
      <c r="H52" s="151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</row>
    <row r="53" spans="1:26" ht="24.75">
      <c r="A53" s="144"/>
      <c r="B53" s="141"/>
      <c r="C53" s="142"/>
      <c r="D53" s="154"/>
      <c r="E53" s="143"/>
      <c r="F53" s="144"/>
      <c r="G53" s="153"/>
      <c r="H53" s="153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</row>
    <row r="54" spans="1:26" ht="24.75">
      <c r="A54" s="144"/>
      <c r="B54" s="141"/>
      <c r="C54" s="142"/>
      <c r="D54" s="154"/>
      <c r="E54" s="143"/>
      <c r="F54" s="144"/>
      <c r="G54" s="151"/>
      <c r="H54" s="151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</row>
    <row r="55" spans="1:26" ht="24.75">
      <c r="A55" s="144"/>
      <c r="B55" s="141"/>
      <c r="C55" s="142"/>
      <c r="D55" s="154"/>
      <c r="E55" s="143"/>
      <c r="F55" s="144"/>
      <c r="G55" s="153"/>
      <c r="H55" s="153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</row>
    <row r="56" spans="1:26" ht="24.75">
      <c r="A56" s="144"/>
      <c r="B56" s="141"/>
      <c r="C56" s="142"/>
      <c r="D56" s="154"/>
      <c r="E56" s="143"/>
      <c r="F56" s="144"/>
      <c r="G56" s="151"/>
      <c r="H56" s="151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</row>
    <row r="57" spans="1:26" ht="24.75">
      <c r="A57" s="144"/>
      <c r="B57" s="141"/>
      <c r="C57" s="142"/>
      <c r="D57" s="154"/>
      <c r="E57" s="143"/>
      <c r="F57" s="144"/>
      <c r="G57" s="153"/>
      <c r="H57" s="153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</row>
    <row r="58" spans="1:26" ht="24.75">
      <c r="A58" s="144"/>
      <c r="B58" s="141"/>
      <c r="C58" s="142"/>
      <c r="D58" s="154"/>
      <c r="E58" s="143"/>
      <c r="F58" s="144"/>
      <c r="G58" s="151"/>
      <c r="H58" s="151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</row>
    <row r="59" spans="1:26" ht="24.75">
      <c r="A59" s="144"/>
      <c r="B59" s="141"/>
      <c r="C59" s="142"/>
      <c r="D59" s="154"/>
      <c r="E59" s="143"/>
      <c r="F59" s="144"/>
      <c r="G59" s="153"/>
      <c r="H59" s="153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</row>
    <row r="60" spans="1:26" ht="24.75">
      <c r="A60" s="144"/>
      <c r="B60" s="141"/>
      <c r="C60" s="142"/>
      <c r="D60" s="154"/>
      <c r="E60" s="143"/>
      <c r="F60" s="144"/>
      <c r="G60" s="151"/>
      <c r="H60" s="151"/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</row>
    <row r="61" spans="1:26" ht="24.75">
      <c r="A61" s="144"/>
      <c r="B61" s="141"/>
      <c r="C61" s="142"/>
      <c r="D61" s="154"/>
      <c r="E61" s="143"/>
      <c r="F61" s="144"/>
      <c r="G61" s="153"/>
      <c r="H61" s="153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</row>
    <row r="62" spans="1:26" ht="24.75">
      <c r="A62" s="144"/>
      <c r="B62" s="141"/>
      <c r="C62" s="142"/>
      <c r="D62" s="154"/>
      <c r="E62" s="143"/>
      <c r="F62" s="144"/>
      <c r="G62" s="151"/>
      <c r="H62" s="151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</row>
    <row r="63" spans="1:26" ht="24.75">
      <c r="A63" s="144"/>
      <c r="B63" s="141"/>
      <c r="C63" s="142"/>
      <c r="D63" s="154"/>
      <c r="E63" s="143"/>
      <c r="F63" s="144"/>
      <c r="G63" s="153"/>
      <c r="H63" s="153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</row>
    <row r="64" spans="1:26" ht="24.75">
      <c r="A64" s="144"/>
      <c r="B64" s="141"/>
      <c r="C64" s="142"/>
      <c r="D64" s="154"/>
      <c r="E64" s="143"/>
      <c r="F64" s="144"/>
      <c r="G64" s="151"/>
      <c r="H64" s="151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4"/>
      <c r="Z64" s="144"/>
    </row>
    <row r="65" spans="1:26" ht="24.75">
      <c r="A65" s="144"/>
      <c r="B65" s="141"/>
      <c r="C65" s="142"/>
      <c r="D65" s="154"/>
      <c r="E65" s="143"/>
      <c r="F65" s="144"/>
      <c r="G65" s="153"/>
      <c r="H65" s="153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4"/>
      <c r="Z65" s="144"/>
    </row>
    <row r="66" spans="1:26" ht="24.75">
      <c r="A66" s="144"/>
      <c r="B66" s="141"/>
      <c r="C66" s="142"/>
      <c r="D66" s="154"/>
      <c r="E66" s="143"/>
      <c r="F66" s="144"/>
      <c r="G66" s="151"/>
      <c r="H66" s="151"/>
      <c r="I66" s="144"/>
      <c r="J66" s="144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4"/>
      <c r="Z66" s="144"/>
    </row>
    <row r="67" spans="1:26" ht="24.75">
      <c r="A67" s="144"/>
      <c r="B67" s="141"/>
      <c r="C67" s="142"/>
      <c r="D67" s="154"/>
      <c r="E67" s="143"/>
      <c r="F67" s="144"/>
      <c r="G67" s="153"/>
      <c r="H67" s="153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4"/>
      <c r="Z67" s="144"/>
    </row>
    <row r="68" spans="1:26" ht="24.75">
      <c r="A68" s="144"/>
      <c r="B68" s="141"/>
      <c r="C68" s="142"/>
      <c r="D68" s="154"/>
      <c r="E68" s="143"/>
      <c r="F68" s="144"/>
      <c r="G68" s="151"/>
      <c r="H68" s="151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4"/>
      <c r="Z68" s="144"/>
    </row>
    <row r="69" spans="1:26" ht="24.75">
      <c r="A69" s="144"/>
      <c r="B69" s="141"/>
      <c r="C69" s="142"/>
      <c r="D69" s="154"/>
      <c r="E69" s="143"/>
      <c r="F69" s="144"/>
      <c r="G69" s="153"/>
      <c r="H69" s="153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Y69" s="144"/>
      <c r="Z69" s="144"/>
    </row>
    <row r="70" spans="1:26" ht="24.75">
      <c r="A70" s="144"/>
      <c r="B70" s="141"/>
      <c r="C70" s="142"/>
      <c r="D70" s="154"/>
      <c r="E70" s="143"/>
      <c r="F70" s="144"/>
      <c r="G70" s="151"/>
      <c r="H70" s="151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4"/>
      <c r="Z70" s="144"/>
    </row>
    <row r="71" spans="1:26" ht="24.75">
      <c r="A71" s="144"/>
      <c r="B71" s="141"/>
      <c r="C71" s="142"/>
      <c r="D71" s="154"/>
      <c r="E71" s="143"/>
      <c r="F71" s="144"/>
      <c r="G71" s="153"/>
      <c r="H71" s="153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4"/>
      <c r="Z71" s="144"/>
    </row>
    <row r="72" spans="1:26" ht="24.75">
      <c r="A72" s="144"/>
      <c r="B72" s="141"/>
      <c r="C72" s="142"/>
      <c r="D72" s="154"/>
      <c r="E72" s="143"/>
      <c r="F72" s="144"/>
      <c r="G72" s="151"/>
      <c r="H72" s="151"/>
      <c r="I72" s="144"/>
      <c r="J72" s="144"/>
      <c r="K72" s="144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4"/>
      <c r="Z72" s="144"/>
    </row>
    <row r="73" spans="1:26" ht="24.75">
      <c r="A73" s="144"/>
      <c r="B73" s="141"/>
      <c r="C73" s="142"/>
      <c r="D73" s="154"/>
      <c r="E73" s="143"/>
      <c r="F73" s="144"/>
      <c r="G73" s="153"/>
      <c r="H73" s="153"/>
      <c r="I73" s="144"/>
      <c r="J73" s="144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Y73" s="144"/>
      <c r="Z73" s="144"/>
    </row>
    <row r="74" spans="1:26" ht="24.75">
      <c r="A74" s="144"/>
      <c r="B74" s="141"/>
      <c r="C74" s="142"/>
      <c r="D74" s="154"/>
      <c r="E74" s="143"/>
      <c r="F74" s="144"/>
      <c r="G74" s="151"/>
      <c r="H74" s="151"/>
      <c r="I74" s="144"/>
      <c r="J74" s="144"/>
      <c r="K74" s="144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  <c r="X74" s="144"/>
      <c r="Y74" s="144"/>
      <c r="Z74" s="144"/>
    </row>
    <row r="75" spans="1:26" ht="24.75">
      <c r="A75" s="144"/>
      <c r="B75" s="141"/>
      <c r="C75" s="142"/>
      <c r="D75" s="154"/>
      <c r="E75" s="143"/>
      <c r="F75" s="144"/>
      <c r="G75" s="153"/>
      <c r="H75" s="153"/>
      <c r="I75" s="144"/>
      <c r="J75" s="144"/>
      <c r="K75" s="144"/>
      <c r="L75" s="144"/>
      <c r="M75" s="144"/>
      <c r="N75" s="144"/>
      <c r="O75" s="144"/>
      <c r="P75" s="144"/>
      <c r="Q75" s="144"/>
      <c r="R75" s="144"/>
      <c r="S75" s="144"/>
      <c r="T75" s="144"/>
      <c r="U75" s="144"/>
      <c r="V75" s="144"/>
      <c r="W75" s="144"/>
      <c r="X75" s="144"/>
      <c r="Y75" s="144"/>
      <c r="Z75" s="144"/>
    </row>
    <row r="76" spans="1:26" ht="24.75">
      <c r="A76" s="144"/>
      <c r="B76" s="141"/>
      <c r="C76" s="142"/>
      <c r="D76" s="154"/>
      <c r="E76" s="143"/>
      <c r="F76" s="144"/>
      <c r="G76" s="151"/>
      <c r="H76" s="151"/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144"/>
      <c r="Y76" s="144"/>
      <c r="Z76" s="144"/>
    </row>
    <row r="77" spans="1:26" ht="24.75">
      <c r="A77" s="144"/>
      <c r="B77" s="141"/>
      <c r="C77" s="142"/>
      <c r="D77" s="154"/>
      <c r="E77" s="143"/>
      <c r="F77" s="144"/>
      <c r="G77" s="153"/>
      <c r="H77" s="153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  <c r="W77" s="144"/>
      <c r="X77" s="144"/>
      <c r="Y77" s="144"/>
      <c r="Z77" s="144"/>
    </row>
    <row r="78" spans="1:26" ht="24.75">
      <c r="A78" s="144"/>
      <c r="B78" s="141"/>
      <c r="C78" s="142"/>
      <c r="D78" s="154"/>
      <c r="E78" s="143"/>
      <c r="F78" s="144"/>
      <c r="G78" s="151"/>
      <c r="H78" s="151"/>
      <c r="I78" s="144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144"/>
      <c r="Y78" s="144"/>
      <c r="Z78" s="144"/>
    </row>
    <row r="79" spans="1:26" ht="24.75">
      <c r="A79" s="144"/>
      <c r="B79" s="141"/>
      <c r="C79" s="142"/>
      <c r="D79" s="154"/>
      <c r="E79" s="143"/>
      <c r="F79" s="144"/>
      <c r="G79" s="153"/>
      <c r="H79" s="153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X79" s="144"/>
      <c r="Y79" s="144"/>
      <c r="Z79" s="144"/>
    </row>
    <row r="80" spans="1:26" ht="24.75">
      <c r="A80" s="144"/>
      <c r="B80" s="141"/>
      <c r="C80" s="142"/>
      <c r="D80" s="154"/>
      <c r="E80" s="143"/>
      <c r="F80" s="144"/>
      <c r="G80" s="151"/>
      <c r="H80" s="151"/>
      <c r="I80" s="144"/>
      <c r="J80" s="144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4"/>
      <c r="X80" s="144"/>
      <c r="Y80" s="144"/>
      <c r="Z80" s="144"/>
    </row>
    <row r="81" spans="1:26" ht="24.75">
      <c r="A81" s="144"/>
      <c r="B81" s="141"/>
      <c r="C81" s="142"/>
      <c r="D81" s="154"/>
      <c r="E81" s="143"/>
      <c r="F81" s="144"/>
      <c r="G81" s="153"/>
      <c r="H81" s="153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44"/>
      <c r="Y81" s="144"/>
      <c r="Z81" s="144"/>
    </row>
    <row r="82" spans="1:26" ht="24.75">
      <c r="A82" s="144"/>
      <c r="B82" s="141"/>
      <c r="C82" s="142"/>
      <c r="D82" s="154"/>
      <c r="E82" s="143"/>
      <c r="F82" s="144"/>
      <c r="G82" s="151"/>
      <c r="H82" s="151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4"/>
      <c r="Z82" s="144"/>
    </row>
    <row r="83" spans="1:26" ht="24.75">
      <c r="A83" s="144"/>
      <c r="B83" s="141"/>
      <c r="C83" s="142"/>
      <c r="D83" s="154"/>
      <c r="E83" s="143"/>
      <c r="F83" s="144"/>
      <c r="G83" s="153"/>
      <c r="H83" s="153"/>
      <c r="I83" s="144"/>
      <c r="J83" s="144"/>
      <c r="K83" s="144"/>
      <c r="L83" s="144"/>
      <c r="M83" s="144"/>
      <c r="N83" s="144"/>
      <c r="O83" s="144"/>
      <c r="P83" s="144"/>
      <c r="Q83" s="144"/>
      <c r="R83" s="144"/>
      <c r="S83" s="144"/>
      <c r="T83" s="144"/>
      <c r="U83" s="144"/>
      <c r="V83" s="144"/>
      <c r="W83" s="144"/>
      <c r="X83" s="144"/>
      <c r="Y83" s="144"/>
      <c r="Z83" s="144"/>
    </row>
    <row r="84" spans="1:26" ht="24.75">
      <c r="A84" s="144"/>
      <c r="B84" s="141"/>
      <c r="C84" s="142"/>
      <c r="D84" s="154"/>
      <c r="E84" s="143"/>
      <c r="F84" s="144"/>
      <c r="G84" s="151"/>
      <c r="H84" s="151"/>
      <c r="I84" s="144"/>
      <c r="J84" s="144"/>
      <c r="K84" s="144"/>
      <c r="L84" s="144"/>
      <c r="M84" s="144"/>
      <c r="N84" s="144"/>
      <c r="O84" s="144"/>
      <c r="P84" s="144"/>
      <c r="Q84" s="144"/>
      <c r="R84" s="144"/>
      <c r="S84" s="144"/>
      <c r="T84" s="144"/>
      <c r="U84" s="144"/>
      <c r="V84" s="144"/>
      <c r="W84" s="144"/>
      <c r="X84" s="144"/>
      <c r="Y84" s="144"/>
      <c r="Z84" s="144"/>
    </row>
    <row r="85" spans="1:26" ht="24.75">
      <c r="A85" s="144"/>
      <c r="B85" s="141"/>
      <c r="C85" s="142"/>
      <c r="D85" s="154"/>
      <c r="E85" s="143"/>
      <c r="F85" s="144"/>
      <c r="G85" s="153"/>
      <c r="H85" s="153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  <c r="W85" s="144"/>
      <c r="X85" s="144"/>
      <c r="Y85" s="144"/>
      <c r="Z85" s="144"/>
    </row>
    <row r="86" spans="1:26" ht="24.75">
      <c r="A86" s="144"/>
      <c r="B86" s="141"/>
      <c r="C86" s="142"/>
      <c r="D86" s="154"/>
      <c r="E86" s="143"/>
      <c r="F86" s="144"/>
      <c r="G86" s="151"/>
      <c r="H86" s="151"/>
      <c r="I86" s="144"/>
      <c r="J86" s="144"/>
      <c r="K86" s="144"/>
      <c r="L86" s="144"/>
      <c r="M86" s="144"/>
      <c r="N86" s="144"/>
      <c r="O86" s="144"/>
      <c r="P86" s="144"/>
      <c r="Q86" s="144"/>
      <c r="R86" s="144"/>
      <c r="S86" s="144"/>
      <c r="T86" s="144"/>
      <c r="U86" s="144"/>
      <c r="V86" s="144"/>
      <c r="W86" s="144"/>
      <c r="X86" s="144"/>
      <c r="Y86" s="144"/>
      <c r="Z86" s="144"/>
    </row>
    <row r="87" spans="1:26" ht="24.75">
      <c r="A87" s="144"/>
      <c r="B87" s="141"/>
      <c r="C87" s="142"/>
      <c r="D87" s="154"/>
      <c r="E87" s="143"/>
      <c r="F87" s="144"/>
      <c r="G87" s="153"/>
      <c r="H87" s="153"/>
      <c r="I87" s="144"/>
      <c r="J87" s="144"/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  <c r="W87" s="144"/>
      <c r="X87" s="144"/>
      <c r="Y87" s="144"/>
      <c r="Z87" s="144"/>
    </row>
    <row r="88" spans="1:26" ht="24.75">
      <c r="A88" s="144"/>
      <c r="B88" s="141"/>
      <c r="C88" s="142"/>
      <c r="D88" s="154"/>
      <c r="E88" s="143"/>
      <c r="F88" s="144"/>
      <c r="G88" s="151"/>
      <c r="H88" s="151"/>
      <c r="I88" s="144"/>
      <c r="J88" s="144"/>
      <c r="K88" s="144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  <c r="W88" s="144"/>
      <c r="X88" s="144"/>
      <c r="Y88" s="144"/>
      <c r="Z88" s="144"/>
    </row>
    <row r="89" spans="1:26" ht="24.75">
      <c r="A89" s="144"/>
      <c r="B89" s="141"/>
      <c r="C89" s="142"/>
      <c r="D89" s="154"/>
      <c r="E89" s="143"/>
      <c r="F89" s="144"/>
      <c r="G89" s="153"/>
      <c r="H89" s="153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144"/>
      <c r="X89" s="144"/>
      <c r="Y89" s="144"/>
      <c r="Z89" s="144"/>
    </row>
    <row r="90" spans="1:26" ht="24.75">
      <c r="A90" s="144"/>
      <c r="B90" s="141"/>
      <c r="C90" s="142"/>
      <c r="D90" s="154"/>
      <c r="E90" s="143"/>
      <c r="F90" s="144"/>
      <c r="G90" s="151"/>
      <c r="H90" s="151"/>
      <c r="I90" s="144"/>
      <c r="J90" s="144"/>
      <c r="K90" s="144"/>
      <c r="L90" s="144"/>
      <c r="M90" s="144"/>
      <c r="N90" s="144"/>
      <c r="O90" s="144"/>
      <c r="P90" s="144"/>
      <c r="Q90" s="144"/>
      <c r="R90" s="144"/>
      <c r="S90" s="144"/>
      <c r="T90" s="144"/>
      <c r="U90" s="144"/>
      <c r="V90" s="144"/>
      <c r="W90" s="144"/>
      <c r="X90" s="144"/>
      <c r="Y90" s="144"/>
      <c r="Z90" s="144"/>
    </row>
    <row r="91" spans="1:26" ht="24.75">
      <c r="A91" s="144"/>
      <c r="B91" s="141"/>
      <c r="C91" s="142"/>
      <c r="D91" s="154"/>
      <c r="E91" s="143"/>
      <c r="F91" s="144"/>
      <c r="G91" s="153"/>
      <c r="H91" s="153"/>
      <c r="I91" s="144"/>
      <c r="J91" s="144"/>
      <c r="K91" s="144"/>
      <c r="L91" s="144"/>
      <c r="M91" s="144"/>
      <c r="N91" s="144"/>
      <c r="O91" s="144"/>
      <c r="P91" s="144"/>
      <c r="Q91" s="144"/>
      <c r="R91" s="144"/>
      <c r="S91" s="144"/>
      <c r="T91" s="144"/>
      <c r="U91" s="144"/>
      <c r="V91" s="144"/>
      <c r="W91" s="144"/>
      <c r="X91" s="144"/>
      <c r="Y91" s="144"/>
      <c r="Z91" s="144"/>
    </row>
    <row r="92" spans="1:26" ht="24.75">
      <c r="A92" s="144"/>
      <c r="B92" s="141"/>
      <c r="C92" s="142"/>
      <c r="D92" s="154"/>
      <c r="E92" s="143"/>
      <c r="F92" s="144"/>
      <c r="G92" s="151"/>
      <c r="H92" s="151"/>
      <c r="I92" s="144"/>
      <c r="J92" s="144"/>
      <c r="K92" s="144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  <c r="W92" s="144"/>
      <c r="X92" s="144"/>
      <c r="Y92" s="144"/>
      <c r="Z92" s="144"/>
    </row>
    <row r="93" spans="1:26" ht="24.75">
      <c r="A93" s="144"/>
      <c r="B93" s="141"/>
      <c r="C93" s="142"/>
      <c r="D93" s="154"/>
      <c r="E93" s="143"/>
      <c r="F93" s="144"/>
      <c r="G93" s="153"/>
      <c r="H93" s="153"/>
      <c r="I93" s="144"/>
      <c r="J93" s="144"/>
      <c r="K93" s="144"/>
      <c r="L93" s="144"/>
      <c r="M93" s="144"/>
      <c r="N93" s="144"/>
      <c r="O93" s="144"/>
      <c r="P93" s="144"/>
      <c r="Q93" s="144"/>
      <c r="R93" s="144"/>
      <c r="S93" s="144"/>
      <c r="T93" s="144"/>
      <c r="U93" s="144"/>
      <c r="V93" s="144"/>
      <c r="W93" s="144"/>
      <c r="X93" s="144"/>
      <c r="Y93" s="144"/>
      <c r="Z93" s="144"/>
    </row>
    <row r="94" spans="1:26" ht="24.75">
      <c r="A94" s="144"/>
      <c r="B94" s="141"/>
      <c r="C94" s="142"/>
      <c r="D94" s="154"/>
      <c r="E94" s="143"/>
      <c r="F94" s="144"/>
      <c r="G94" s="151"/>
      <c r="H94" s="151"/>
      <c r="I94" s="144"/>
      <c r="J94" s="144"/>
      <c r="K94" s="144"/>
      <c r="L94" s="144"/>
      <c r="M94" s="144"/>
      <c r="N94" s="144"/>
      <c r="O94" s="144"/>
      <c r="P94" s="144"/>
      <c r="Q94" s="144"/>
      <c r="R94" s="144"/>
      <c r="S94" s="144"/>
      <c r="T94" s="144"/>
      <c r="U94" s="144"/>
      <c r="V94" s="144"/>
      <c r="W94" s="144"/>
      <c r="X94" s="144"/>
      <c r="Y94" s="144"/>
      <c r="Z94" s="144"/>
    </row>
    <row r="95" spans="1:26" ht="24.75">
      <c r="A95" s="144"/>
      <c r="B95" s="141"/>
      <c r="C95" s="142"/>
      <c r="D95" s="154"/>
      <c r="E95" s="143"/>
      <c r="F95" s="144"/>
      <c r="G95" s="153"/>
      <c r="H95" s="153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144"/>
      <c r="Y95" s="144"/>
      <c r="Z95" s="144"/>
    </row>
    <row r="96" spans="1:26" ht="24.75">
      <c r="A96" s="144"/>
      <c r="B96" s="141"/>
      <c r="C96" s="142"/>
      <c r="D96" s="154"/>
      <c r="E96" s="143"/>
      <c r="F96" s="144"/>
      <c r="G96" s="151"/>
      <c r="H96" s="151"/>
      <c r="I96" s="144"/>
      <c r="J96" s="144"/>
      <c r="K96" s="144"/>
      <c r="L96" s="144"/>
      <c r="M96" s="144"/>
      <c r="N96" s="144"/>
      <c r="O96" s="144"/>
      <c r="P96" s="144"/>
      <c r="Q96" s="144"/>
      <c r="R96" s="144"/>
      <c r="S96" s="144"/>
      <c r="T96" s="144"/>
      <c r="U96" s="144"/>
      <c r="V96" s="144"/>
      <c r="W96" s="144"/>
      <c r="X96" s="144"/>
      <c r="Y96" s="144"/>
      <c r="Z96" s="144"/>
    </row>
    <row r="97" spans="1:26" ht="24.75">
      <c r="A97" s="144"/>
      <c r="B97" s="141"/>
      <c r="C97" s="142"/>
      <c r="D97" s="154"/>
      <c r="E97" s="143"/>
      <c r="F97" s="144"/>
      <c r="G97" s="153"/>
      <c r="H97" s="153"/>
      <c r="I97" s="144"/>
      <c r="J97" s="144"/>
      <c r="K97" s="144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  <c r="W97" s="144"/>
      <c r="X97" s="144"/>
      <c r="Y97" s="144"/>
      <c r="Z97" s="144"/>
    </row>
    <row r="98" spans="1:26" ht="24.75">
      <c r="A98" s="144"/>
      <c r="B98" s="141"/>
      <c r="C98" s="142"/>
      <c r="D98" s="154"/>
      <c r="E98" s="143"/>
      <c r="F98" s="144"/>
      <c r="G98" s="151"/>
      <c r="H98" s="151"/>
      <c r="I98" s="144"/>
      <c r="J98" s="144"/>
      <c r="K98" s="144"/>
      <c r="L98" s="144"/>
      <c r="M98" s="144"/>
      <c r="N98" s="144"/>
      <c r="O98" s="144"/>
      <c r="P98" s="144"/>
      <c r="Q98" s="144"/>
      <c r="R98" s="144"/>
      <c r="S98" s="144"/>
      <c r="T98" s="144"/>
      <c r="U98" s="144"/>
      <c r="V98" s="144"/>
      <c r="W98" s="144"/>
      <c r="X98" s="144"/>
      <c r="Y98" s="144"/>
      <c r="Z98" s="144"/>
    </row>
    <row r="99" spans="1:26" ht="24.75">
      <c r="A99" s="144"/>
      <c r="B99" s="141"/>
      <c r="C99" s="142"/>
      <c r="D99" s="154"/>
      <c r="E99" s="143"/>
      <c r="F99" s="144"/>
      <c r="G99" s="153"/>
      <c r="H99" s="153"/>
      <c r="I99" s="144"/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  <c r="W99" s="144"/>
      <c r="X99" s="144"/>
      <c r="Y99" s="144"/>
      <c r="Z99" s="144"/>
    </row>
    <row r="100" spans="1:26" ht="24.75">
      <c r="A100" s="144"/>
      <c r="B100" s="141"/>
      <c r="C100" s="142"/>
      <c r="D100" s="154"/>
      <c r="E100" s="143"/>
      <c r="F100" s="144"/>
      <c r="G100" s="151"/>
      <c r="H100" s="151"/>
      <c r="I100" s="144"/>
      <c r="J100" s="144"/>
      <c r="K100" s="144"/>
      <c r="L100" s="144"/>
      <c r="M100" s="144"/>
      <c r="N100" s="144"/>
      <c r="O100" s="144"/>
      <c r="P100" s="144"/>
      <c r="Q100" s="144"/>
      <c r="R100" s="144"/>
      <c r="S100" s="144"/>
      <c r="T100" s="144"/>
      <c r="U100" s="144"/>
      <c r="V100" s="144"/>
      <c r="W100" s="144"/>
      <c r="X100" s="144"/>
      <c r="Y100" s="144"/>
      <c r="Z100" s="144"/>
    </row>
    <row r="101" spans="1:26" ht="24.75">
      <c r="A101" s="144"/>
      <c r="B101" s="141"/>
      <c r="C101" s="142"/>
      <c r="D101" s="154"/>
      <c r="E101" s="143"/>
      <c r="F101" s="144"/>
      <c r="G101" s="153"/>
      <c r="H101" s="153"/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  <c r="W101" s="144"/>
      <c r="X101" s="144"/>
      <c r="Y101" s="144"/>
      <c r="Z101" s="144"/>
    </row>
    <row r="102" spans="1:26" ht="24.75">
      <c r="A102" s="144"/>
      <c r="B102" s="141"/>
      <c r="C102" s="142"/>
      <c r="D102" s="154"/>
      <c r="E102" s="143"/>
      <c r="F102" s="144"/>
      <c r="G102" s="151"/>
      <c r="H102" s="151"/>
      <c r="I102" s="144"/>
      <c r="J102" s="144"/>
      <c r="K102" s="144"/>
      <c r="L102" s="144"/>
      <c r="M102" s="144"/>
      <c r="N102" s="144"/>
      <c r="O102" s="144"/>
      <c r="P102" s="144"/>
      <c r="Q102" s="144"/>
      <c r="R102" s="144"/>
      <c r="S102" s="144"/>
      <c r="T102" s="144"/>
      <c r="U102" s="144"/>
      <c r="V102" s="144"/>
      <c r="W102" s="144"/>
      <c r="X102" s="144"/>
      <c r="Y102" s="144"/>
      <c r="Z102" s="144"/>
    </row>
    <row r="103" spans="1:26" ht="24.75">
      <c r="A103" s="144"/>
      <c r="B103" s="141"/>
      <c r="C103" s="142"/>
      <c r="D103" s="154"/>
      <c r="E103" s="143"/>
      <c r="F103" s="144"/>
      <c r="G103" s="153"/>
      <c r="H103" s="153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44"/>
      <c r="Y103" s="144"/>
      <c r="Z103" s="144"/>
    </row>
    <row r="104" spans="1:26" ht="24.75">
      <c r="A104" s="144"/>
      <c r="B104" s="141"/>
      <c r="C104" s="142"/>
      <c r="D104" s="154"/>
      <c r="E104" s="143"/>
      <c r="F104" s="144"/>
      <c r="G104" s="151"/>
      <c r="H104" s="151"/>
      <c r="I104" s="144"/>
      <c r="J104" s="144"/>
      <c r="K104" s="144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144"/>
      <c r="W104" s="144"/>
      <c r="X104" s="144"/>
      <c r="Y104" s="144"/>
      <c r="Z104" s="144"/>
    </row>
    <row r="105" spans="1:26" ht="24.75">
      <c r="A105" s="144"/>
      <c r="B105" s="141"/>
      <c r="C105" s="142"/>
      <c r="D105" s="154"/>
      <c r="E105" s="143"/>
      <c r="F105" s="144"/>
      <c r="G105" s="153"/>
      <c r="H105" s="153"/>
      <c r="I105" s="144"/>
      <c r="J105" s="144"/>
      <c r="K105" s="144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  <c r="W105" s="144"/>
      <c r="X105" s="144"/>
      <c r="Y105" s="144"/>
      <c r="Z105" s="144"/>
    </row>
    <row r="106" spans="1:26" ht="24.75">
      <c r="A106" s="144"/>
      <c r="B106" s="141"/>
      <c r="C106" s="142"/>
      <c r="D106" s="154"/>
      <c r="E106" s="143"/>
      <c r="F106" s="144"/>
      <c r="G106" s="151"/>
      <c r="H106" s="151"/>
      <c r="I106" s="144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144"/>
      <c r="X106" s="144"/>
      <c r="Y106" s="144"/>
      <c r="Z106" s="144"/>
    </row>
    <row r="107" spans="1:26" ht="24.75">
      <c r="A107" s="144"/>
      <c r="B107" s="141"/>
      <c r="C107" s="142"/>
      <c r="D107" s="154"/>
      <c r="E107" s="143"/>
      <c r="F107" s="144"/>
      <c r="G107" s="153"/>
      <c r="H107" s="153"/>
      <c r="I107" s="144"/>
      <c r="J107" s="144"/>
      <c r="K107" s="144"/>
      <c r="L107" s="144"/>
      <c r="M107" s="144"/>
      <c r="N107" s="144"/>
      <c r="O107" s="144"/>
      <c r="P107" s="144"/>
      <c r="Q107" s="144"/>
      <c r="R107" s="144"/>
      <c r="S107" s="144"/>
      <c r="T107" s="144"/>
      <c r="U107" s="144"/>
      <c r="V107" s="144"/>
      <c r="W107" s="144"/>
      <c r="X107" s="144"/>
      <c r="Y107" s="144"/>
      <c r="Z107" s="144"/>
    </row>
    <row r="108" spans="1:26" ht="24.75">
      <c r="A108" s="144"/>
      <c r="B108" s="141"/>
      <c r="C108" s="142"/>
      <c r="D108" s="154"/>
      <c r="E108" s="143"/>
      <c r="F108" s="144"/>
      <c r="G108" s="151"/>
      <c r="H108" s="151"/>
      <c r="I108" s="144"/>
      <c r="J108" s="144"/>
      <c r="K108" s="144"/>
      <c r="L108" s="144"/>
      <c r="M108" s="144"/>
      <c r="N108" s="144"/>
      <c r="O108" s="144"/>
      <c r="P108" s="144"/>
      <c r="Q108" s="144"/>
      <c r="R108" s="144"/>
      <c r="S108" s="144"/>
      <c r="T108" s="144"/>
      <c r="U108" s="144"/>
      <c r="V108" s="144"/>
      <c r="W108" s="144"/>
      <c r="X108" s="144"/>
      <c r="Y108" s="144"/>
      <c r="Z108" s="144"/>
    </row>
    <row r="109" spans="1:26" ht="24.75">
      <c r="A109" s="144"/>
      <c r="B109" s="141"/>
      <c r="C109" s="142"/>
      <c r="D109" s="154"/>
      <c r="E109" s="143"/>
      <c r="F109" s="144"/>
      <c r="G109" s="153"/>
      <c r="H109" s="153"/>
      <c r="I109" s="144"/>
      <c r="J109" s="144"/>
      <c r="K109" s="144"/>
      <c r="L109" s="144"/>
      <c r="M109" s="144"/>
      <c r="N109" s="144"/>
      <c r="O109" s="144"/>
      <c r="P109" s="144"/>
      <c r="Q109" s="144"/>
      <c r="R109" s="144"/>
      <c r="S109" s="144"/>
      <c r="T109" s="144"/>
      <c r="U109" s="144"/>
      <c r="V109" s="144"/>
      <c r="W109" s="144"/>
      <c r="X109" s="144"/>
      <c r="Y109" s="144"/>
      <c r="Z109" s="144"/>
    </row>
    <row r="110" spans="1:26" ht="24.75">
      <c r="A110" s="144"/>
      <c r="B110" s="141"/>
      <c r="C110" s="142"/>
      <c r="D110" s="154"/>
      <c r="E110" s="143"/>
      <c r="F110" s="144"/>
      <c r="G110" s="151"/>
      <c r="H110" s="151"/>
      <c r="I110" s="144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  <c r="W110" s="144"/>
      <c r="X110" s="144"/>
      <c r="Y110" s="144"/>
      <c r="Z110" s="144"/>
    </row>
    <row r="111" spans="1:26" ht="24.75">
      <c r="A111" s="144"/>
      <c r="B111" s="141"/>
      <c r="C111" s="142"/>
      <c r="D111" s="154"/>
      <c r="E111" s="143"/>
      <c r="F111" s="144"/>
      <c r="G111" s="153"/>
      <c r="H111" s="153"/>
      <c r="I111" s="144"/>
      <c r="J111" s="144"/>
      <c r="K111" s="144"/>
      <c r="L111" s="144"/>
      <c r="M111" s="144"/>
      <c r="N111" s="144"/>
      <c r="O111" s="144"/>
      <c r="P111" s="144"/>
      <c r="Q111" s="144"/>
      <c r="R111" s="144"/>
      <c r="S111" s="144"/>
      <c r="T111" s="144"/>
      <c r="U111" s="144"/>
      <c r="V111" s="144"/>
      <c r="W111" s="144"/>
      <c r="X111" s="144"/>
      <c r="Y111" s="144"/>
      <c r="Z111" s="144"/>
    </row>
    <row r="112" spans="1:26" ht="24.75">
      <c r="A112" s="144"/>
      <c r="B112" s="141"/>
      <c r="C112" s="142"/>
      <c r="D112" s="154"/>
      <c r="E112" s="143"/>
      <c r="F112" s="144"/>
      <c r="G112" s="151"/>
      <c r="H112" s="151"/>
      <c r="I112" s="144"/>
      <c r="J112" s="144"/>
      <c r="K112" s="144"/>
      <c r="L112" s="144"/>
      <c r="M112" s="144"/>
      <c r="N112" s="144"/>
      <c r="O112" s="144"/>
      <c r="P112" s="144"/>
      <c r="Q112" s="144"/>
      <c r="R112" s="144"/>
      <c r="S112" s="144"/>
      <c r="T112" s="144"/>
      <c r="U112" s="144"/>
      <c r="V112" s="144"/>
      <c r="W112" s="144"/>
      <c r="X112" s="144"/>
      <c r="Y112" s="144"/>
      <c r="Z112" s="144"/>
    </row>
    <row r="113" spans="1:26" ht="24.75">
      <c r="A113" s="144"/>
      <c r="B113" s="141"/>
      <c r="C113" s="142"/>
      <c r="D113" s="154"/>
      <c r="E113" s="143"/>
      <c r="F113" s="144"/>
      <c r="G113" s="153"/>
      <c r="H113" s="153"/>
      <c r="I113" s="144"/>
      <c r="J113" s="144"/>
      <c r="K113" s="144"/>
      <c r="L113" s="144"/>
      <c r="M113" s="144"/>
      <c r="N113" s="144"/>
      <c r="O113" s="144"/>
      <c r="P113" s="144"/>
      <c r="Q113" s="144"/>
      <c r="R113" s="144"/>
      <c r="S113" s="144"/>
      <c r="T113" s="144"/>
      <c r="U113" s="144"/>
      <c r="V113" s="144"/>
      <c r="W113" s="144"/>
      <c r="X113" s="144"/>
      <c r="Y113" s="144"/>
      <c r="Z113" s="144"/>
    </row>
    <row r="114" spans="1:26" ht="24.75">
      <c r="A114" s="144"/>
      <c r="B114" s="141"/>
      <c r="C114" s="142"/>
      <c r="D114" s="154"/>
      <c r="E114" s="143"/>
      <c r="F114" s="144"/>
      <c r="G114" s="151"/>
      <c r="H114" s="151"/>
      <c r="I114" s="144"/>
      <c r="J114" s="144"/>
      <c r="K114" s="144"/>
      <c r="L114" s="144"/>
      <c r="M114" s="144"/>
      <c r="N114" s="144"/>
      <c r="O114" s="144"/>
      <c r="P114" s="144"/>
      <c r="Q114" s="144"/>
      <c r="R114" s="144"/>
      <c r="S114" s="144"/>
      <c r="T114" s="144"/>
      <c r="U114" s="144"/>
      <c r="V114" s="144"/>
      <c r="W114" s="144"/>
      <c r="X114" s="144"/>
      <c r="Y114" s="144"/>
      <c r="Z114" s="144"/>
    </row>
    <row r="115" spans="1:26" ht="24.75">
      <c r="A115" s="144"/>
      <c r="B115" s="141"/>
      <c r="C115" s="142"/>
      <c r="D115" s="154"/>
      <c r="E115" s="143"/>
      <c r="F115" s="144"/>
      <c r="G115" s="153"/>
      <c r="H115" s="153"/>
      <c r="I115" s="144"/>
      <c r="J115" s="144"/>
      <c r="K115" s="144"/>
      <c r="L115" s="144"/>
      <c r="M115" s="144"/>
      <c r="N115" s="144"/>
      <c r="O115" s="144"/>
      <c r="P115" s="144"/>
      <c r="Q115" s="144"/>
      <c r="R115" s="144"/>
      <c r="S115" s="144"/>
      <c r="T115" s="144"/>
      <c r="U115" s="144"/>
      <c r="V115" s="144"/>
      <c r="W115" s="144"/>
      <c r="X115" s="144"/>
      <c r="Y115" s="144"/>
      <c r="Z115" s="144"/>
    </row>
    <row r="116" spans="1:26" ht="24.75">
      <c r="A116" s="144"/>
      <c r="B116" s="141"/>
      <c r="C116" s="142"/>
      <c r="D116" s="154"/>
      <c r="E116" s="143"/>
      <c r="F116" s="144"/>
      <c r="G116" s="151"/>
      <c r="H116" s="151"/>
      <c r="I116" s="144"/>
      <c r="J116" s="144"/>
      <c r="K116" s="144"/>
      <c r="L116" s="144"/>
      <c r="M116" s="144"/>
      <c r="N116" s="144"/>
      <c r="O116" s="144"/>
      <c r="P116" s="144"/>
      <c r="Q116" s="144"/>
      <c r="R116" s="144"/>
      <c r="S116" s="144"/>
      <c r="T116" s="144"/>
      <c r="U116" s="144"/>
      <c r="V116" s="144"/>
      <c r="W116" s="144"/>
      <c r="X116" s="144"/>
      <c r="Y116" s="144"/>
      <c r="Z116" s="144"/>
    </row>
    <row r="117" spans="1:26" ht="24.75">
      <c r="A117" s="144"/>
      <c r="B117" s="141"/>
      <c r="C117" s="142"/>
      <c r="D117" s="154"/>
      <c r="E117" s="143"/>
      <c r="F117" s="144"/>
      <c r="G117" s="153"/>
      <c r="H117" s="153"/>
      <c r="I117" s="144"/>
      <c r="J117" s="144"/>
      <c r="K117" s="144"/>
      <c r="L117" s="144"/>
      <c r="M117" s="144"/>
      <c r="N117" s="144"/>
      <c r="O117" s="144"/>
      <c r="P117" s="144"/>
      <c r="Q117" s="144"/>
      <c r="R117" s="144"/>
      <c r="S117" s="144"/>
      <c r="T117" s="144"/>
      <c r="U117" s="144"/>
      <c r="V117" s="144"/>
      <c r="W117" s="144"/>
      <c r="X117" s="144"/>
      <c r="Y117" s="144"/>
      <c r="Z117" s="144"/>
    </row>
    <row r="118" spans="1:26" ht="24.75">
      <c r="A118" s="144"/>
      <c r="B118" s="141"/>
      <c r="C118" s="142"/>
      <c r="D118" s="154"/>
      <c r="E118" s="143"/>
      <c r="F118" s="144"/>
      <c r="G118" s="151"/>
      <c r="H118" s="151"/>
      <c r="I118" s="144"/>
      <c r="J118" s="144"/>
      <c r="K118" s="144"/>
      <c r="L118" s="144"/>
      <c r="M118" s="144"/>
      <c r="N118" s="144"/>
      <c r="O118" s="144"/>
      <c r="P118" s="144"/>
      <c r="Q118" s="144"/>
      <c r="R118" s="144"/>
      <c r="S118" s="144"/>
      <c r="T118" s="144"/>
      <c r="U118" s="144"/>
      <c r="V118" s="144"/>
      <c r="W118" s="144"/>
      <c r="X118" s="144"/>
      <c r="Y118" s="144"/>
      <c r="Z118" s="144"/>
    </row>
    <row r="119" spans="1:26" ht="24.75">
      <c r="A119" s="144"/>
      <c r="B119" s="141"/>
      <c r="C119" s="142"/>
      <c r="D119" s="154"/>
      <c r="E119" s="143"/>
      <c r="F119" s="144"/>
      <c r="G119" s="153"/>
      <c r="H119" s="153"/>
      <c r="I119" s="144"/>
      <c r="J119" s="144"/>
      <c r="K119" s="144"/>
      <c r="L119" s="144"/>
      <c r="M119" s="144"/>
      <c r="N119" s="144"/>
      <c r="O119" s="144"/>
      <c r="P119" s="144"/>
      <c r="Q119" s="144"/>
      <c r="R119" s="144"/>
      <c r="S119" s="144"/>
      <c r="T119" s="144"/>
      <c r="U119" s="144"/>
      <c r="V119" s="144"/>
      <c r="W119" s="144"/>
      <c r="X119" s="144"/>
      <c r="Y119" s="144"/>
      <c r="Z119" s="144"/>
    </row>
    <row r="120" spans="1:26" ht="24.75">
      <c r="A120" s="144"/>
      <c r="B120" s="141"/>
      <c r="C120" s="142"/>
      <c r="D120" s="154"/>
      <c r="E120" s="143"/>
      <c r="F120" s="144"/>
      <c r="G120" s="151"/>
      <c r="H120" s="151"/>
      <c r="I120" s="144"/>
      <c r="J120" s="144"/>
      <c r="K120" s="144"/>
      <c r="L120" s="144"/>
      <c r="M120" s="144"/>
      <c r="N120" s="144"/>
      <c r="O120" s="144"/>
      <c r="P120" s="144"/>
      <c r="Q120" s="144"/>
      <c r="R120" s="144"/>
      <c r="S120" s="144"/>
      <c r="T120" s="144"/>
      <c r="U120" s="144"/>
      <c r="V120" s="144"/>
      <c r="W120" s="144"/>
      <c r="X120" s="144"/>
      <c r="Y120" s="144"/>
      <c r="Z120" s="144"/>
    </row>
    <row r="121" spans="1:26" ht="24.75">
      <c r="A121" s="144"/>
      <c r="B121" s="141"/>
      <c r="C121" s="142"/>
      <c r="D121" s="154"/>
      <c r="E121" s="143"/>
      <c r="F121" s="144"/>
      <c r="G121" s="153"/>
      <c r="H121" s="153"/>
      <c r="I121" s="144"/>
      <c r="J121" s="144"/>
      <c r="K121" s="144"/>
      <c r="L121" s="144"/>
      <c r="M121" s="144"/>
      <c r="N121" s="144"/>
      <c r="O121" s="144"/>
      <c r="P121" s="144"/>
      <c r="Q121" s="144"/>
      <c r="R121" s="144"/>
      <c r="S121" s="144"/>
      <c r="T121" s="144"/>
      <c r="U121" s="144"/>
      <c r="V121" s="144"/>
      <c r="W121" s="144"/>
      <c r="X121" s="144"/>
      <c r="Y121" s="144"/>
      <c r="Z121" s="144"/>
    </row>
    <row r="122" spans="1:26" ht="24.75">
      <c r="A122" s="144"/>
      <c r="B122" s="141"/>
      <c r="C122" s="142"/>
      <c r="D122" s="154"/>
      <c r="E122" s="143"/>
      <c r="F122" s="144"/>
      <c r="G122" s="151"/>
      <c r="H122" s="151"/>
      <c r="I122" s="144"/>
      <c r="J122" s="144"/>
      <c r="K122" s="144"/>
      <c r="L122" s="144"/>
      <c r="M122" s="144"/>
      <c r="N122" s="144"/>
      <c r="O122" s="144"/>
      <c r="P122" s="144"/>
      <c r="Q122" s="144"/>
      <c r="R122" s="144"/>
      <c r="S122" s="144"/>
      <c r="T122" s="144"/>
      <c r="U122" s="144"/>
      <c r="V122" s="144"/>
      <c r="W122" s="144"/>
      <c r="X122" s="144"/>
      <c r="Y122" s="144"/>
      <c r="Z122" s="144"/>
    </row>
    <row r="123" spans="1:26" ht="24.75">
      <c r="A123" s="144"/>
      <c r="B123" s="141"/>
      <c r="C123" s="142"/>
      <c r="D123" s="154"/>
      <c r="E123" s="143"/>
      <c r="F123" s="144"/>
      <c r="G123" s="153"/>
      <c r="H123" s="153"/>
      <c r="I123" s="144"/>
      <c r="J123" s="144"/>
      <c r="K123" s="144"/>
      <c r="L123" s="144"/>
      <c r="M123" s="144"/>
      <c r="N123" s="144"/>
      <c r="O123" s="144"/>
      <c r="P123" s="144"/>
      <c r="Q123" s="144"/>
      <c r="R123" s="144"/>
      <c r="S123" s="144"/>
      <c r="T123" s="144"/>
      <c r="U123" s="144"/>
      <c r="V123" s="144"/>
      <c r="W123" s="144"/>
      <c r="X123" s="144"/>
      <c r="Y123" s="144"/>
      <c r="Z123" s="144"/>
    </row>
    <row r="124" spans="1:26" ht="24.75">
      <c r="A124" s="144"/>
      <c r="B124" s="141"/>
      <c r="C124" s="142"/>
      <c r="D124" s="154"/>
      <c r="E124" s="143"/>
      <c r="F124" s="144"/>
      <c r="G124" s="151"/>
      <c r="H124" s="151"/>
      <c r="I124" s="144"/>
      <c r="J124" s="144"/>
      <c r="K124" s="144"/>
      <c r="L124" s="144"/>
      <c r="M124" s="144"/>
      <c r="N124" s="144"/>
      <c r="O124" s="144"/>
      <c r="P124" s="144"/>
      <c r="Q124" s="144"/>
      <c r="R124" s="144"/>
      <c r="S124" s="144"/>
      <c r="T124" s="144"/>
      <c r="U124" s="144"/>
      <c r="V124" s="144"/>
      <c r="W124" s="144"/>
      <c r="X124" s="144"/>
      <c r="Y124" s="144"/>
      <c r="Z124" s="144"/>
    </row>
    <row r="125" spans="1:26" ht="24.75">
      <c r="A125" s="144"/>
      <c r="B125" s="141"/>
      <c r="C125" s="142"/>
      <c r="D125" s="154"/>
      <c r="E125" s="143"/>
      <c r="F125" s="144"/>
      <c r="G125" s="153"/>
      <c r="H125" s="153"/>
      <c r="I125" s="144"/>
      <c r="J125" s="144"/>
      <c r="K125" s="144"/>
      <c r="L125" s="144"/>
      <c r="M125" s="144"/>
      <c r="N125" s="144"/>
      <c r="O125" s="144"/>
      <c r="P125" s="144"/>
      <c r="Q125" s="144"/>
      <c r="R125" s="144"/>
      <c r="S125" s="144"/>
      <c r="T125" s="144"/>
      <c r="U125" s="144"/>
      <c r="V125" s="144"/>
      <c r="W125" s="144"/>
      <c r="X125" s="144"/>
      <c r="Y125" s="144"/>
      <c r="Z125" s="144"/>
    </row>
    <row r="126" spans="1:26" ht="24.75">
      <c r="A126" s="144"/>
      <c r="B126" s="141"/>
      <c r="C126" s="142"/>
      <c r="D126" s="154"/>
      <c r="E126" s="143"/>
      <c r="F126" s="144"/>
      <c r="G126" s="151"/>
      <c r="H126" s="151"/>
      <c r="I126" s="144"/>
      <c r="J126" s="144"/>
      <c r="K126" s="144"/>
      <c r="L126" s="144"/>
      <c r="M126" s="144"/>
      <c r="N126" s="144"/>
      <c r="O126" s="144"/>
      <c r="P126" s="144"/>
      <c r="Q126" s="144"/>
      <c r="R126" s="144"/>
      <c r="S126" s="144"/>
      <c r="T126" s="144"/>
      <c r="U126" s="144"/>
      <c r="V126" s="144"/>
      <c r="W126" s="144"/>
      <c r="X126" s="144"/>
      <c r="Y126" s="144"/>
      <c r="Z126" s="144"/>
    </row>
    <row r="127" spans="1:26" ht="24.75">
      <c r="A127" s="144"/>
      <c r="B127" s="141"/>
      <c r="C127" s="142"/>
      <c r="D127" s="154"/>
      <c r="E127" s="143"/>
      <c r="F127" s="144"/>
      <c r="G127" s="153"/>
      <c r="H127" s="153"/>
      <c r="I127" s="144"/>
      <c r="J127" s="144"/>
      <c r="K127" s="144"/>
      <c r="L127" s="144"/>
      <c r="M127" s="144"/>
      <c r="N127" s="144"/>
      <c r="O127" s="144"/>
      <c r="P127" s="144"/>
      <c r="Q127" s="144"/>
      <c r="R127" s="144"/>
      <c r="S127" s="144"/>
      <c r="T127" s="144"/>
      <c r="U127" s="144"/>
      <c r="V127" s="144"/>
      <c r="W127" s="144"/>
      <c r="X127" s="144"/>
      <c r="Y127" s="144"/>
      <c r="Z127" s="144"/>
    </row>
    <row r="128" spans="1:26" ht="24.75">
      <c r="A128" s="144"/>
      <c r="B128" s="141"/>
      <c r="C128" s="142"/>
      <c r="D128" s="154"/>
      <c r="E128" s="143"/>
      <c r="F128" s="144"/>
      <c r="G128" s="151"/>
      <c r="H128" s="151"/>
      <c r="I128" s="144"/>
      <c r="J128" s="144"/>
      <c r="K128" s="144"/>
      <c r="L128" s="144"/>
      <c r="M128" s="144"/>
      <c r="N128" s="144"/>
      <c r="O128" s="144"/>
      <c r="P128" s="144"/>
      <c r="Q128" s="144"/>
      <c r="R128" s="144"/>
      <c r="S128" s="144"/>
      <c r="T128" s="144"/>
      <c r="U128" s="144"/>
      <c r="V128" s="144"/>
      <c r="W128" s="144"/>
      <c r="X128" s="144"/>
      <c r="Y128" s="144"/>
      <c r="Z128" s="144"/>
    </row>
    <row r="129" spans="1:26" ht="24.75">
      <c r="A129" s="144"/>
      <c r="B129" s="141"/>
      <c r="C129" s="142"/>
      <c r="D129" s="154"/>
      <c r="E129" s="143"/>
      <c r="F129" s="144"/>
      <c r="G129" s="153"/>
      <c r="H129" s="153"/>
      <c r="I129" s="144"/>
      <c r="J129" s="144"/>
      <c r="K129" s="144"/>
      <c r="L129" s="144"/>
      <c r="M129" s="144"/>
      <c r="N129" s="144"/>
      <c r="O129" s="144"/>
      <c r="P129" s="144"/>
      <c r="Q129" s="144"/>
      <c r="R129" s="144"/>
      <c r="S129" s="144"/>
      <c r="T129" s="144"/>
      <c r="U129" s="144"/>
      <c r="V129" s="144"/>
      <c r="W129" s="144"/>
      <c r="X129" s="144"/>
      <c r="Y129" s="144"/>
      <c r="Z129" s="144"/>
    </row>
    <row r="130" spans="1:26" ht="24.75">
      <c r="A130" s="144"/>
      <c r="B130" s="141"/>
      <c r="C130" s="142"/>
      <c r="D130" s="154"/>
      <c r="E130" s="143"/>
      <c r="F130" s="144"/>
      <c r="G130" s="151"/>
      <c r="H130" s="151"/>
      <c r="I130" s="144"/>
      <c r="J130" s="144"/>
      <c r="K130" s="144"/>
      <c r="L130" s="144"/>
      <c r="M130" s="144"/>
      <c r="N130" s="144"/>
      <c r="O130" s="144"/>
      <c r="P130" s="144"/>
      <c r="Q130" s="144"/>
      <c r="R130" s="144"/>
      <c r="S130" s="144"/>
      <c r="T130" s="144"/>
      <c r="U130" s="144"/>
      <c r="V130" s="144"/>
      <c r="W130" s="144"/>
      <c r="X130" s="144"/>
      <c r="Y130" s="144"/>
      <c r="Z130" s="144"/>
    </row>
    <row r="131" spans="1:26" ht="24.75">
      <c r="A131" s="144"/>
      <c r="B131" s="141"/>
      <c r="C131" s="142"/>
      <c r="D131" s="154"/>
      <c r="E131" s="143"/>
      <c r="F131" s="144"/>
      <c r="G131" s="153"/>
      <c r="H131" s="153"/>
      <c r="I131" s="144"/>
      <c r="J131" s="144"/>
      <c r="K131" s="144"/>
      <c r="L131" s="144"/>
      <c r="M131" s="144"/>
      <c r="N131" s="144"/>
      <c r="O131" s="144"/>
      <c r="P131" s="144"/>
      <c r="Q131" s="144"/>
      <c r="R131" s="144"/>
      <c r="S131" s="144"/>
      <c r="T131" s="144"/>
      <c r="U131" s="144"/>
      <c r="V131" s="144"/>
      <c r="W131" s="144"/>
      <c r="X131" s="144"/>
      <c r="Y131" s="144"/>
      <c r="Z131" s="144"/>
    </row>
    <row r="132" spans="1:26" ht="24.75">
      <c r="A132" s="144"/>
      <c r="B132" s="141"/>
      <c r="C132" s="142"/>
      <c r="D132" s="154"/>
      <c r="E132" s="143"/>
      <c r="F132" s="144"/>
      <c r="G132" s="151"/>
      <c r="H132" s="151"/>
      <c r="I132" s="144"/>
      <c r="J132" s="144"/>
      <c r="K132" s="144"/>
      <c r="L132" s="144"/>
      <c r="M132" s="144"/>
      <c r="N132" s="144"/>
      <c r="O132" s="144"/>
      <c r="P132" s="144"/>
      <c r="Q132" s="144"/>
      <c r="R132" s="144"/>
      <c r="S132" s="144"/>
      <c r="T132" s="144"/>
      <c r="U132" s="144"/>
      <c r="V132" s="144"/>
      <c r="W132" s="144"/>
      <c r="X132" s="144"/>
      <c r="Y132" s="144"/>
      <c r="Z132" s="144"/>
    </row>
    <row r="133" spans="1:26" ht="24.75">
      <c r="A133" s="144"/>
      <c r="B133" s="141"/>
      <c r="C133" s="142"/>
      <c r="D133" s="154"/>
      <c r="E133" s="143"/>
      <c r="F133" s="144"/>
      <c r="G133" s="153"/>
      <c r="H133" s="153"/>
      <c r="I133" s="144"/>
      <c r="J133" s="144"/>
      <c r="K133" s="144"/>
      <c r="L133" s="144"/>
      <c r="M133" s="144"/>
      <c r="N133" s="144"/>
      <c r="O133" s="144"/>
      <c r="P133" s="144"/>
      <c r="Q133" s="144"/>
      <c r="R133" s="144"/>
      <c r="S133" s="144"/>
      <c r="T133" s="144"/>
      <c r="U133" s="144"/>
      <c r="V133" s="144"/>
      <c r="W133" s="144"/>
      <c r="X133" s="144"/>
      <c r="Y133" s="144"/>
      <c r="Z133" s="144"/>
    </row>
    <row r="134" spans="1:26" ht="24.75">
      <c r="A134" s="144"/>
      <c r="B134" s="141"/>
      <c r="C134" s="142"/>
      <c r="D134" s="154"/>
      <c r="E134" s="143"/>
      <c r="F134" s="144"/>
      <c r="G134" s="151"/>
      <c r="H134" s="151"/>
      <c r="I134" s="144"/>
      <c r="J134" s="144"/>
      <c r="K134" s="144"/>
      <c r="L134" s="144"/>
      <c r="M134" s="144"/>
      <c r="N134" s="144"/>
      <c r="O134" s="144"/>
      <c r="P134" s="144"/>
      <c r="Q134" s="144"/>
      <c r="R134" s="144"/>
      <c r="S134" s="144"/>
      <c r="T134" s="144"/>
      <c r="U134" s="144"/>
      <c r="V134" s="144"/>
      <c r="W134" s="144"/>
      <c r="X134" s="144"/>
      <c r="Y134" s="144"/>
      <c r="Z134" s="144"/>
    </row>
    <row r="135" spans="1:26" ht="24.75">
      <c r="A135" s="144"/>
      <c r="B135" s="141"/>
      <c r="C135" s="142"/>
      <c r="D135" s="154"/>
      <c r="E135" s="143"/>
      <c r="F135" s="144"/>
      <c r="G135" s="153"/>
      <c r="H135" s="153"/>
      <c r="I135" s="144"/>
      <c r="J135" s="144"/>
      <c r="K135" s="144"/>
      <c r="L135" s="144"/>
      <c r="M135" s="144"/>
      <c r="N135" s="144"/>
      <c r="O135" s="144"/>
      <c r="P135" s="144"/>
      <c r="Q135" s="144"/>
      <c r="R135" s="144"/>
      <c r="S135" s="144"/>
      <c r="T135" s="144"/>
      <c r="U135" s="144"/>
      <c r="V135" s="144"/>
      <c r="W135" s="144"/>
      <c r="X135" s="144"/>
      <c r="Y135" s="144"/>
      <c r="Z135" s="144"/>
    </row>
    <row r="136" spans="1:26" ht="24.75">
      <c r="A136" s="144"/>
      <c r="B136" s="141"/>
      <c r="C136" s="142"/>
      <c r="D136" s="154"/>
      <c r="E136" s="143"/>
      <c r="F136" s="144"/>
      <c r="G136" s="151"/>
      <c r="H136" s="151"/>
      <c r="I136" s="144"/>
      <c r="J136" s="144"/>
      <c r="K136" s="144"/>
      <c r="L136" s="144"/>
      <c r="M136" s="144"/>
      <c r="N136" s="144"/>
      <c r="O136" s="144"/>
      <c r="P136" s="144"/>
      <c r="Q136" s="144"/>
      <c r="R136" s="144"/>
      <c r="S136" s="144"/>
      <c r="T136" s="144"/>
      <c r="U136" s="144"/>
      <c r="V136" s="144"/>
      <c r="W136" s="144"/>
      <c r="X136" s="144"/>
      <c r="Y136" s="144"/>
      <c r="Z136" s="144"/>
    </row>
    <row r="137" spans="1:26" ht="24.75">
      <c r="A137" s="144"/>
      <c r="B137" s="141"/>
      <c r="C137" s="142"/>
      <c r="D137" s="154"/>
      <c r="E137" s="143"/>
      <c r="F137" s="144"/>
      <c r="G137" s="153"/>
      <c r="H137" s="153"/>
      <c r="I137" s="144"/>
      <c r="J137" s="144"/>
      <c r="K137" s="144"/>
      <c r="L137" s="144"/>
      <c r="M137" s="144"/>
      <c r="N137" s="144"/>
      <c r="O137" s="144"/>
      <c r="P137" s="144"/>
      <c r="Q137" s="144"/>
      <c r="R137" s="144"/>
      <c r="S137" s="144"/>
      <c r="T137" s="144"/>
      <c r="U137" s="144"/>
      <c r="V137" s="144"/>
      <c r="W137" s="144"/>
      <c r="X137" s="144"/>
      <c r="Y137" s="144"/>
      <c r="Z137" s="144"/>
    </row>
    <row r="138" spans="1:26" ht="24.75">
      <c r="A138" s="144"/>
      <c r="B138" s="141"/>
      <c r="C138" s="142"/>
      <c r="D138" s="154"/>
      <c r="E138" s="143"/>
      <c r="F138" s="144"/>
      <c r="G138" s="151"/>
      <c r="H138" s="151"/>
      <c r="I138" s="144"/>
      <c r="J138" s="144"/>
      <c r="K138" s="144"/>
      <c r="L138" s="144"/>
      <c r="M138" s="144"/>
      <c r="N138" s="144"/>
      <c r="O138" s="144"/>
      <c r="P138" s="144"/>
      <c r="Q138" s="144"/>
      <c r="R138" s="144"/>
      <c r="S138" s="144"/>
      <c r="T138" s="144"/>
      <c r="U138" s="144"/>
      <c r="V138" s="144"/>
      <c r="W138" s="144"/>
      <c r="X138" s="144"/>
      <c r="Y138" s="144"/>
      <c r="Z138" s="144"/>
    </row>
    <row r="139" spans="1:26" ht="24.75">
      <c r="A139" s="144"/>
      <c r="B139" s="141"/>
      <c r="C139" s="142"/>
      <c r="D139" s="154"/>
      <c r="E139" s="143"/>
      <c r="F139" s="144"/>
      <c r="G139" s="153"/>
      <c r="H139" s="153"/>
      <c r="I139" s="144"/>
      <c r="J139" s="144"/>
      <c r="K139" s="144"/>
      <c r="L139" s="144"/>
      <c r="M139" s="144"/>
      <c r="N139" s="144"/>
      <c r="O139" s="144"/>
      <c r="P139" s="144"/>
      <c r="Q139" s="144"/>
      <c r="R139" s="144"/>
      <c r="S139" s="144"/>
      <c r="T139" s="144"/>
      <c r="U139" s="144"/>
      <c r="V139" s="144"/>
      <c r="W139" s="144"/>
      <c r="X139" s="144"/>
      <c r="Y139" s="144"/>
      <c r="Z139" s="144"/>
    </row>
    <row r="140" spans="1:26" ht="24.75">
      <c r="A140" s="144"/>
      <c r="B140" s="141"/>
      <c r="C140" s="142"/>
      <c r="D140" s="154"/>
      <c r="E140" s="143"/>
      <c r="F140" s="144"/>
      <c r="G140" s="151"/>
      <c r="H140" s="151"/>
      <c r="I140" s="144"/>
      <c r="J140" s="144"/>
      <c r="K140" s="144"/>
      <c r="L140" s="144"/>
      <c r="M140" s="144"/>
      <c r="N140" s="144"/>
      <c r="O140" s="144"/>
      <c r="P140" s="144"/>
      <c r="Q140" s="144"/>
      <c r="R140" s="144"/>
      <c r="S140" s="144"/>
      <c r="T140" s="144"/>
      <c r="U140" s="144"/>
      <c r="V140" s="144"/>
      <c r="W140" s="144"/>
      <c r="X140" s="144"/>
      <c r="Y140" s="144"/>
      <c r="Z140" s="144"/>
    </row>
    <row r="141" spans="1:26" ht="24.75">
      <c r="A141" s="144"/>
      <c r="B141" s="141"/>
      <c r="C141" s="142"/>
      <c r="D141" s="154"/>
      <c r="E141" s="143"/>
      <c r="F141" s="144"/>
      <c r="G141" s="153"/>
      <c r="H141" s="153"/>
      <c r="I141" s="144"/>
      <c r="J141" s="144"/>
      <c r="K141" s="144"/>
      <c r="L141" s="144"/>
      <c r="M141" s="144"/>
      <c r="N141" s="144"/>
      <c r="O141" s="144"/>
      <c r="P141" s="144"/>
      <c r="Q141" s="144"/>
      <c r="R141" s="144"/>
      <c r="S141" s="144"/>
      <c r="T141" s="144"/>
      <c r="U141" s="144"/>
      <c r="V141" s="144"/>
      <c r="W141" s="144"/>
      <c r="X141" s="144"/>
      <c r="Y141" s="144"/>
      <c r="Z141" s="144"/>
    </row>
    <row r="142" spans="1:26" ht="24.75">
      <c r="A142" s="144"/>
      <c r="B142" s="141"/>
      <c r="C142" s="142"/>
      <c r="D142" s="154"/>
      <c r="E142" s="143"/>
      <c r="F142" s="144"/>
      <c r="G142" s="151"/>
      <c r="H142" s="151"/>
      <c r="I142" s="144"/>
      <c r="J142" s="144"/>
      <c r="K142" s="144"/>
      <c r="L142" s="144"/>
      <c r="M142" s="144"/>
      <c r="N142" s="144"/>
      <c r="O142" s="144"/>
      <c r="P142" s="144"/>
      <c r="Q142" s="144"/>
      <c r="R142" s="144"/>
      <c r="S142" s="144"/>
      <c r="T142" s="144"/>
      <c r="U142" s="144"/>
      <c r="V142" s="144"/>
      <c r="W142" s="144"/>
      <c r="X142" s="144"/>
      <c r="Y142" s="144"/>
      <c r="Z142" s="144"/>
    </row>
    <row r="143" spans="1:26" ht="24.75">
      <c r="A143" s="144"/>
      <c r="B143" s="141"/>
      <c r="C143" s="142"/>
      <c r="D143" s="154"/>
      <c r="E143" s="143"/>
      <c r="F143" s="144"/>
      <c r="G143" s="153"/>
      <c r="H143" s="153"/>
      <c r="I143" s="144"/>
      <c r="J143" s="144"/>
      <c r="K143" s="144"/>
      <c r="L143" s="144"/>
      <c r="M143" s="144"/>
      <c r="N143" s="144"/>
      <c r="O143" s="144"/>
      <c r="P143" s="144"/>
      <c r="Q143" s="144"/>
      <c r="R143" s="144"/>
      <c r="S143" s="144"/>
      <c r="T143" s="144"/>
      <c r="U143" s="144"/>
      <c r="V143" s="144"/>
      <c r="W143" s="144"/>
      <c r="X143" s="144"/>
      <c r="Y143" s="144"/>
      <c r="Z143" s="144"/>
    </row>
    <row r="144" spans="1:26" ht="24.75">
      <c r="A144" s="144"/>
      <c r="B144" s="141"/>
      <c r="C144" s="142"/>
      <c r="D144" s="154"/>
      <c r="E144" s="143"/>
      <c r="F144" s="144"/>
      <c r="G144" s="151"/>
      <c r="H144" s="151"/>
      <c r="I144" s="144"/>
      <c r="J144" s="144"/>
      <c r="K144" s="144"/>
      <c r="L144" s="144"/>
      <c r="M144" s="144"/>
      <c r="N144" s="144"/>
      <c r="O144" s="144"/>
      <c r="P144" s="144"/>
      <c r="Q144" s="144"/>
      <c r="R144" s="144"/>
      <c r="S144" s="144"/>
      <c r="T144" s="144"/>
      <c r="U144" s="144"/>
      <c r="V144" s="144"/>
      <c r="W144" s="144"/>
      <c r="X144" s="144"/>
      <c r="Y144" s="144"/>
      <c r="Z144" s="144"/>
    </row>
    <row r="145" spans="1:26" ht="24.75">
      <c r="A145" s="144"/>
      <c r="B145" s="141"/>
      <c r="C145" s="142"/>
      <c r="D145" s="154"/>
      <c r="E145" s="143"/>
      <c r="F145" s="144"/>
      <c r="G145" s="153"/>
      <c r="H145" s="153"/>
      <c r="I145" s="144"/>
      <c r="J145" s="144"/>
      <c r="K145" s="144"/>
      <c r="L145" s="144"/>
      <c r="M145" s="144"/>
      <c r="N145" s="144"/>
      <c r="O145" s="144"/>
      <c r="P145" s="144"/>
      <c r="Q145" s="144"/>
      <c r="R145" s="144"/>
      <c r="S145" s="144"/>
      <c r="T145" s="144"/>
      <c r="U145" s="144"/>
      <c r="V145" s="144"/>
      <c r="W145" s="144"/>
      <c r="X145" s="144"/>
      <c r="Y145" s="144"/>
      <c r="Z145" s="144"/>
    </row>
    <row r="146" spans="1:26" ht="24.75">
      <c r="A146" s="144"/>
      <c r="B146" s="141"/>
      <c r="C146" s="142"/>
      <c r="D146" s="154"/>
      <c r="E146" s="143"/>
      <c r="F146" s="144"/>
      <c r="G146" s="151"/>
      <c r="H146" s="151"/>
      <c r="I146" s="144"/>
      <c r="J146" s="144"/>
      <c r="K146" s="144"/>
      <c r="L146" s="144"/>
      <c r="M146" s="144"/>
      <c r="N146" s="144"/>
      <c r="O146" s="144"/>
      <c r="P146" s="144"/>
      <c r="Q146" s="144"/>
      <c r="R146" s="144"/>
      <c r="S146" s="144"/>
      <c r="T146" s="144"/>
      <c r="U146" s="144"/>
      <c r="V146" s="144"/>
      <c r="W146" s="144"/>
      <c r="X146" s="144"/>
      <c r="Y146" s="144"/>
      <c r="Z146" s="144"/>
    </row>
    <row r="147" spans="1:26" ht="24.75">
      <c r="A147" s="144"/>
      <c r="B147" s="141"/>
      <c r="C147" s="142"/>
      <c r="D147" s="154"/>
      <c r="E147" s="143"/>
      <c r="F147" s="144"/>
      <c r="G147" s="153"/>
      <c r="H147" s="153"/>
      <c r="I147" s="144"/>
      <c r="J147" s="144"/>
      <c r="K147" s="144"/>
      <c r="L147" s="144"/>
      <c r="M147" s="144"/>
      <c r="N147" s="144"/>
      <c r="O147" s="144"/>
      <c r="P147" s="144"/>
      <c r="Q147" s="144"/>
      <c r="R147" s="144"/>
      <c r="S147" s="144"/>
      <c r="T147" s="144"/>
      <c r="U147" s="144"/>
      <c r="V147" s="144"/>
      <c r="W147" s="144"/>
      <c r="X147" s="144"/>
      <c r="Y147" s="144"/>
      <c r="Z147" s="144"/>
    </row>
    <row r="148" spans="1:26" ht="24.75">
      <c r="A148" s="144"/>
      <c r="B148" s="141"/>
      <c r="C148" s="142"/>
      <c r="D148" s="154"/>
      <c r="E148" s="143"/>
      <c r="F148" s="144"/>
      <c r="G148" s="151"/>
      <c r="H148" s="151"/>
      <c r="I148" s="144"/>
      <c r="J148" s="144"/>
      <c r="K148" s="144"/>
      <c r="L148" s="144"/>
      <c r="M148" s="144"/>
      <c r="N148" s="144"/>
      <c r="O148" s="144"/>
      <c r="P148" s="144"/>
      <c r="Q148" s="144"/>
      <c r="R148" s="144"/>
      <c r="S148" s="144"/>
      <c r="T148" s="144"/>
      <c r="U148" s="144"/>
      <c r="V148" s="144"/>
      <c r="W148" s="144"/>
      <c r="X148" s="144"/>
      <c r="Y148" s="144"/>
      <c r="Z148" s="144"/>
    </row>
    <row r="149" spans="1:26" ht="24.75">
      <c r="A149" s="144"/>
      <c r="B149" s="141"/>
      <c r="C149" s="142"/>
      <c r="D149" s="154"/>
      <c r="E149" s="143"/>
      <c r="F149" s="144"/>
      <c r="G149" s="153"/>
      <c r="H149" s="153"/>
      <c r="I149" s="144"/>
      <c r="J149" s="144"/>
      <c r="K149" s="144"/>
      <c r="L149" s="144"/>
      <c r="M149" s="144"/>
      <c r="N149" s="144"/>
      <c r="O149" s="144"/>
      <c r="P149" s="144"/>
      <c r="Q149" s="144"/>
      <c r="R149" s="144"/>
      <c r="S149" s="144"/>
      <c r="T149" s="144"/>
      <c r="U149" s="144"/>
      <c r="V149" s="144"/>
      <c r="W149" s="144"/>
      <c r="X149" s="144"/>
      <c r="Y149" s="144"/>
      <c r="Z149" s="144"/>
    </row>
    <row r="150" spans="1:26" ht="24.75">
      <c r="A150" s="144"/>
      <c r="B150" s="141"/>
      <c r="C150" s="142"/>
      <c r="D150" s="154"/>
      <c r="E150" s="143"/>
      <c r="F150" s="144"/>
      <c r="G150" s="151"/>
      <c r="H150" s="151"/>
      <c r="I150" s="144"/>
      <c r="J150" s="144"/>
      <c r="K150" s="144"/>
      <c r="L150" s="144"/>
      <c r="M150" s="144"/>
      <c r="N150" s="144"/>
      <c r="O150" s="144"/>
      <c r="P150" s="144"/>
      <c r="Q150" s="144"/>
      <c r="R150" s="144"/>
      <c r="S150" s="144"/>
      <c r="T150" s="144"/>
      <c r="U150" s="144"/>
      <c r="V150" s="144"/>
      <c r="W150" s="144"/>
      <c r="X150" s="144"/>
      <c r="Y150" s="144"/>
      <c r="Z150" s="144"/>
    </row>
    <row r="151" spans="1:26" ht="24.75">
      <c r="A151" s="144"/>
      <c r="B151" s="141"/>
      <c r="C151" s="142"/>
      <c r="D151" s="154"/>
      <c r="E151" s="143"/>
      <c r="F151" s="144"/>
      <c r="G151" s="153"/>
      <c r="H151" s="153"/>
      <c r="I151" s="144"/>
      <c r="J151" s="144"/>
      <c r="K151" s="144"/>
      <c r="L151" s="144"/>
      <c r="M151" s="144"/>
      <c r="N151" s="144"/>
      <c r="O151" s="144"/>
      <c r="P151" s="144"/>
      <c r="Q151" s="144"/>
      <c r="R151" s="144"/>
      <c r="S151" s="144"/>
      <c r="T151" s="144"/>
      <c r="U151" s="144"/>
      <c r="V151" s="144"/>
      <c r="W151" s="144"/>
      <c r="X151" s="144"/>
      <c r="Y151" s="144"/>
      <c r="Z151" s="144"/>
    </row>
    <row r="152" spans="1:26" ht="24.75">
      <c r="A152" s="144"/>
      <c r="B152" s="141"/>
      <c r="C152" s="142"/>
      <c r="D152" s="154"/>
      <c r="E152" s="143"/>
      <c r="F152" s="144"/>
      <c r="G152" s="151"/>
      <c r="H152" s="151"/>
      <c r="I152" s="144"/>
      <c r="J152" s="144"/>
      <c r="K152" s="144"/>
      <c r="L152" s="144"/>
      <c r="M152" s="144"/>
      <c r="N152" s="144"/>
      <c r="O152" s="144"/>
      <c r="P152" s="144"/>
      <c r="Q152" s="144"/>
      <c r="R152" s="144"/>
      <c r="S152" s="144"/>
      <c r="T152" s="144"/>
      <c r="U152" s="144"/>
      <c r="V152" s="144"/>
      <c r="W152" s="144"/>
      <c r="X152" s="144"/>
      <c r="Y152" s="144"/>
      <c r="Z152" s="144"/>
    </row>
    <row r="153" spans="1:26" ht="24.75">
      <c r="A153" s="144"/>
      <c r="B153" s="141"/>
      <c r="C153" s="142"/>
      <c r="D153" s="154"/>
      <c r="E153" s="143"/>
      <c r="F153" s="144"/>
      <c r="G153" s="153"/>
      <c r="H153" s="153"/>
      <c r="I153" s="144"/>
      <c r="J153" s="144"/>
      <c r="K153" s="144"/>
      <c r="L153" s="144"/>
      <c r="M153" s="144"/>
      <c r="N153" s="144"/>
      <c r="O153" s="144"/>
      <c r="P153" s="144"/>
      <c r="Q153" s="144"/>
      <c r="R153" s="144"/>
      <c r="S153" s="144"/>
      <c r="T153" s="144"/>
      <c r="U153" s="144"/>
      <c r="V153" s="144"/>
      <c r="W153" s="144"/>
      <c r="X153" s="144"/>
      <c r="Y153" s="144"/>
      <c r="Z153" s="144"/>
    </row>
    <row r="154" spans="1:26" ht="24.75">
      <c r="A154" s="144"/>
      <c r="B154" s="141"/>
      <c r="C154" s="142"/>
      <c r="D154" s="154"/>
      <c r="E154" s="143"/>
      <c r="F154" s="144"/>
      <c r="G154" s="151"/>
      <c r="H154" s="151"/>
      <c r="I154" s="144"/>
      <c r="J154" s="144"/>
      <c r="K154" s="144"/>
      <c r="L154" s="144"/>
      <c r="M154" s="144"/>
      <c r="N154" s="144"/>
      <c r="O154" s="144"/>
      <c r="P154" s="144"/>
      <c r="Q154" s="144"/>
      <c r="R154" s="144"/>
      <c r="S154" s="144"/>
      <c r="T154" s="144"/>
      <c r="U154" s="144"/>
      <c r="V154" s="144"/>
      <c r="W154" s="144"/>
      <c r="X154" s="144"/>
      <c r="Y154" s="144"/>
      <c r="Z154" s="144"/>
    </row>
    <row r="155" spans="1:26" ht="24.75">
      <c r="A155" s="144"/>
      <c r="B155" s="141"/>
      <c r="C155" s="142"/>
      <c r="D155" s="154"/>
      <c r="E155" s="143"/>
      <c r="F155" s="144"/>
      <c r="G155" s="153"/>
      <c r="H155" s="153"/>
      <c r="I155" s="144"/>
      <c r="J155" s="144"/>
      <c r="K155" s="144"/>
      <c r="L155" s="144"/>
      <c r="M155" s="144"/>
      <c r="N155" s="144"/>
      <c r="O155" s="144"/>
      <c r="P155" s="144"/>
      <c r="Q155" s="144"/>
      <c r="R155" s="144"/>
      <c r="S155" s="144"/>
      <c r="T155" s="144"/>
      <c r="U155" s="144"/>
      <c r="V155" s="144"/>
      <c r="W155" s="144"/>
      <c r="X155" s="144"/>
      <c r="Y155" s="144"/>
      <c r="Z155" s="144"/>
    </row>
    <row r="156" spans="1:26" ht="24.75">
      <c r="A156" s="144"/>
      <c r="B156" s="141"/>
      <c r="C156" s="142"/>
      <c r="D156" s="154"/>
      <c r="E156" s="143"/>
      <c r="F156" s="144"/>
      <c r="G156" s="151"/>
      <c r="H156" s="151"/>
      <c r="I156" s="144"/>
      <c r="J156" s="144"/>
      <c r="K156" s="144"/>
      <c r="L156" s="144"/>
      <c r="M156" s="144"/>
      <c r="N156" s="144"/>
      <c r="O156" s="144"/>
      <c r="P156" s="144"/>
      <c r="Q156" s="144"/>
      <c r="R156" s="144"/>
      <c r="S156" s="144"/>
      <c r="T156" s="144"/>
      <c r="U156" s="144"/>
      <c r="V156" s="144"/>
      <c r="W156" s="144"/>
      <c r="X156" s="144"/>
      <c r="Y156" s="144"/>
      <c r="Z156" s="144"/>
    </row>
    <row r="157" spans="1:26" ht="24.75">
      <c r="A157" s="144"/>
      <c r="B157" s="141"/>
      <c r="C157" s="142"/>
      <c r="D157" s="154"/>
      <c r="E157" s="143"/>
      <c r="F157" s="144"/>
      <c r="G157" s="153"/>
      <c r="H157" s="153"/>
      <c r="I157" s="144"/>
      <c r="J157" s="144"/>
      <c r="K157" s="144"/>
      <c r="L157" s="144"/>
      <c r="M157" s="144"/>
      <c r="N157" s="144"/>
      <c r="O157" s="144"/>
      <c r="P157" s="144"/>
      <c r="Q157" s="144"/>
      <c r="R157" s="144"/>
      <c r="S157" s="144"/>
      <c r="T157" s="144"/>
      <c r="U157" s="144"/>
      <c r="V157" s="144"/>
      <c r="W157" s="144"/>
      <c r="X157" s="144"/>
      <c r="Y157" s="144"/>
      <c r="Z157" s="144"/>
    </row>
    <row r="158" spans="1:26" ht="24.75">
      <c r="A158" s="144"/>
      <c r="B158" s="141"/>
      <c r="C158" s="142"/>
      <c r="D158" s="154"/>
      <c r="E158" s="143"/>
      <c r="F158" s="144"/>
      <c r="G158" s="151"/>
      <c r="H158" s="151"/>
      <c r="I158" s="144"/>
      <c r="J158" s="144"/>
      <c r="K158" s="144"/>
      <c r="L158" s="144"/>
      <c r="M158" s="144"/>
      <c r="N158" s="144"/>
      <c r="O158" s="144"/>
      <c r="P158" s="144"/>
      <c r="Q158" s="144"/>
      <c r="R158" s="144"/>
      <c r="S158" s="144"/>
      <c r="T158" s="144"/>
      <c r="U158" s="144"/>
      <c r="V158" s="144"/>
      <c r="W158" s="144"/>
      <c r="X158" s="144"/>
      <c r="Y158" s="144"/>
      <c r="Z158" s="144"/>
    </row>
    <row r="159" spans="1:26" ht="24.75">
      <c r="A159" s="144"/>
      <c r="B159" s="141"/>
      <c r="C159" s="142"/>
      <c r="D159" s="154"/>
      <c r="E159" s="143"/>
      <c r="F159" s="144"/>
      <c r="G159" s="153"/>
      <c r="H159" s="153"/>
      <c r="I159" s="144"/>
      <c r="J159" s="144"/>
      <c r="K159" s="144"/>
      <c r="L159" s="144"/>
      <c r="M159" s="144"/>
      <c r="N159" s="144"/>
      <c r="O159" s="144"/>
      <c r="P159" s="144"/>
      <c r="Q159" s="144"/>
      <c r="R159" s="144"/>
      <c r="S159" s="144"/>
      <c r="T159" s="144"/>
      <c r="U159" s="144"/>
      <c r="V159" s="144"/>
      <c r="W159" s="144"/>
      <c r="X159" s="144"/>
      <c r="Y159" s="144"/>
      <c r="Z159" s="144"/>
    </row>
    <row r="160" spans="1:26" ht="24.75">
      <c r="A160" s="144"/>
      <c r="B160" s="141"/>
      <c r="C160" s="142"/>
      <c r="D160" s="154"/>
      <c r="E160" s="143"/>
      <c r="F160" s="144"/>
      <c r="G160" s="151"/>
      <c r="H160" s="151"/>
      <c r="I160" s="144"/>
      <c r="J160" s="144"/>
      <c r="K160" s="144"/>
      <c r="L160" s="144"/>
      <c r="M160" s="144"/>
      <c r="N160" s="144"/>
      <c r="O160" s="144"/>
      <c r="P160" s="144"/>
      <c r="Q160" s="144"/>
      <c r="R160" s="144"/>
      <c r="S160" s="144"/>
      <c r="T160" s="144"/>
      <c r="U160" s="144"/>
      <c r="V160" s="144"/>
      <c r="W160" s="144"/>
      <c r="X160" s="144"/>
      <c r="Y160" s="144"/>
      <c r="Z160" s="144"/>
    </row>
    <row r="161" spans="1:26" ht="24.75">
      <c r="A161" s="144"/>
      <c r="B161" s="141"/>
      <c r="C161" s="142"/>
      <c r="D161" s="154"/>
      <c r="E161" s="143"/>
      <c r="F161" s="144"/>
      <c r="G161" s="153"/>
      <c r="H161" s="153"/>
      <c r="I161" s="144"/>
      <c r="J161" s="144"/>
      <c r="K161" s="144"/>
      <c r="L161" s="144"/>
      <c r="M161" s="144"/>
      <c r="N161" s="144"/>
      <c r="O161" s="144"/>
      <c r="P161" s="144"/>
      <c r="Q161" s="144"/>
      <c r="R161" s="144"/>
      <c r="S161" s="144"/>
      <c r="T161" s="144"/>
      <c r="U161" s="144"/>
      <c r="V161" s="144"/>
      <c r="W161" s="144"/>
      <c r="X161" s="144"/>
      <c r="Y161" s="144"/>
      <c r="Z161" s="144"/>
    </row>
    <row r="162" spans="1:26" ht="24.75">
      <c r="A162" s="144"/>
      <c r="B162" s="141"/>
      <c r="C162" s="142"/>
      <c r="D162" s="154"/>
      <c r="E162" s="143"/>
      <c r="F162" s="144"/>
      <c r="G162" s="151"/>
      <c r="H162" s="151"/>
      <c r="I162" s="144"/>
      <c r="J162" s="144"/>
      <c r="K162" s="144"/>
      <c r="L162" s="144"/>
      <c r="M162" s="144"/>
      <c r="N162" s="144"/>
      <c r="O162" s="144"/>
      <c r="P162" s="144"/>
      <c r="Q162" s="144"/>
      <c r="R162" s="144"/>
      <c r="S162" s="144"/>
      <c r="T162" s="144"/>
      <c r="U162" s="144"/>
      <c r="V162" s="144"/>
      <c r="W162" s="144"/>
      <c r="X162" s="144"/>
      <c r="Y162" s="144"/>
      <c r="Z162" s="144"/>
    </row>
    <row r="163" spans="1:26" ht="24.75">
      <c r="A163" s="144"/>
      <c r="B163" s="141"/>
      <c r="C163" s="142"/>
      <c r="D163" s="154"/>
      <c r="E163" s="143"/>
      <c r="F163" s="144"/>
      <c r="G163" s="153"/>
      <c r="H163" s="153"/>
      <c r="I163" s="144"/>
      <c r="J163" s="144"/>
      <c r="K163" s="144"/>
      <c r="L163" s="144"/>
      <c r="M163" s="144"/>
      <c r="N163" s="144"/>
      <c r="O163" s="144"/>
      <c r="P163" s="144"/>
      <c r="Q163" s="144"/>
      <c r="R163" s="144"/>
      <c r="S163" s="144"/>
      <c r="T163" s="144"/>
      <c r="U163" s="144"/>
      <c r="V163" s="144"/>
      <c r="W163" s="144"/>
      <c r="X163" s="144"/>
      <c r="Y163" s="144"/>
      <c r="Z163" s="144"/>
    </row>
    <row r="164" spans="1:26" ht="24.75">
      <c r="A164" s="144"/>
      <c r="B164" s="141"/>
      <c r="C164" s="142"/>
      <c r="D164" s="154"/>
      <c r="E164" s="143"/>
      <c r="F164" s="144"/>
      <c r="G164" s="151"/>
      <c r="H164" s="151"/>
      <c r="I164" s="144"/>
      <c r="J164" s="144"/>
      <c r="K164" s="144"/>
      <c r="L164" s="144"/>
      <c r="M164" s="144"/>
      <c r="N164" s="144"/>
      <c r="O164" s="144"/>
      <c r="P164" s="144"/>
      <c r="Q164" s="144"/>
      <c r="R164" s="144"/>
      <c r="S164" s="144"/>
      <c r="T164" s="144"/>
      <c r="U164" s="144"/>
      <c r="V164" s="144"/>
      <c r="W164" s="144"/>
      <c r="X164" s="144"/>
      <c r="Y164" s="144"/>
      <c r="Z164" s="144"/>
    </row>
    <row r="165" spans="1:26" ht="24.75">
      <c r="A165" s="144"/>
      <c r="B165" s="141"/>
      <c r="C165" s="142"/>
      <c r="D165" s="154"/>
      <c r="E165" s="143"/>
      <c r="F165" s="144"/>
      <c r="G165" s="153"/>
      <c r="H165" s="153"/>
      <c r="I165" s="144"/>
      <c r="J165" s="144"/>
      <c r="K165" s="144"/>
      <c r="L165" s="144"/>
      <c r="M165" s="144"/>
      <c r="N165" s="144"/>
      <c r="O165" s="144"/>
      <c r="P165" s="144"/>
      <c r="Q165" s="144"/>
      <c r="R165" s="144"/>
      <c r="S165" s="144"/>
      <c r="T165" s="144"/>
      <c r="U165" s="144"/>
      <c r="V165" s="144"/>
      <c r="W165" s="144"/>
      <c r="X165" s="144"/>
      <c r="Y165" s="144"/>
      <c r="Z165" s="144"/>
    </row>
    <row r="166" spans="1:26" ht="24.75">
      <c r="A166" s="144"/>
      <c r="B166" s="141"/>
      <c r="C166" s="142"/>
      <c r="D166" s="154"/>
      <c r="E166" s="143"/>
      <c r="F166" s="144"/>
      <c r="G166" s="151"/>
      <c r="H166" s="151"/>
      <c r="I166" s="144"/>
      <c r="J166" s="144"/>
      <c r="K166" s="144"/>
      <c r="L166" s="144"/>
      <c r="M166" s="144"/>
      <c r="N166" s="144"/>
      <c r="O166" s="144"/>
      <c r="P166" s="144"/>
      <c r="Q166" s="144"/>
      <c r="R166" s="144"/>
      <c r="S166" s="144"/>
      <c r="T166" s="144"/>
      <c r="U166" s="144"/>
      <c r="V166" s="144"/>
      <c r="W166" s="144"/>
      <c r="X166" s="144"/>
      <c r="Y166" s="144"/>
      <c r="Z166" s="144"/>
    </row>
    <row r="167" spans="1:26" ht="24.75">
      <c r="A167" s="144"/>
      <c r="B167" s="141"/>
      <c r="C167" s="142"/>
      <c r="D167" s="154"/>
      <c r="E167" s="143"/>
      <c r="F167" s="144"/>
      <c r="G167" s="153"/>
      <c r="H167" s="153"/>
      <c r="I167" s="144"/>
      <c r="J167" s="144"/>
      <c r="K167" s="144"/>
      <c r="L167" s="144"/>
      <c r="M167" s="144"/>
      <c r="N167" s="144"/>
      <c r="O167" s="144"/>
      <c r="P167" s="144"/>
      <c r="Q167" s="144"/>
      <c r="R167" s="144"/>
      <c r="S167" s="144"/>
      <c r="T167" s="144"/>
      <c r="U167" s="144"/>
      <c r="V167" s="144"/>
      <c r="W167" s="144"/>
      <c r="X167" s="144"/>
      <c r="Y167" s="144"/>
      <c r="Z167" s="144"/>
    </row>
    <row r="168" spans="1:26" ht="24.75">
      <c r="A168" s="144"/>
      <c r="B168" s="141"/>
      <c r="C168" s="142"/>
      <c r="D168" s="154"/>
      <c r="E168" s="143"/>
      <c r="F168" s="144"/>
      <c r="G168" s="151"/>
      <c r="H168" s="151"/>
      <c r="I168" s="144"/>
      <c r="J168" s="144"/>
      <c r="K168" s="144"/>
      <c r="L168" s="144"/>
      <c r="M168" s="144"/>
      <c r="N168" s="144"/>
      <c r="O168" s="144"/>
      <c r="P168" s="144"/>
      <c r="Q168" s="144"/>
      <c r="R168" s="144"/>
      <c r="S168" s="144"/>
      <c r="T168" s="144"/>
      <c r="U168" s="144"/>
      <c r="V168" s="144"/>
      <c r="W168" s="144"/>
      <c r="X168" s="144"/>
      <c r="Y168" s="144"/>
      <c r="Z168" s="144"/>
    </row>
    <row r="169" spans="1:26" ht="24.75">
      <c r="A169" s="144"/>
      <c r="B169" s="141"/>
      <c r="C169" s="142"/>
      <c r="D169" s="154"/>
      <c r="E169" s="143"/>
      <c r="F169" s="144"/>
      <c r="G169" s="153"/>
      <c r="H169" s="153"/>
      <c r="I169" s="144"/>
      <c r="J169" s="144"/>
      <c r="K169" s="144"/>
      <c r="L169" s="144"/>
      <c r="M169" s="144"/>
      <c r="N169" s="144"/>
      <c r="O169" s="144"/>
      <c r="P169" s="144"/>
      <c r="Q169" s="144"/>
      <c r="R169" s="144"/>
      <c r="S169" s="144"/>
      <c r="T169" s="144"/>
      <c r="U169" s="144"/>
      <c r="V169" s="144"/>
      <c r="W169" s="144"/>
      <c r="X169" s="144"/>
      <c r="Y169" s="144"/>
      <c r="Z169" s="144"/>
    </row>
    <row r="170" spans="1:26" ht="24.75">
      <c r="A170" s="144"/>
      <c r="B170" s="141"/>
      <c r="C170" s="142"/>
      <c r="D170" s="154"/>
      <c r="E170" s="143"/>
      <c r="F170" s="144"/>
      <c r="G170" s="151"/>
      <c r="H170" s="151"/>
      <c r="I170" s="144"/>
      <c r="J170" s="144"/>
      <c r="K170" s="144"/>
      <c r="L170" s="144"/>
      <c r="M170" s="144"/>
      <c r="N170" s="144"/>
      <c r="O170" s="144"/>
      <c r="P170" s="144"/>
      <c r="Q170" s="144"/>
      <c r="R170" s="144"/>
      <c r="S170" s="144"/>
      <c r="T170" s="144"/>
      <c r="U170" s="144"/>
      <c r="V170" s="144"/>
      <c r="W170" s="144"/>
      <c r="X170" s="144"/>
      <c r="Y170" s="144"/>
      <c r="Z170" s="144"/>
    </row>
    <row r="171" spans="1:26" ht="24.75">
      <c r="A171" s="144"/>
      <c r="B171" s="141"/>
      <c r="C171" s="142"/>
      <c r="D171" s="154"/>
      <c r="E171" s="143"/>
      <c r="F171" s="144"/>
      <c r="G171" s="153"/>
      <c r="H171" s="153"/>
      <c r="I171" s="144"/>
      <c r="J171" s="144"/>
      <c r="K171" s="144"/>
      <c r="L171" s="144"/>
      <c r="M171" s="144"/>
      <c r="N171" s="144"/>
      <c r="O171" s="144"/>
      <c r="P171" s="144"/>
      <c r="Q171" s="144"/>
      <c r="R171" s="144"/>
      <c r="S171" s="144"/>
      <c r="T171" s="144"/>
      <c r="U171" s="144"/>
      <c r="V171" s="144"/>
      <c r="W171" s="144"/>
      <c r="X171" s="144"/>
      <c r="Y171" s="144"/>
      <c r="Z171" s="144"/>
    </row>
    <row r="172" spans="1:26" ht="24.75">
      <c r="A172" s="144"/>
      <c r="B172" s="141"/>
      <c r="C172" s="142"/>
      <c r="D172" s="154"/>
      <c r="E172" s="143"/>
      <c r="F172" s="144"/>
      <c r="G172" s="151"/>
      <c r="H172" s="151"/>
      <c r="I172" s="144"/>
      <c r="J172" s="144"/>
      <c r="K172" s="144"/>
      <c r="L172" s="144"/>
      <c r="M172" s="144"/>
      <c r="N172" s="144"/>
      <c r="O172" s="144"/>
      <c r="P172" s="144"/>
      <c r="Q172" s="144"/>
      <c r="R172" s="144"/>
      <c r="S172" s="144"/>
      <c r="T172" s="144"/>
      <c r="U172" s="144"/>
      <c r="V172" s="144"/>
      <c r="W172" s="144"/>
      <c r="X172" s="144"/>
      <c r="Y172" s="144"/>
      <c r="Z172" s="144"/>
    </row>
    <row r="173" spans="1:26" ht="24.75">
      <c r="A173" s="144"/>
      <c r="B173" s="141"/>
      <c r="C173" s="142"/>
      <c r="D173" s="154"/>
      <c r="E173" s="143"/>
      <c r="F173" s="144"/>
      <c r="G173" s="153"/>
      <c r="H173" s="153"/>
      <c r="I173" s="144"/>
      <c r="J173" s="144"/>
      <c r="K173" s="144"/>
      <c r="L173" s="144"/>
      <c r="M173" s="144"/>
      <c r="N173" s="144"/>
      <c r="O173" s="144"/>
      <c r="P173" s="144"/>
      <c r="Q173" s="144"/>
      <c r="R173" s="144"/>
      <c r="S173" s="144"/>
      <c r="T173" s="144"/>
      <c r="U173" s="144"/>
      <c r="V173" s="144"/>
      <c r="W173" s="144"/>
      <c r="X173" s="144"/>
      <c r="Y173" s="144"/>
      <c r="Z173" s="144"/>
    </row>
    <row r="174" spans="1:26" ht="24.75">
      <c r="A174" s="144"/>
      <c r="B174" s="141"/>
      <c r="C174" s="142"/>
      <c r="D174" s="154"/>
      <c r="E174" s="143"/>
      <c r="F174" s="144"/>
      <c r="G174" s="151"/>
      <c r="H174" s="151"/>
      <c r="I174" s="144"/>
      <c r="J174" s="144"/>
      <c r="K174" s="144"/>
      <c r="L174" s="144"/>
      <c r="M174" s="144"/>
      <c r="N174" s="144"/>
      <c r="O174" s="144"/>
      <c r="P174" s="144"/>
      <c r="Q174" s="144"/>
      <c r="R174" s="144"/>
      <c r="S174" s="144"/>
      <c r="T174" s="144"/>
      <c r="U174" s="144"/>
      <c r="V174" s="144"/>
      <c r="W174" s="144"/>
      <c r="X174" s="144"/>
      <c r="Y174" s="144"/>
      <c r="Z174" s="144"/>
    </row>
    <row r="175" spans="1:26" ht="24.75">
      <c r="A175" s="144"/>
      <c r="B175" s="141"/>
      <c r="C175" s="142"/>
      <c r="D175" s="154"/>
      <c r="E175" s="143"/>
      <c r="F175" s="144"/>
      <c r="G175" s="153"/>
      <c r="H175" s="153"/>
      <c r="I175" s="144"/>
      <c r="J175" s="144"/>
      <c r="K175" s="144"/>
      <c r="L175" s="144"/>
      <c r="M175" s="144"/>
      <c r="N175" s="144"/>
      <c r="O175" s="144"/>
      <c r="P175" s="144"/>
      <c r="Q175" s="144"/>
      <c r="R175" s="144"/>
      <c r="S175" s="144"/>
      <c r="T175" s="144"/>
      <c r="U175" s="144"/>
      <c r="V175" s="144"/>
      <c r="W175" s="144"/>
      <c r="X175" s="144"/>
      <c r="Y175" s="144"/>
      <c r="Z175" s="144"/>
    </row>
    <row r="176" spans="1:26" ht="24.75">
      <c r="A176" s="144"/>
      <c r="B176" s="141"/>
      <c r="C176" s="142"/>
      <c r="D176" s="154"/>
      <c r="E176" s="143"/>
      <c r="F176" s="144"/>
      <c r="G176" s="151"/>
      <c r="H176" s="151"/>
      <c r="I176" s="144"/>
      <c r="J176" s="144"/>
      <c r="K176" s="144"/>
      <c r="L176" s="144"/>
      <c r="M176" s="144"/>
      <c r="N176" s="144"/>
      <c r="O176" s="144"/>
      <c r="P176" s="144"/>
      <c r="Q176" s="144"/>
      <c r="R176" s="144"/>
      <c r="S176" s="144"/>
      <c r="T176" s="144"/>
      <c r="U176" s="144"/>
      <c r="V176" s="144"/>
      <c r="W176" s="144"/>
      <c r="X176" s="144"/>
      <c r="Y176" s="144"/>
      <c r="Z176" s="144"/>
    </row>
    <row r="177" spans="1:26" ht="24.75">
      <c r="A177" s="144"/>
      <c r="B177" s="141"/>
      <c r="C177" s="142"/>
      <c r="D177" s="154"/>
      <c r="E177" s="143"/>
      <c r="F177" s="144"/>
      <c r="G177" s="153"/>
      <c r="H177" s="153"/>
      <c r="I177" s="144"/>
      <c r="J177" s="144"/>
      <c r="K177" s="144"/>
      <c r="L177" s="144"/>
      <c r="M177" s="144"/>
      <c r="N177" s="144"/>
      <c r="O177" s="144"/>
      <c r="P177" s="144"/>
      <c r="Q177" s="144"/>
      <c r="R177" s="144"/>
      <c r="S177" s="144"/>
      <c r="T177" s="144"/>
      <c r="U177" s="144"/>
      <c r="V177" s="144"/>
      <c r="W177" s="144"/>
      <c r="X177" s="144"/>
      <c r="Y177" s="144"/>
      <c r="Z177" s="144"/>
    </row>
    <row r="178" spans="1:26" ht="24.75">
      <c r="A178" s="144"/>
      <c r="B178" s="141"/>
      <c r="C178" s="142"/>
      <c r="D178" s="154"/>
      <c r="E178" s="143"/>
      <c r="F178" s="144"/>
      <c r="G178" s="151"/>
      <c r="H178" s="151"/>
      <c r="I178" s="144"/>
      <c r="J178" s="144"/>
      <c r="K178" s="144"/>
      <c r="L178" s="144"/>
      <c r="M178" s="144"/>
      <c r="N178" s="144"/>
      <c r="O178" s="144"/>
      <c r="P178" s="144"/>
      <c r="Q178" s="144"/>
      <c r="R178" s="144"/>
      <c r="S178" s="144"/>
      <c r="T178" s="144"/>
      <c r="U178" s="144"/>
      <c r="V178" s="144"/>
      <c r="W178" s="144"/>
      <c r="X178" s="144"/>
      <c r="Y178" s="144"/>
      <c r="Z178" s="144"/>
    </row>
    <row r="179" spans="1:26" ht="24.75">
      <c r="A179" s="144"/>
      <c r="B179" s="141"/>
      <c r="C179" s="142"/>
      <c r="D179" s="154"/>
      <c r="E179" s="143"/>
      <c r="F179" s="144"/>
      <c r="G179" s="153"/>
      <c r="H179" s="153"/>
      <c r="I179" s="144"/>
      <c r="J179" s="144"/>
      <c r="K179" s="144"/>
      <c r="L179" s="144"/>
      <c r="M179" s="144"/>
      <c r="N179" s="144"/>
      <c r="O179" s="144"/>
      <c r="P179" s="144"/>
      <c r="Q179" s="144"/>
      <c r="R179" s="144"/>
      <c r="S179" s="144"/>
      <c r="T179" s="144"/>
      <c r="U179" s="144"/>
      <c r="V179" s="144"/>
      <c r="W179" s="144"/>
      <c r="X179" s="144"/>
      <c r="Y179" s="144"/>
      <c r="Z179" s="144"/>
    </row>
    <row r="180" spans="1:26" ht="24.75">
      <c r="A180" s="144"/>
      <c r="B180" s="141"/>
      <c r="C180" s="142"/>
      <c r="D180" s="154"/>
      <c r="E180" s="143"/>
      <c r="F180" s="144"/>
      <c r="G180" s="151"/>
      <c r="H180" s="151"/>
      <c r="I180" s="144"/>
      <c r="J180" s="144"/>
      <c r="K180" s="144"/>
      <c r="L180" s="144"/>
      <c r="M180" s="144"/>
      <c r="N180" s="144"/>
      <c r="O180" s="144"/>
      <c r="P180" s="144"/>
      <c r="Q180" s="144"/>
      <c r="R180" s="144"/>
      <c r="S180" s="144"/>
      <c r="T180" s="144"/>
      <c r="U180" s="144"/>
      <c r="V180" s="144"/>
      <c r="W180" s="144"/>
      <c r="X180" s="144"/>
      <c r="Y180" s="144"/>
      <c r="Z180" s="144"/>
    </row>
    <row r="181" spans="1:26" ht="24.75">
      <c r="A181" s="144"/>
      <c r="B181" s="141"/>
      <c r="C181" s="142"/>
      <c r="D181" s="154"/>
      <c r="E181" s="143"/>
      <c r="F181" s="144"/>
      <c r="G181" s="153"/>
      <c r="H181" s="153"/>
      <c r="I181" s="144"/>
      <c r="J181" s="144"/>
      <c r="K181" s="144"/>
      <c r="L181" s="144"/>
      <c r="M181" s="144"/>
      <c r="N181" s="144"/>
      <c r="O181" s="144"/>
      <c r="P181" s="144"/>
      <c r="Q181" s="144"/>
      <c r="R181" s="144"/>
      <c r="S181" s="144"/>
      <c r="T181" s="144"/>
      <c r="U181" s="144"/>
      <c r="V181" s="144"/>
      <c r="W181" s="144"/>
      <c r="X181" s="144"/>
      <c r="Y181" s="144"/>
      <c r="Z181" s="144"/>
    </row>
    <row r="182" spans="1:26" ht="24.75">
      <c r="A182" s="144"/>
      <c r="B182" s="141"/>
      <c r="C182" s="142"/>
      <c r="D182" s="154"/>
      <c r="E182" s="143"/>
      <c r="F182" s="144"/>
      <c r="G182" s="151"/>
      <c r="H182" s="151"/>
      <c r="I182" s="144"/>
      <c r="J182" s="144"/>
      <c r="K182" s="144"/>
      <c r="L182" s="144"/>
      <c r="M182" s="144"/>
      <c r="N182" s="144"/>
      <c r="O182" s="144"/>
      <c r="P182" s="144"/>
      <c r="Q182" s="144"/>
      <c r="R182" s="144"/>
      <c r="S182" s="144"/>
      <c r="T182" s="144"/>
      <c r="U182" s="144"/>
      <c r="V182" s="144"/>
      <c r="W182" s="144"/>
      <c r="X182" s="144"/>
      <c r="Y182" s="144"/>
      <c r="Z182" s="144"/>
    </row>
    <row r="183" spans="1:26" ht="24.75">
      <c r="A183" s="144"/>
      <c r="B183" s="141"/>
      <c r="C183" s="142"/>
      <c r="D183" s="154"/>
      <c r="E183" s="143"/>
      <c r="F183" s="144"/>
      <c r="G183" s="153"/>
      <c r="H183" s="153"/>
      <c r="I183" s="144"/>
      <c r="J183" s="144"/>
      <c r="K183" s="144"/>
      <c r="L183" s="144"/>
      <c r="M183" s="144"/>
      <c r="N183" s="144"/>
      <c r="O183" s="144"/>
      <c r="P183" s="144"/>
      <c r="Q183" s="144"/>
      <c r="R183" s="144"/>
      <c r="S183" s="144"/>
      <c r="T183" s="144"/>
      <c r="U183" s="144"/>
      <c r="V183" s="144"/>
      <c r="W183" s="144"/>
      <c r="X183" s="144"/>
      <c r="Y183" s="144"/>
      <c r="Z183" s="144"/>
    </row>
    <row r="184" spans="1:26" ht="24.75">
      <c r="A184" s="144"/>
      <c r="B184" s="141"/>
      <c r="C184" s="142"/>
      <c r="D184" s="154"/>
      <c r="E184" s="143"/>
      <c r="F184" s="144"/>
      <c r="G184" s="151"/>
      <c r="H184" s="151"/>
      <c r="I184" s="144"/>
      <c r="J184" s="144"/>
      <c r="K184" s="144"/>
      <c r="L184" s="144"/>
      <c r="M184" s="144"/>
      <c r="N184" s="144"/>
      <c r="O184" s="144"/>
      <c r="P184" s="144"/>
      <c r="Q184" s="144"/>
      <c r="R184" s="144"/>
      <c r="S184" s="144"/>
      <c r="T184" s="144"/>
      <c r="U184" s="144"/>
      <c r="V184" s="144"/>
      <c r="W184" s="144"/>
      <c r="X184" s="144"/>
      <c r="Y184" s="144"/>
      <c r="Z184" s="144"/>
    </row>
    <row r="185" spans="1:26" ht="24.75">
      <c r="A185" s="144"/>
      <c r="B185" s="141"/>
      <c r="C185" s="142"/>
      <c r="D185" s="154"/>
      <c r="E185" s="143"/>
      <c r="F185" s="144"/>
      <c r="G185" s="153"/>
      <c r="H185" s="153"/>
      <c r="I185" s="144"/>
      <c r="J185" s="144"/>
      <c r="K185" s="144"/>
      <c r="L185" s="144"/>
      <c r="M185" s="144"/>
      <c r="N185" s="144"/>
      <c r="O185" s="144"/>
      <c r="P185" s="144"/>
      <c r="Q185" s="144"/>
      <c r="R185" s="144"/>
      <c r="S185" s="144"/>
      <c r="T185" s="144"/>
      <c r="U185" s="144"/>
      <c r="V185" s="144"/>
      <c r="W185" s="144"/>
      <c r="X185" s="144"/>
      <c r="Y185" s="144"/>
      <c r="Z185" s="144"/>
    </row>
    <row r="186" spans="1:26" ht="24.75">
      <c r="A186" s="144"/>
      <c r="B186" s="141"/>
      <c r="C186" s="142"/>
      <c r="D186" s="154"/>
      <c r="E186" s="143"/>
      <c r="F186" s="144"/>
      <c r="G186" s="151"/>
      <c r="H186" s="151"/>
      <c r="I186" s="144"/>
      <c r="J186" s="144"/>
      <c r="K186" s="144"/>
      <c r="L186" s="144"/>
      <c r="M186" s="144"/>
      <c r="N186" s="144"/>
      <c r="O186" s="144"/>
      <c r="P186" s="144"/>
      <c r="Q186" s="144"/>
      <c r="R186" s="144"/>
      <c r="S186" s="144"/>
      <c r="T186" s="144"/>
      <c r="U186" s="144"/>
      <c r="V186" s="144"/>
      <c r="W186" s="144"/>
      <c r="X186" s="144"/>
      <c r="Y186" s="144"/>
      <c r="Z186" s="144"/>
    </row>
    <row r="187" spans="1:26" ht="24.75">
      <c r="A187" s="144"/>
      <c r="B187" s="141"/>
      <c r="C187" s="142"/>
      <c r="D187" s="154"/>
      <c r="E187" s="143"/>
      <c r="F187" s="144"/>
      <c r="G187" s="153"/>
      <c r="H187" s="153"/>
      <c r="I187" s="144"/>
      <c r="J187" s="144"/>
      <c r="K187" s="144"/>
      <c r="L187" s="144"/>
      <c r="M187" s="144"/>
      <c r="N187" s="144"/>
      <c r="O187" s="144"/>
      <c r="P187" s="144"/>
      <c r="Q187" s="144"/>
      <c r="R187" s="144"/>
      <c r="S187" s="144"/>
      <c r="T187" s="144"/>
      <c r="U187" s="144"/>
      <c r="V187" s="144"/>
      <c r="W187" s="144"/>
      <c r="X187" s="144"/>
      <c r="Y187" s="144"/>
      <c r="Z187" s="144"/>
    </row>
    <row r="188" spans="1:26" ht="24.75">
      <c r="A188" s="144"/>
      <c r="B188" s="141"/>
      <c r="C188" s="142"/>
      <c r="D188" s="154"/>
      <c r="E188" s="143"/>
      <c r="F188" s="144"/>
      <c r="G188" s="151"/>
      <c r="H188" s="151"/>
      <c r="I188" s="144"/>
      <c r="J188" s="144"/>
      <c r="K188" s="144"/>
      <c r="L188" s="144"/>
      <c r="M188" s="144"/>
      <c r="N188" s="144"/>
      <c r="O188" s="144"/>
      <c r="P188" s="144"/>
      <c r="Q188" s="144"/>
      <c r="R188" s="144"/>
      <c r="S188" s="144"/>
      <c r="T188" s="144"/>
      <c r="U188" s="144"/>
      <c r="V188" s="144"/>
      <c r="W188" s="144"/>
      <c r="X188" s="144"/>
      <c r="Y188" s="144"/>
      <c r="Z188" s="144"/>
    </row>
    <row r="189" spans="1:26" ht="24.75">
      <c r="A189" s="144"/>
      <c r="B189" s="141"/>
      <c r="C189" s="142"/>
      <c r="D189" s="154"/>
      <c r="E189" s="143"/>
      <c r="F189" s="144"/>
      <c r="G189" s="153"/>
      <c r="H189" s="153"/>
      <c r="I189" s="144"/>
      <c r="J189" s="144"/>
      <c r="K189" s="144"/>
      <c r="L189" s="144"/>
      <c r="M189" s="144"/>
      <c r="N189" s="144"/>
      <c r="O189" s="144"/>
      <c r="P189" s="144"/>
      <c r="Q189" s="144"/>
      <c r="R189" s="144"/>
      <c r="S189" s="144"/>
      <c r="T189" s="144"/>
      <c r="U189" s="144"/>
      <c r="V189" s="144"/>
      <c r="W189" s="144"/>
      <c r="X189" s="144"/>
      <c r="Y189" s="144"/>
      <c r="Z189" s="144"/>
    </row>
    <row r="190" spans="1:26" ht="24.75">
      <c r="A190" s="144"/>
      <c r="B190" s="141"/>
      <c r="C190" s="142"/>
      <c r="D190" s="154"/>
      <c r="E190" s="143"/>
      <c r="F190" s="144"/>
      <c r="G190" s="151"/>
      <c r="H190" s="151"/>
      <c r="I190" s="144"/>
      <c r="J190" s="144"/>
      <c r="K190" s="144"/>
      <c r="L190" s="144"/>
      <c r="M190" s="144"/>
      <c r="N190" s="144"/>
      <c r="O190" s="144"/>
      <c r="P190" s="144"/>
      <c r="Q190" s="144"/>
      <c r="R190" s="144"/>
      <c r="S190" s="144"/>
      <c r="T190" s="144"/>
      <c r="U190" s="144"/>
      <c r="V190" s="144"/>
      <c r="W190" s="144"/>
      <c r="X190" s="144"/>
      <c r="Y190" s="144"/>
      <c r="Z190" s="144"/>
    </row>
    <row r="191" spans="1:26" ht="24.75">
      <c r="A191" s="144"/>
      <c r="B191" s="141"/>
      <c r="C191" s="142"/>
      <c r="D191" s="154"/>
      <c r="E191" s="143"/>
      <c r="F191" s="144"/>
      <c r="G191" s="153"/>
      <c r="H191" s="153"/>
      <c r="I191" s="144"/>
      <c r="J191" s="144"/>
      <c r="K191" s="144"/>
      <c r="L191" s="144"/>
      <c r="M191" s="144"/>
      <c r="N191" s="144"/>
      <c r="O191" s="144"/>
      <c r="P191" s="144"/>
      <c r="Q191" s="144"/>
      <c r="R191" s="144"/>
      <c r="S191" s="144"/>
      <c r="T191" s="144"/>
      <c r="U191" s="144"/>
      <c r="V191" s="144"/>
      <c r="W191" s="144"/>
      <c r="X191" s="144"/>
      <c r="Y191" s="144"/>
      <c r="Z191" s="144"/>
    </row>
    <row r="192" spans="1:26" ht="24.75">
      <c r="A192" s="144"/>
      <c r="B192" s="141"/>
      <c r="C192" s="142"/>
      <c r="D192" s="154"/>
      <c r="E192" s="143"/>
      <c r="F192" s="144"/>
      <c r="G192" s="151"/>
      <c r="H192" s="151"/>
      <c r="I192" s="144"/>
      <c r="J192" s="144"/>
      <c r="K192" s="144"/>
      <c r="L192" s="144"/>
      <c r="M192" s="144"/>
      <c r="N192" s="144"/>
      <c r="O192" s="144"/>
      <c r="P192" s="144"/>
      <c r="Q192" s="144"/>
      <c r="R192" s="144"/>
      <c r="S192" s="144"/>
      <c r="T192" s="144"/>
      <c r="U192" s="144"/>
      <c r="V192" s="144"/>
      <c r="W192" s="144"/>
      <c r="X192" s="144"/>
      <c r="Y192" s="144"/>
      <c r="Z192" s="144"/>
    </row>
    <row r="193" spans="1:26" ht="24.75">
      <c r="A193" s="144"/>
      <c r="B193" s="141"/>
      <c r="C193" s="142"/>
      <c r="D193" s="154"/>
      <c r="E193" s="143"/>
      <c r="F193" s="144"/>
      <c r="G193" s="153"/>
      <c r="H193" s="153"/>
      <c r="I193" s="144"/>
      <c r="J193" s="144"/>
      <c r="K193" s="144"/>
      <c r="L193" s="144"/>
      <c r="M193" s="144"/>
      <c r="N193" s="144"/>
      <c r="O193" s="144"/>
      <c r="P193" s="144"/>
      <c r="Q193" s="144"/>
      <c r="R193" s="144"/>
      <c r="S193" s="144"/>
      <c r="T193" s="144"/>
      <c r="U193" s="144"/>
      <c r="V193" s="144"/>
      <c r="W193" s="144"/>
      <c r="X193" s="144"/>
      <c r="Y193" s="144"/>
      <c r="Z193" s="144"/>
    </row>
    <row r="194" spans="1:26" ht="24.75">
      <c r="A194" s="144"/>
      <c r="B194" s="141"/>
      <c r="C194" s="142"/>
      <c r="D194" s="154"/>
      <c r="E194" s="143"/>
      <c r="F194" s="144"/>
      <c r="G194" s="151"/>
      <c r="H194" s="151"/>
      <c r="I194" s="144"/>
      <c r="J194" s="144"/>
      <c r="K194" s="144"/>
      <c r="L194" s="144"/>
      <c r="M194" s="144"/>
      <c r="N194" s="144"/>
      <c r="O194" s="144"/>
      <c r="P194" s="144"/>
      <c r="Q194" s="144"/>
      <c r="R194" s="144"/>
      <c r="S194" s="144"/>
      <c r="T194" s="144"/>
      <c r="U194" s="144"/>
      <c r="V194" s="144"/>
      <c r="W194" s="144"/>
      <c r="X194" s="144"/>
      <c r="Y194" s="144"/>
      <c r="Z194" s="144"/>
    </row>
    <row r="195" spans="1:26" ht="24.75">
      <c r="A195" s="144"/>
      <c r="B195" s="141"/>
      <c r="C195" s="142"/>
      <c r="D195" s="154"/>
      <c r="E195" s="143"/>
      <c r="F195" s="144"/>
      <c r="G195" s="153"/>
      <c r="H195" s="153"/>
      <c r="I195" s="144"/>
      <c r="J195" s="144"/>
      <c r="K195" s="144"/>
      <c r="L195" s="144"/>
      <c r="M195" s="144"/>
      <c r="N195" s="144"/>
      <c r="O195" s="144"/>
      <c r="P195" s="144"/>
      <c r="Q195" s="144"/>
      <c r="R195" s="144"/>
      <c r="S195" s="144"/>
      <c r="T195" s="144"/>
      <c r="U195" s="144"/>
      <c r="V195" s="144"/>
      <c r="W195" s="144"/>
      <c r="X195" s="144"/>
      <c r="Y195" s="144"/>
      <c r="Z195" s="144"/>
    </row>
    <row r="196" spans="1:26" ht="24.75">
      <c r="A196" s="144"/>
      <c r="B196" s="141"/>
      <c r="C196" s="142"/>
      <c r="D196" s="154"/>
      <c r="E196" s="143"/>
      <c r="F196" s="144"/>
      <c r="G196" s="151"/>
      <c r="H196" s="151"/>
      <c r="I196" s="144"/>
      <c r="J196" s="144"/>
      <c r="K196" s="144"/>
      <c r="L196" s="144"/>
      <c r="M196" s="144"/>
      <c r="N196" s="144"/>
      <c r="O196" s="144"/>
      <c r="P196" s="144"/>
      <c r="Q196" s="144"/>
      <c r="R196" s="144"/>
      <c r="S196" s="144"/>
      <c r="T196" s="144"/>
      <c r="U196" s="144"/>
      <c r="V196" s="144"/>
      <c r="W196" s="144"/>
      <c r="X196" s="144"/>
      <c r="Y196" s="144"/>
      <c r="Z196" s="144"/>
    </row>
    <row r="197" spans="1:26" ht="24.75">
      <c r="A197" s="144"/>
      <c r="B197" s="141"/>
      <c r="C197" s="142"/>
      <c r="D197" s="154"/>
      <c r="E197" s="143"/>
      <c r="F197" s="144"/>
      <c r="G197" s="153"/>
      <c r="H197" s="153"/>
      <c r="I197" s="144"/>
      <c r="J197" s="144"/>
      <c r="K197" s="144"/>
      <c r="L197" s="144"/>
      <c r="M197" s="144"/>
      <c r="N197" s="144"/>
      <c r="O197" s="144"/>
      <c r="P197" s="144"/>
      <c r="Q197" s="144"/>
      <c r="R197" s="144"/>
      <c r="S197" s="144"/>
      <c r="T197" s="144"/>
      <c r="U197" s="144"/>
      <c r="V197" s="144"/>
      <c r="W197" s="144"/>
      <c r="X197" s="144"/>
      <c r="Y197" s="144"/>
      <c r="Z197" s="144"/>
    </row>
    <row r="198" spans="1:26" ht="24.75">
      <c r="A198" s="144"/>
      <c r="B198" s="141"/>
      <c r="C198" s="142"/>
      <c r="D198" s="154"/>
      <c r="E198" s="143"/>
      <c r="F198" s="144"/>
      <c r="G198" s="151"/>
      <c r="H198" s="151"/>
      <c r="I198" s="144"/>
      <c r="J198" s="144"/>
      <c r="K198" s="144"/>
      <c r="L198" s="144"/>
      <c r="M198" s="144"/>
      <c r="N198" s="144"/>
      <c r="O198" s="144"/>
      <c r="P198" s="144"/>
      <c r="Q198" s="144"/>
      <c r="R198" s="144"/>
      <c r="S198" s="144"/>
      <c r="T198" s="144"/>
      <c r="U198" s="144"/>
      <c r="V198" s="144"/>
      <c r="W198" s="144"/>
      <c r="X198" s="144"/>
      <c r="Y198" s="144"/>
      <c r="Z198" s="144"/>
    </row>
    <row r="199" spans="1:26" ht="24.75">
      <c r="A199" s="144"/>
      <c r="B199" s="141"/>
      <c r="C199" s="142"/>
      <c r="D199" s="154"/>
      <c r="E199" s="143"/>
      <c r="F199" s="144"/>
      <c r="G199" s="153"/>
      <c r="H199" s="153"/>
      <c r="I199" s="144"/>
      <c r="J199" s="144"/>
      <c r="K199" s="144"/>
      <c r="L199" s="144"/>
      <c r="M199" s="144"/>
      <c r="N199" s="144"/>
      <c r="O199" s="144"/>
      <c r="P199" s="144"/>
      <c r="Q199" s="144"/>
      <c r="R199" s="144"/>
      <c r="S199" s="144"/>
      <c r="T199" s="144"/>
      <c r="U199" s="144"/>
      <c r="V199" s="144"/>
      <c r="W199" s="144"/>
      <c r="X199" s="144"/>
      <c r="Y199" s="144"/>
      <c r="Z199" s="144"/>
    </row>
    <row r="200" spans="1:26" ht="24.75">
      <c r="A200" s="144"/>
      <c r="B200" s="141"/>
      <c r="C200" s="142"/>
      <c r="D200" s="154"/>
      <c r="E200" s="143"/>
      <c r="F200" s="144"/>
      <c r="G200" s="151"/>
      <c r="H200" s="151"/>
      <c r="I200" s="144"/>
      <c r="J200" s="144"/>
      <c r="K200" s="144"/>
      <c r="L200" s="144"/>
      <c r="M200" s="144"/>
      <c r="N200" s="144"/>
      <c r="O200" s="144"/>
      <c r="P200" s="144"/>
      <c r="Q200" s="144"/>
      <c r="R200" s="144"/>
      <c r="S200" s="144"/>
      <c r="T200" s="144"/>
      <c r="U200" s="144"/>
      <c r="V200" s="144"/>
      <c r="W200" s="144"/>
      <c r="X200" s="144"/>
      <c r="Y200" s="144"/>
      <c r="Z200" s="144"/>
    </row>
    <row r="201" spans="1:26" ht="24.75">
      <c r="A201" s="144"/>
      <c r="B201" s="141"/>
      <c r="C201" s="142"/>
      <c r="D201" s="154"/>
      <c r="E201" s="143"/>
      <c r="F201" s="144"/>
      <c r="G201" s="153"/>
      <c r="H201" s="153"/>
      <c r="I201" s="144"/>
      <c r="J201" s="144"/>
      <c r="K201" s="144"/>
      <c r="L201" s="144"/>
      <c r="M201" s="144"/>
      <c r="N201" s="144"/>
      <c r="O201" s="144"/>
      <c r="P201" s="144"/>
      <c r="Q201" s="144"/>
      <c r="R201" s="144"/>
      <c r="S201" s="144"/>
      <c r="T201" s="144"/>
      <c r="U201" s="144"/>
      <c r="V201" s="144"/>
      <c r="W201" s="144"/>
      <c r="X201" s="144"/>
      <c r="Y201" s="144"/>
      <c r="Z201" s="144"/>
    </row>
    <row r="202" spans="1:26" ht="24.75">
      <c r="A202" s="144"/>
      <c r="B202" s="141"/>
      <c r="C202" s="142"/>
      <c r="D202" s="154"/>
      <c r="E202" s="143"/>
      <c r="F202" s="144"/>
      <c r="G202" s="151"/>
      <c r="H202" s="151"/>
      <c r="I202" s="144"/>
      <c r="J202" s="144"/>
      <c r="K202" s="144"/>
      <c r="L202" s="144"/>
      <c r="M202" s="144"/>
      <c r="N202" s="144"/>
      <c r="O202" s="144"/>
      <c r="P202" s="144"/>
      <c r="Q202" s="144"/>
      <c r="R202" s="144"/>
      <c r="S202" s="144"/>
      <c r="T202" s="144"/>
      <c r="U202" s="144"/>
      <c r="V202" s="144"/>
      <c r="W202" s="144"/>
      <c r="X202" s="144"/>
      <c r="Y202" s="144"/>
      <c r="Z202" s="144"/>
    </row>
    <row r="203" spans="1:26" ht="24.75">
      <c r="A203" s="144"/>
      <c r="B203" s="141"/>
      <c r="C203" s="142"/>
      <c r="D203" s="154"/>
      <c r="E203" s="143"/>
      <c r="F203" s="144"/>
      <c r="G203" s="153"/>
      <c r="H203" s="153"/>
      <c r="I203" s="144"/>
      <c r="J203" s="144"/>
      <c r="K203" s="144"/>
      <c r="L203" s="144"/>
      <c r="M203" s="144"/>
      <c r="N203" s="144"/>
      <c r="O203" s="144"/>
      <c r="P203" s="144"/>
      <c r="Q203" s="144"/>
      <c r="R203" s="144"/>
      <c r="S203" s="144"/>
      <c r="T203" s="144"/>
      <c r="U203" s="144"/>
      <c r="V203" s="144"/>
      <c r="W203" s="144"/>
      <c r="X203" s="144"/>
      <c r="Y203" s="144"/>
      <c r="Z203" s="144"/>
    </row>
    <row r="204" spans="1:26" ht="24.75">
      <c r="A204" s="144"/>
      <c r="B204" s="141"/>
      <c r="C204" s="142"/>
      <c r="D204" s="154"/>
      <c r="E204" s="143"/>
      <c r="F204" s="144"/>
      <c r="G204" s="151"/>
      <c r="H204" s="151"/>
      <c r="I204" s="144"/>
      <c r="J204" s="144"/>
      <c r="K204" s="144"/>
      <c r="L204" s="144"/>
      <c r="M204" s="144"/>
      <c r="N204" s="144"/>
      <c r="O204" s="144"/>
      <c r="P204" s="144"/>
      <c r="Q204" s="144"/>
      <c r="R204" s="144"/>
      <c r="S204" s="144"/>
      <c r="T204" s="144"/>
      <c r="U204" s="144"/>
      <c r="V204" s="144"/>
      <c r="W204" s="144"/>
      <c r="X204" s="144"/>
      <c r="Y204" s="144"/>
      <c r="Z204" s="144"/>
    </row>
    <row r="205" spans="1:26" ht="24.75">
      <c r="A205" s="144"/>
      <c r="B205" s="141"/>
      <c r="C205" s="142"/>
      <c r="D205" s="154"/>
      <c r="E205" s="143"/>
      <c r="F205" s="144"/>
      <c r="G205" s="153"/>
      <c r="H205" s="153"/>
      <c r="I205" s="144"/>
      <c r="J205" s="144"/>
      <c r="K205" s="144"/>
      <c r="L205" s="144"/>
      <c r="M205" s="144"/>
      <c r="N205" s="144"/>
      <c r="O205" s="144"/>
      <c r="P205" s="144"/>
      <c r="Q205" s="144"/>
      <c r="R205" s="144"/>
      <c r="S205" s="144"/>
      <c r="T205" s="144"/>
      <c r="U205" s="144"/>
      <c r="V205" s="144"/>
      <c r="W205" s="144"/>
      <c r="X205" s="144"/>
      <c r="Y205" s="144"/>
      <c r="Z205" s="144"/>
    </row>
    <row r="206" spans="1:26" ht="24.75">
      <c r="A206" s="144"/>
      <c r="B206" s="141"/>
      <c r="C206" s="142"/>
      <c r="D206" s="154"/>
      <c r="E206" s="143"/>
      <c r="F206" s="144"/>
      <c r="G206" s="151"/>
      <c r="H206" s="151"/>
      <c r="I206" s="144"/>
      <c r="J206" s="144"/>
      <c r="K206" s="144"/>
      <c r="L206" s="144"/>
      <c r="M206" s="144"/>
      <c r="N206" s="144"/>
      <c r="O206" s="144"/>
      <c r="P206" s="144"/>
      <c r="Q206" s="144"/>
      <c r="R206" s="144"/>
      <c r="S206" s="144"/>
      <c r="T206" s="144"/>
      <c r="U206" s="144"/>
      <c r="V206" s="144"/>
      <c r="W206" s="144"/>
      <c r="X206" s="144"/>
      <c r="Y206" s="144"/>
      <c r="Z206" s="144"/>
    </row>
    <row r="207" spans="1:26" ht="24.75">
      <c r="A207" s="144"/>
      <c r="B207" s="141"/>
      <c r="C207" s="142"/>
      <c r="D207" s="154"/>
      <c r="E207" s="143"/>
      <c r="F207" s="144"/>
      <c r="G207" s="153"/>
      <c r="H207" s="153"/>
      <c r="I207" s="144"/>
      <c r="J207" s="144"/>
      <c r="K207" s="144"/>
      <c r="L207" s="144"/>
      <c r="M207" s="144"/>
      <c r="N207" s="144"/>
      <c r="O207" s="144"/>
      <c r="P207" s="144"/>
      <c r="Q207" s="144"/>
      <c r="R207" s="144"/>
      <c r="S207" s="144"/>
      <c r="T207" s="144"/>
      <c r="U207" s="144"/>
      <c r="V207" s="144"/>
      <c r="W207" s="144"/>
      <c r="X207" s="144"/>
      <c r="Y207" s="144"/>
      <c r="Z207" s="144"/>
    </row>
    <row r="208" spans="1:26" ht="24.75">
      <c r="A208" s="144"/>
      <c r="B208" s="141"/>
      <c r="C208" s="142"/>
      <c r="D208" s="154"/>
      <c r="E208" s="143"/>
      <c r="F208" s="144"/>
      <c r="G208" s="151"/>
      <c r="H208" s="151"/>
      <c r="I208" s="144"/>
      <c r="J208" s="144"/>
      <c r="K208" s="144"/>
      <c r="L208" s="144"/>
      <c r="M208" s="144"/>
      <c r="N208" s="144"/>
      <c r="O208" s="144"/>
      <c r="P208" s="144"/>
      <c r="Q208" s="144"/>
      <c r="R208" s="144"/>
      <c r="S208" s="144"/>
      <c r="T208" s="144"/>
      <c r="U208" s="144"/>
      <c r="V208" s="144"/>
      <c r="W208" s="144"/>
      <c r="X208" s="144"/>
      <c r="Y208" s="144"/>
      <c r="Z208" s="144"/>
    </row>
    <row r="209" spans="1:26" ht="24.75">
      <c r="A209" s="144"/>
      <c r="B209" s="141"/>
      <c r="C209" s="142"/>
      <c r="D209" s="154"/>
      <c r="E209" s="143"/>
      <c r="F209" s="144"/>
      <c r="G209" s="153"/>
      <c r="H209" s="153"/>
      <c r="I209" s="144"/>
      <c r="J209" s="144"/>
      <c r="K209" s="144"/>
      <c r="L209" s="144"/>
      <c r="M209" s="144"/>
      <c r="N209" s="144"/>
      <c r="O209" s="144"/>
      <c r="P209" s="144"/>
      <c r="Q209" s="144"/>
      <c r="R209" s="144"/>
      <c r="S209" s="144"/>
      <c r="T209" s="144"/>
      <c r="U209" s="144"/>
      <c r="V209" s="144"/>
      <c r="W209" s="144"/>
      <c r="X209" s="144"/>
      <c r="Y209" s="144"/>
      <c r="Z209" s="144"/>
    </row>
    <row r="210" spans="1:26" ht="24.75">
      <c r="A210" s="144"/>
      <c r="B210" s="141"/>
      <c r="C210" s="142"/>
      <c r="D210" s="154"/>
      <c r="E210" s="143"/>
      <c r="F210" s="144"/>
      <c r="G210" s="151"/>
      <c r="H210" s="151"/>
      <c r="I210" s="144"/>
      <c r="J210" s="144"/>
      <c r="K210" s="144"/>
      <c r="L210" s="144"/>
      <c r="M210" s="144"/>
      <c r="N210" s="144"/>
      <c r="O210" s="144"/>
      <c r="P210" s="144"/>
      <c r="Q210" s="144"/>
      <c r="R210" s="144"/>
      <c r="S210" s="144"/>
      <c r="T210" s="144"/>
      <c r="U210" s="144"/>
      <c r="V210" s="144"/>
      <c r="W210" s="144"/>
      <c r="X210" s="144"/>
      <c r="Y210" s="144"/>
      <c r="Z210" s="144"/>
    </row>
    <row r="211" spans="1:26" ht="24.75">
      <c r="A211" s="144"/>
      <c r="B211" s="141"/>
      <c r="C211" s="142"/>
      <c r="D211" s="154"/>
      <c r="E211" s="143"/>
      <c r="F211" s="144"/>
      <c r="G211" s="153"/>
      <c r="H211" s="153"/>
      <c r="I211" s="144"/>
      <c r="J211" s="144"/>
      <c r="K211" s="144"/>
      <c r="L211" s="144"/>
      <c r="M211" s="144"/>
      <c r="N211" s="144"/>
      <c r="O211" s="144"/>
      <c r="P211" s="144"/>
      <c r="Q211" s="144"/>
      <c r="R211" s="144"/>
      <c r="S211" s="144"/>
      <c r="T211" s="144"/>
      <c r="U211" s="144"/>
      <c r="V211" s="144"/>
      <c r="W211" s="144"/>
      <c r="X211" s="144"/>
      <c r="Y211" s="144"/>
      <c r="Z211" s="144"/>
    </row>
    <row r="212" spans="1:26" ht="24.75">
      <c r="A212" s="144"/>
      <c r="B212" s="141"/>
      <c r="C212" s="142"/>
      <c r="D212" s="154"/>
      <c r="E212" s="143"/>
      <c r="F212" s="144"/>
      <c r="G212" s="151"/>
      <c r="H212" s="151"/>
      <c r="I212" s="144"/>
      <c r="J212" s="144"/>
      <c r="K212" s="144"/>
      <c r="L212" s="144"/>
      <c r="M212" s="144"/>
      <c r="N212" s="144"/>
      <c r="O212" s="144"/>
      <c r="P212" s="144"/>
      <c r="Q212" s="144"/>
      <c r="R212" s="144"/>
      <c r="S212" s="144"/>
      <c r="T212" s="144"/>
      <c r="U212" s="144"/>
      <c r="V212" s="144"/>
      <c r="W212" s="144"/>
      <c r="X212" s="144"/>
      <c r="Y212" s="144"/>
      <c r="Z212" s="144"/>
    </row>
    <row r="213" spans="1:26" ht="24.75">
      <c r="A213" s="144"/>
      <c r="B213" s="141"/>
      <c r="C213" s="142"/>
      <c r="D213" s="154"/>
      <c r="E213" s="143"/>
      <c r="F213" s="144"/>
      <c r="G213" s="153"/>
      <c r="H213" s="153"/>
      <c r="I213" s="144"/>
      <c r="J213" s="144"/>
      <c r="K213" s="144"/>
      <c r="L213" s="144"/>
      <c r="M213" s="144"/>
      <c r="N213" s="144"/>
      <c r="O213" s="144"/>
      <c r="P213" s="144"/>
      <c r="Q213" s="144"/>
      <c r="R213" s="144"/>
      <c r="S213" s="144"/>
      <c r="T213" s="144"/>
      <c r="U213" s="144"/>
      <c r="V213" s="144"/>
      <c r="W213" s="144"/>
      <c r="X213" s="144"/>
      <c r="Y213" s="144"/>
      <c r="Z213" s="144"/>
    </row>
    <row r="214" spans="1:26" ht="24.75">
      <c r="A214" s="144"/>
      <c r="B214" s="141"/>
      <c r="C214" s="142"/>
      <c r="D214" s="154"/>
      <c r="E214" s="143"/>
      <c r="F214" s="144"/>
      <c r="G214" s="151"/>
      <c r="H214" s="151"/>
      <c r="I214" s="144"/>
      <c r="J214" s="144"/>
      <c r="K214" s="144"/>
      <c r="L214" s="144"/>
      <c r="M214" s="144"/>
      <c r="N214" s="144"/>
      <c r="O214" s="144"/>
      <c r="P214" s="144"/>
      <c r="Q214" s="144"/>
      <c r="R214" s="144"/>
      <c r="S214" s="144"/>
      <c r="T214" s="144"/>
      <c r="U214" s="144"/>
      <c r="V214" s="144"/>
      <c r="W214" s="144"/>
      <c r="X214" s="144"/>
      <c r="Y214" s="144"/>
      <c r="Z214" s="144"/>
    </row>
    <row r="215" spans="1:26" ht="24.75">
      <c r="A215" s="144"/>
      <c r="B215" s="141"/>
      <c r="C215" s="142"/>
      <c r="D215" s="154"/>
      <c r="E215" s="143"/>
      <c r="F215" s="144"/>
      <c r="G215" s="153"/>
      <c r="H215" s="153"/>
      <c r="I215" s="144"/>
      <c r="J215" s="144"/>
      <c r="K215" s="144"/>
      <c r="L215" s="144"/>
      <c r="M215" s="144"/>
      <c r="N215" s="144"/>
      <c r="O215" s="144"/>
      <c r="P215" s="144"/>
      <c r="Q215" s="144"/>
      <c r="R215" s="144"/>
      <c r="S215" s="144"/>
      <c r="T215" s="144"/>
      <c r="U215" s="144"/>
      <c r="V215" s="144"/>
      <c r="W215" s="144"/>
      <c r="X215" s="144"/>
      <c r="Y215" s="144"/>
      <c r="Z215" s="144"/>
    </row>
    <row r="216" spans="1:26" ht="24.75">
      <c r="A216" s="144"/>
      <c r="B216" s="141"/>
      <c r="C216" s="142"/>
      <c r="D216" s="154"/>
      <c r="E216" s="143"/>
      <c r="F216" s="144"/>
      <c r="G216" s="151"/>
      <c r="H216" s="151"/>
      <c r="I216" s="144"/>
      <c r="J216" s="144"/>
      <c r="K216" s="144"/>
      <c r="L216" s="144"/>
      <c r="M216" s="144"/>
      <c r="N216" s="144"/>
      <c r="O216" s="144"/>
      <c r="P216" s="144"/>
      <c r="Q216" s="144"/>
      <c r="R216" s="144"/>
      <c r="S216" s="144"/>
      <c r="T216" s="144"/>
      <c r="U216" s="144"/>
      <c r="V216" s="144"/>
      <c r="W216" s="144"/>
      <c r="X216" s="144"/>
      <c r="Y216" s="144"/>
      <c r="Z216" s="144"/>
    </row>
    <row r="217" spans="1:26" ht="24.75">
      <c r="A217" s="144"/>
      <c r="B217" s="141"/>
      <c r="C217" s="142"/>
      <c r="D217" s="154"/>
      <c r="E217" s="143"/>
      <c r="F217" s="144"/>
      <c r="G217" s="153"/>
      <c r="H217" s="153"/>
      <c r="I217" s="144"/>
      <c r="J217" s="144"/>
      <c r="K217" s="144"/>
      <c r="L217" s="144"/>
      <c r="M217" s="144"/>
      <c r="N217" s="144"/>
      <c r="O217" s="144"/>
      <c r="P217" s="144"/>
      <c r="Q217" s="144"/>
      <c r="R217" s="144"/>
      <c r="S217" s="144"/>
      <c r="T217" s="144"/>
      <c r="U217" s="144"/>
      <c r="V217" s="144"/>
      <c r="W217" s="144"/>
      <c r="X217" s="144"/>
      <c r="Y217" s="144"/>
      <c r="Z217" s="144"/>
    </row>
    <row r="218" spans="1:26" ht="24.75">
      <c r="A218" s="144"/>
      <c r="B218" s="141"/>
      <c r="C218" s="142"/>
      <c r="D218" s="154"/>
      <c r="E218" s="143"/>
      <c r="F218" s="144"/>
      <c r="G218" s="151"/>
      <c r="H218" s="151"/>
      <c r="I218" s="144"/>
      <c r="J218" s="144"/>
      <c r="K218" s="144"/>
      <c r="L218" s="144"/>
      <c r="M218" s="144"/>
      <c r="N218" s="144"/>
      <c r="O218" s="144"/>
      <c r="P218" s="144"/>
      <c r="Q218" s="144"/>
      <c r="R218" s="144"/>
      <c r="S218" s="144"/>
      <c r="T218" s="144"/>
      <c r="U218" s="144"/>
      <c r="V218" s="144"/>
      <c r="W218" s="144"/>
      <c r="X218" s="144"/>
      <c r="Y218" s="144"/>
      <c r="Z218" s="144"/>
    </row>
    <row r="219" spans="1:26" ht="24.75">
      <c r="A219" s="144"/>
      <c r="B219" s="141"/>
      <c r="C219" s="142"/>
      <c r="D219" s="154"/>
      <c r="E219" s="143"/>
      <c r="F219" s="144"/>
      <c r="G219" s="153"/>
      <c r="H219" s="153"/>
      <c r="I219" s="144"/>
      <c r="J219" s="144"/>
      <c r="K219" s="144"/>
      <c r="L219" s="144"/>
      <c r="M219" s="144"/>
      <c r="N219" s="144"/>
      <c r="O219" s="144"/>
      <c r="P219" s="144"/>
      <c r="Q219" s="144"/>
      <c r="R219" s="144"/>
      <c r="S219" s="144"/>
      <c r="T219" s="144"/>
      <c r="U219" s="144"/>
      <c r="V219" s="144"/>
      <c r="W219" s="144"/>
      <c r="X219" s="144"/>
      <c r="Y219" s="144"/>
      <c r="Z219" s="144"/>
    </row>
    <row r="220" spans="1:26" ht="24.75">
      <c r="A220" s="144"/>
      <c r="B220" s="141"/>
      <c r="C220" s="142"/>
      <c r="D220" s="154"/>
      <c r="E220" s="143"/>
      <c r="F220" s="144"/>
      <c r="G220" s="151"/>
      <c r="H220" s="151"/>
      <c r="I220" s="144"/>
      <c r="J220" s="144"/>
      <c r="K220" s="144"/>
      <c r="L220" s="144"/>
      <c r="M220" s="144"/>
      <c r="N220" s="144"/>
      <c r="O220" s="144"/>
      <c r="P220" s="144"/>
      <c r="Q220" s="144"/>
      <c r="R220" s="144"/>
      <c r="S220" s="144"/>
      <c r="T220" s="144"/>
      <c r="U220" s="144"/>
      <c r="V220" s="144"/>
      <c r="W220" s="144"/>
      <c r="X220" s="144"/>
      <c r="Y220" s="144"/>
      <c r="Z220" s="144"/>
    </row>
    <row r="221" spans="1:26" ht="24.75">
      <c r="A221" s="144"/>
      <c r="B221" s="141"/>
      <c r="C221" s="142"/>
      <c r="D221" s="154"/>
      <c r="E221" s="143"/>
      <c r="F221" s="144"/>
      <c r="G221" s="153"/>
      <c r="H221" s="153"/>
      <c r="I221" s="144"/>
      <c r="J221" s="144"/>
      <c r="K221" s="144"/>
      <c r="L221" s="144"/>
      <c r="M221" s="144"/>
      <c r="N221" s="144"/>
      <c r="O221" s="144"/>
      <c r="P221" s="144"/>
      <c r="Q221" s="144"/>
      <c r="R221" s="144"/>
      <c r="S221" s="144"/>
      <c r="T221" s="144"/>
      <c r="U221" s="144"/>
      <c r="V221" s="144"/>
      <c r="W221" s="144"/>
      <c r="X221" s="144"/>
      <c r="Y221" s="144"/>
      <c r="Z221" s="144"/>
    </row>
    <row r="222" spans="1:26" ht="24.75">
      <c r="A222" s="144"/>
      <c r="B222" s="141"/>
      <c r="C222" s="142"/>
      <c r="D222" s="154"/>
      <c r="E222" s="143"/>
      <c r="F222" s="144"/>
      <c r="G222" s="151"/>
      <c r="H222" s="151"/>
      <c r="I222" s="144"/>
      <c r="J222" s="144"/>
      <c r="K222" s="144"/>
      <c r="L222" s="144"/>
      <c r="M222" s="144"/>
      <c r="N222" s="144"/>
      <c r="O222" s="144"/>
      <c r="P222" s="144"/>
      <c r="Q222" s="144"/>
      <c r="R222" s="144"/>
      <c r="S222" s="144"/>
      <c r="T222" s="144"/>
      <c r="U222" s="144"/>
      <c r="V222" s="144"/>
      <c r="W222" s="144"/>
      <c r="X222" s="144"/>
      <c r="Y222" s="144"/>
      <c r="Z222" s="144"/>
    </row>
    <row r="223" spans="1:26" ht="24.75">
      <c r="A223" s="144"/>
      <c r="B223" s="141"/>
      <c r="C223" s="142"/>
      <c r="D223" s="154"/>
      <c r="E223" s="143"/>
      <c r="F223" s="144"/>
      <c r="G223" s="153"/>
      <c r="H223" s="153"/>
      <c r="I223" s="144"/>
      <c r="J223" s="144"/>
      <c r="K223" s="144"/>
      <c r="L223" s="144"/>
      <c r="M223" s="144"/>
      <c r="N223" s="144"/>
      <c r="O223" s="144"/>
      <c r="P223" s="144"/>
      <c r="Q223" s="144"/>
      <c r="R223" s="144"/>
      <c r="S223" s="144"/>
      <c r="T223" s="144"/>
      <c r="U223" s="144"/>
      <c r="V223" s="144"/>
      <c r="W223" s="144"/>
      <c r="X223" s="144"/>
      <c r="Y223" s="144"/>
      <c r="Z223" s="144"/>
    </row>
    <row r="224" spans="1:26" ht="24.75">
      <c r="A224" s="144"/>
      <c r="B224" s="141"/>
      <c r="C224" s="142"/>
      <c r="D224" s="154"/>
      <c r="E224" s="143"/>
      <c r="F224" s="144"/>
      <c r="G224" s="151"/>
      <c r="H224" s="151"/>
      <c r="I224" s="144"/>
      <c r="J224" s="144"/>
      <c r="K224" s="144"/>
      <c r="L224" s="144"/>
      <c r="M224" s="144"/>
      <c r="N224" s="144"/>
      <c r="O224" s="144"/>
      <c r="P224" s="144"/>
      <c r="Q224" s="144"/>
      <c r="R224" s="144"/>
      <c r="S224" s="144"/>
      <c r="T224" s="144"/>
      <c r="U224" s="144"/>
      <c r="V224" s="144"/>
      <c r="W224" s="144"/>
      <c r="X224" s="144"/>
      <c r="Y224" s="144"/>
      <c r="Z224" s="144"/>
    </row>
    <row r="225" spans="1:26" ht="24.75">
      <c r="A225" s="144"/>
      <c r="B225" s="141"/>
      <c r="C225" s="142"/>
      <c r="D225" s="154"/>
      <c r="E225" s="143"/>
      <c r="F225" s="144"/>
      <c r="G225" s="153"/>
      <c r="H225" s="153"/>
      <c r="I225" s="144"/>
      <c r="J225" s="144"/>
      <c r="K225" s="144"/>
      <c r="L225" s="144"/>
      <c r="M225" s="144"/>
      <c r="N225" s="144"/>
      <c r="O225" s="144"/>
      <c r="P225" s="144"/>
      <c r="Q225" s="144"/>
      <c r="R225" s="144"/>
      <c r="S225" s="144"/>
      <c r="T225" s="144"/>
      <c r="U225" s="144"/>
      <c r="V225" s="144"/>
      <c r="W225" s="144"/>
      <c r="X225" s="144"/>
      <c r="Y225" s="144"/>
      <c r="Z225" s="144"/>
    </row>
    <row r="226" spans="1:26" ht="24.75">
      <c r="A226" s="144"/>
      <c r="B226" s="141"/>
      <c r="C226" s="142"/>
      <c r="D226" s="154"/>
      <c r="E226" s="143"/>
      <c r="F226" s="144"/>
      <c r="G226" s="151"/>
      <c r="H226" s="151"/>
      <c r="I226" s="144"/>
      <c r="J226" s="144"/>
      <c r="K226" s="144"/>
      <c r="L226" s="144"/>
      <c r="M226" s="144"/>
      <c r="N226" s="144"/>
      <c r="O226" s="144"/>
      <c r="P226" s="144"/>
      <c r="Q226" s="144"/>
      <c r="R226" s="144"/>
      <c r="S226" s="144"/>
      <c r="T226" s="144"/>
      <c r="U226" s="144"/>
      <c r="V226" s="144"/>
      <c r="W226" s="144"/>
      <c r="X226" s="144"/>
      <c r="Y226" s="144"/>
      <c r="Z226" s="144"/>
    </row>
    <row r="227" spans="1:26" ht="24.75">
      <c r="A227" s="144"/>
      <c r="B227" s="141"/>
      <c r="C227" s="142"/>
      <c r="D227" s="154"/>
      <c r="E227" s="143"/>
      <c r="F227" s="144"/>
      <c r="G227" s="153"/>
      <c r="H227" s="153"/>
      <c r="I227" s="144"/>
      <c r="J227" s="144"/>
      <c r="K227" s="144"/>
      <c r="L227" s="144"/>
      <c r="M227" s="144"/>
      <c r="N227" s="144"/>
      <c r="O227" s="144"/>
      <c r="P227" s="144"/>
      <c r="Q227" s="144"/>
      <c r="R227" s="144"/>
      <c r="S227" s="144"/>
      <c r="T227" s="144"/>
      <c r="U227" s="144"/>
      <c r="V227" s="144"/>
      <c r="W227" s="144"/>
      <c r="X227" s="144"/>
      <c r="Y227" s="144"/>
      <c r="Z227" s="144"/>
    </row>
    <row r="228" spans="1:26" ht="24.75">
      <c r="A228" s="144"/>
      <c r="B228" s="141"/>
      <c r="C228" s="142"/>
      <c r="D228" s="154"/>
      <c r="E228" s="143"/>
      <c r="F228" s="144"/>
      <c r="G228" s="151"/>
      <c r="H228" s="151"/>
      <c r="I228" s="144"/>
      <c r="J228" s="144"/>
      <c r="K228" s="144"/>
      <c r="L228" s="144"/>
      <c r="M228" s="144"/>
      <c r="N228" s="144"/>
      <c r="O228" s="144"/>
      <c r="P228" s="144"/>
      <c r="Q228" s="144"/>
      <c r="R228" s="144"/>
      <c r="S228" s="144"/>
      <c r="T228" s="144"/>
      <c r="U228" s="144"/>
      <c r="V228" s="144"/>
      <c r="W228" s="144"/>
      <c r="X228" s="144"/>
      <c r="Y228" s="144"/>
      <c r="Z228" s="144"/>
    </row>
    <row r="229" spans="1:26" ht="24.75">
      <c r="A229" s="144"/>
      <c r="B229" s="141"/>
      <c r="C229" s="142"/>
      <c r="D229" s="154"/>
      <c r="E229" s="143"/>
      <c r="F229" s="144"/>
      <c r="G229" s="153"/>
      <c r="H229" s="153"/>
      <c r="I229" s="144"/>
      <c r="J229" s="144"/>
      <c r="K229" s="144"/>
      <c r="L229" s="144"/>
      <c r="M229" s="144"/>
      <c r="N229" s="144"/>
      <c r="O229" s="144"/>
      <c r="P229" s="144"/>
      <c r="Q229" s="144"/>
      <c r="R229" s="144"/>
      <c r="S229" s="144"/>
      <c r="T229" s="144"/>
      <c r="U229" s="144"/>
      <c r="V229" s="144"/>
      <c r="W229" s="144"/>
      <c r="X229" s="144"/>
      <c r="Y229" s="144"/>
      <c r="Z229" s="144"/>
    </row>
    <row r="230" spans="1:26" ht="24.75">
      <c r="A230" s="144"/>
      <c r="B230" s="141"/>
      <c r="C230" s="142"/>
      <c r="D230" s="154"/>
      <c r="E230" s="143"/>
      <c r="F230" s="144"/>
      <c r="G230" s="151"/>
      <c r="H230" s="151"/>
      <c r="I230" s="144"/>
      <c r="J230" s="144"/>
      <c r="K230" s="144"/>
      <c r="L230" s="144"/>
      <c r="M230" s="144"/>
      <c r="N230" s="144"/>
      <c r="O230" s="144"/>
      <c r="P230" s="144"/>
      <c r="Q230" s="144"/>
      <c r="R230" s="144"/>
      <c r="S230" s="144"/>
      <c r="T230" s="144"/>
      <c r="U230" s="144"/>
      <c r="V230" s="144"/>
      <c r="W230" s="144"/>
      <c r="X230" s="144"/>
      <c r="Y230" s="144"/>
      <c r="Z230" s="144"/>
    </row>
    <row r="231" spans="1:26" ht="24.75">
      <c r="A231" s="144"/>
      <c r="B231" s="141"/>
      <c r="C231" s="142"/>
      <c r="D231" s="154"/>
      <c r="E231" s="143"/>
      <c r="F231" s="144"/>
      <c r="G231" s="153"/>
      <c r="H231" s="153"/>
      <c r="I231" s="144"/>
      <c r="J231" s="144"/>
      <c r="K231" s="144"/>
      <c r="L231" s="144"/>
      <c r="M231" s="144"/>
      <c r="N231" s="144"/>
      <c r="O231" s="144"/>
      <c r="P231" s="144"/>
      <c r="Q231" s="144"/>
      <c r="R231" s="144"/>
      <c r="S231" s="144"/>
      <c r="T231" s="144"/>
      <c r="U231" s="144"/>
      <c r="V231" s="144"/>
      <c r="W231" s="144"/>
      <c r="X231" s="144"/>
      <c r="Y231" s="144"/>
      <c r="Z231" s="144"/>
    </row>
    <row r="232" spans="1:26" ht="24.75">
      <c r="A232" s="144"/>
      <c r="B232" s="141"/>
      <c r="C232" s="142"/>
      <c r="D232" s="154"/>
      <c r="E232" s="143"/>
      <c r="F232" s="144"/>
      <c r="G232" s="151"/>
      <c r="H232" s="151"/>
      <c r="I232" s="144"/>
      <c r="J232" s="144"/>
      <c r="K232" s="144"/>
      <c r="L232" s="144"/>
      <c r="M232" s="144"/>
      <c r="N232" s="144"/>
      <c r="O232" s="144"/>
      <c r="P232" s="144"/>
      <c r="Q232" s="144"/>
      <c r="R232" s="144"/>
      <c r="S232" s="144"/>
      <c r="T232" s="144"/>
      <c r="U232" s="144"/>
      <c r="V232" s="144"/>
      <c r="W232" s="144"/>
      <c r="X232" s="144"/>
      <c r="Y232" s="144"/>
      <c r="Z232" s="144"/>
    </row>
    <row r="233" spans="1:26" ht="24.75">
      <c r="A233" s="144"/>
      <c r="B233" s="141"/>
      <c r="C233" s="142"/>
      <c r="D233" s="154"/>
      <c r="E233" s="143"/>
      <c r="F233" s="144"/>
      <c r="G233" s="153"/>
      <c r="H233" s="153"/>
      <c r="I233" s="144"/>
      <c r="J233" s="144"/>
      <c r="K233" s="144"/>
      <c r="L233" s="144"/>
      <c r="M233" s="144"/>
      <c r="N233" s="144"/>
      <c r="O233" s="144"/>
      <c r="P233" s="144"/>
      <c r="Q233" s="144"/>
      <c r="R233" s="144"/>
      <c r="S233" s="144"/>
      <c r="T233" s="144"/>
      <c r="U233" s="144"/>
      <c r="V233" s="144"/>
      <c r="W233" s="144"/>
      <c r="X233" s="144"/>
      <c r="Y233" s="144"/>
      <c r="Z233" s="144"/>
    </row>
    <row r="234" spans="1:26" ht="24.75">
      <c r="A234" s="144"/>
      <c r="B234" s="141"/>
      <c r="C234" s="142"/>
      <c r="D234" s="154"/>
      <c r="E234" s="143"/>
      <c r="F234" s="144"/>
      <c r="G234" s="151"/>
      <c r="H234" s="151"/>
      <c r="I234" s="144"/>
      <c r="J234" s="144"/>
      <c r="K234" s="144"/>
      <c r="L234" s="144"/>
      <c r="M234" s="144"/>
      <c r="N234" s="144"/>
      <c r="O234" s="144"/>
      <c r="P234" s="144"/>
      <c r="Q234" s="144"/>
      <c r="R234" s="144"/>
      <c r="S234" s="144"/>
      <c r="T234" s="144"/>
      <c r="U234" s="144"/>
      <c r="V234" s="144"/>
      <c r="W234" s="144"/>
      <c r="X234" s="144"/>
      <c r="Y234" s="144"/>
      <c r="Z234" s="144"/>
    </row>
    <row r="235" spans="1:26" ht="24.75">
      <c r="A235" s="144"/>
      <c r="B235" s="141"/>
      <c r="C235" s="142"/>
      <c r="D235" s="154"/>
      <c r="E235" s="143"/>
      <c r="F235" s="144"/>
      <c r="G235" s="153"/>
      <c r="H235" s="153"/>
      <c r="I235" s="144"/>
      <c r="J235" s="144"/>
      <c r="K235" s="144"/>
      <c r="L235" s="144"/>
      <c r="M235" s="144"/>
      <c r="N235" s="144"/>
      <c r="O235" s="144"/>
      <c r="P235" s="144"/>
      <c r="Q235" s="144"/>
      <c r="R235" s="144"/>
      <c r="S235" s="144"/>
      <c r="T235" s="144"/>
      <c r="U235" s="144"/>
      <c r="V235" s="144"/>
      <c r="W235" s="144"/>
      <c r="X235" s="144"/>
      <c r="Y235" s="144"/>
      <c r="Z235" s="144"/>
    </row>
    <row r="236" spans="1:26" ht="24.75">
      <c r="A236" s="144"/>
      <c r="B236" s="141"/>
      <c r="C236" s="142"/>
      <c r="D236" s="154"/>
      <c r="E236" s="143"/>
      <c r="F236" s="144"/>
      <c r="G236" s="151"/>
      <c r="H236" s="151"/>
      <c r="I236" s="144"/>
      <c r="J236" s="144"/>
      <c r="K236" s="144"/>
      <c r="L236" s="144"/>
      <c r="M236" s="144"/>
      <c r="N236" s="144"/>
      <c r="O236" s="144"/>
      <c r="P236" s="144"/>
      <c r="Q236" s="144"/>
      <c r="R236" s="144"/>
      <c r="S236" s="144"/>
      <c r="T236" s="144"/>
      <c r="U236" s="144"/>
      <c r="V236" s="144"/>
      <c r="W236" s="144"/>
      <c r="X236" s="144"/>
      <c r="Y236" s="144"/>
      <c r="Z236" s="144"/>
    </row>
    <row r="237" spans="1:26" ht="24.75">
      <c r="A237" s="144"/>
      <c r="B237" s="141"/>
      <c r="C237" s="142"/>
      <c r="D237" s="154"/>
      <c r="E237" s="143"/>
      <c r="F237" s="144"/>
      <c r="G237" s="153"/>
      <c r="H237" s="153"/>
      <c r="I237" s="144"/>
      <c r="J237" s="144"/>
      <c r="K237" s="144"/>
      <c r="L237" s="144"/>
      <c r="M237" s="144"/>
      <c r="N237" s="144"/>
      <c r="O237" s="144"/>
      <c r="P237" s="144"/>
      <c r="Q237" s="144"/>
      <c r="R237" s="144"/>
      <c r="S237" s="144"/>
      <c r="T237" s="144"/>
      <c r="U237" s="144"/>
      <c r="V237" s="144"/>
      <c r="W237" s="144"/>
      <c r="X237" s="144"/>
      <c r="Y237" s="144"/>
      <c r="Z237" s="144"/>
    </row>
    <row r="238" spans="1:26" ht="24.75">
      <c r="A238" s="144"/>
      <c r="B238" s="141"/>
      <c r="C238" s="142"/>
      <c r="D238" s="154"/>
      <c r="E238" s="143"/>
      <c r="F238" s="144"/>
      <c r="G238" s="151"/>
      <c r="H238" s="151"/>
      <c r="I238" s="144"/>
      <c r="J238" s="144"/>
      <c r="K238" s="144"/>
      <c r="L238" s="144"/>
      <c r="M238" s="144"/>
      <c r="N238" s="144"/>
      <c r="O238" s="144"/>
      <c r="P238" s="144"/>
      <c r="Q238" s="144"/>
      <c r="R238" s="144"/>
      <c r="S238" s="144"/>
      <c r="T238" s="144"/>
      <c r="U238" s="144"/>
      <c r="V238" s="144"/>
      <c r="W238" s="144"/>
      <c r="X238" s="144"/>
      <c r="Y238" s="144"/>
      <c r="Z238" s="144"/>
    </row>
    <row r="239" spans="1:26" ht="24.75">
      <c r="A239" s="144"/>
      <c r="B239" s="141"/>
      <c r="C239" s="142"/>
      <c r="D239" s="154"/>
      <c r="E239" s="143"/>
      <c r="F239" s="144"/>
      <c r="G239" s="153"/>
      <c r="H239" s="153"/>
      <c r="I239" s="144"/>
      <c r="J239" s="144"/>
      <c r="K239" s="144"/>
      <c r="L239" s="144"/>
      <c r="M239" s="144"/>
      <c r="N239" s="144"/>
      <c r="O239" s="144"/>
      <c r="P239" s="144"/>
      <c r="Q239" s="144"/>
      <c r="R239" s="144"/>
      <c r="S239" s="144"/>
      <c r="T239" s="144"/>
      <c r="U239" s="144"/>
      <c r="V239" s="144"/>
      <c r="W239" s="144"/>
      <c r="X239" s="144"/>
      <c r="Y239" s="144"/>
      <c r="Z239" s="144"/>
    </row>
    <row r="240" spans="1:26" ht="24.75">
      <c r="A240" s="144"/>
      <c r="B240" s="141"/>
      <c r="C240" s="142"/>
      <c r="D240" s="154"/>
      <c r="E240" s="143"/>
      <c r="F240" s="144"/>
      <c r="G240" s="151"/>
      <c r="H240" s="151"/>
      <c r="I240" s="144"/>
      <c r="J240" s="144"/>
      <c r="K240" s="144"/>
      <c r="L240" s="144"/>
      <c r="M240" s="144"/>
      <c r="N240" s="144"/>
      <c r="O240" s="144"/>
      <c r="P240" s="144"/>
      <c r="Q240" s="144"/>
      <c r="R240" s="144"/>
      <c r="S240" s="144"/>
      <c r="T240" s="144"/>
      <c r="U240" s="144"/>
      <c r="V240" s="144"/>
      <c r="W240" s="144"/>
      <c r="X240" s="144"/>
      <c r="Y240" s="144"/>
      <c r="Z240" s="144"/>
    </row>
    <row r="241" spans="1:26" ht="24.75">
      <c r="A241" s="144"/>
      <c r="B241" s="141"/>
      <c r="C241" s="142"/>
      <c r="D241" s="154"/>
      <c r="E241" s="143"/>
      <c r="F241" s="144"/>
      <c r="G241" s="153"/>
      <c r="H241" s="153"/>
      <c r="I241" s="144"/>
      <c r="J241" s="144"/>
      <c r="K241" s="144"/>
      <c r="L241" s="144"/>
      <c r="M241" s="144"/>
      <c r="N241" s="144"/>
      <c r="O241" s="144"/>
      <c r="P241" s="144"/>
      <c r="Q241" s="144"/>
      <c r="R241" s="144"/>
      <c r="S241" s="144"/>
      <c r="T241" s="144"/>
      <c r="U241" s="144"/>
      <c r="V241" s="144"/>
      <c r="W241" s="144"/>
      <c r="X241" s="144"/>
      <c r="Y241" s="144"/>
      <c r="Z241" s="144"/>
    </row>
    <row r="242" spans="1:26" ht="24.75">
      <c r="A242" s="144"/>
      <c r="B242" s="141"/>
      <c r="C242" s="142"/>
      <c r="D242" s="154"/>
      <c r="E242" s="143"/>
      <c r="F242" s="144"/>
      <c r="G242" s="151"/>
      <c r="H242" s="151"/>
      <c r="I242" s="144"/>
      <c r="J242" s="144"/>
      <c r="K242" s="144"/>
      <c r="L242" s="144"/>
      <c r="M242" s="144"/>
      <c r="N242" s="144"/>
      <c r="O242" s="144"/>
      <c r="P242" s="144"/>
      <c r="Q242" s="144"/>
      <c r="R242" s="144"/>
      <c r="S242" s="144"/>
      <c r="T242" s="144"/>
      <c r="U242" s="144"/>
      <c r="V242" s="144"/>
      <c r="W242" s="144"/>
      <c r="X242" s="144"/>
      <c r="Y242" s="144"/>
      <c r="Z242" s="144"/>
    </row>
    <row r="243" spans="1:26" ht="24.75">
      <c r="A243" s="144"/>
      <c r="B243" s="141"/>
      <c r="C243" s="142"/>
      <c r="D243" s="154"/>
      <c r="E243" s="143"/>
      <c r="F243" s="144"/>
      <c r="G243" s="153"/>
      <c r="H243" s="153"/>
      <c r="I243" s="144"/>
      <c r="J243" s="144"/>
      <c r="K243" s="144"/>
      <c r="L243" s="144"/>
      <c r="M243" s="144"/>
      <c r="N243" s="144"/>
      <c r="O243" s="144"/>
      <c r="P243" s="144"/>
      <c r="Q243" s="144"/>
      <c r="R243" s="144"/>
      <c r="S243" s="144"/>
      <c r="T243" s="144"/>
      <c r="U243" s="144"/>
      <c r="V243" s="144"/>
      <c r="W243" s="144"/>
      <c r="X243" s="144"/>
      <c r="Y243" s="144"/>
      <c r="Z243" s="144"/>
    </row>
    <row r="244" spans="1:26" ht="24.75">
      <c r="A244" s="144"/>
      <c r="B244" s="141"/>
      <c r="C244" s="142"/>
      <c r="D244" s="154"/>
      <c r="E244" s="143"/>
      <c r="F244" s="144"/>
      <c r="G244" s="151"/>
      <c r="H244" s="151"/>
      <c r="I244" s="144"/>
      <c r="J244" s="144"/>
      <c r="K244" s="144"/>
      <c r="L244" s="144"/>
      <c r="M244" s="144"/>
      <c r="N244" s="144"/>
      <c r="O244" s="144"/>
      <c r="P244" s="144"/>
      <c r="Q244" s="144"/>
      <c r="R244" s="144"/>
      <c r="S244" s="144"/>
      <c r="T244" s="144"/>
      <c r="U244" s="144"/>
      <c r="V244" s="144"/>
      <c r="W244" s="144"/>
      <c r="X244" s="144"/>
      <c r="Y244" s="144"/>
      <c r="Z244" s="144"/>
    </row>
    <row r="245" spans="1:26" ht="24.75">
      <c r="A245" s="144"/>
      <c r="B245" s="141"/>
      <c r="C245" s="142"/>
      <c r="D245" s="154"/>
      <c r="E245" s="143"/>
      <c r="F245" s="144"/>
      <c r="G245" s="153"/>
      <c r="H245" s="153"/>
      <c r="I245" s="144"/>
      <c r="J245" s="144"/>
      <c r="K245" s="144"/>
      <c r="L245" s="144"/>
      <c r="M245" s="144"/>
      <c r="N245" s="144"/>
      <c r="O245" s="144"/>
      <c r="P245" s="144"/>
      <c r="Q245" s="144"/>
      <c r="R245" s="144"/>
      <c r="S245" s="144"/>
      <c r="T245" s="144"/>
      <c r="U245" s="144"/>
      <c r="V245" s="144"/>
      <c r="W245" s="144"/>
      <c r="X245" s="144"/>
      <c r="Y245" s="144"/>
      <c r="Z245" s="144"/>
    </row>
    <row r="246" spans="1:26" ht="24.75">
      <c r="A246" s="144"/>
      <c r="B246" s="141"/>
      <c r="C246" s="142"/>
      <c r="D246" s="154"/>
      <c r="E246" s="143"/>
      <c r="F246" s="144"/>
      <c r="G246" s="151"/>
      <c r="H246" s="151"/>
      <c r="I246" s="144"/>
      <c r="J246" s="144"/>
      <c r="K246" s="144"/>
      <c r="L246" s="144"/>
      <c r="M246" s="144"/>
      <c r="N246" s="144"/>
      <c r="O246" s="144"/>
      <c r="P246" s="144"/>
      <c r="Q246" s="144"/>
      <c r="R246" s="144"/>
      <c r="S246" s="144"/>
      <c r="T246" s="144"/>
      <c r="U246" s="144"/>
      <c r="V246" s="144"/>
      <c r="W246" s="144"/>
      <c r="X246" s="144"/>
      <c r="Y246" s="144"/>
      <c r="Z246" s="144"/>
    </row>
    <row r="247" spans="1:26" ht="24.75">
      <c r="A247" s="144"/>
      <c r="B247" s="141"/>
      <c r="C247" s="142"/>
      <c r="D247" s="154"/>
      <c r="E247" s="143"/>
      <c r="F247" s="144"/>
      <c r="G247" s="153"/>
      <c r="H247" s="153"/>
      <c r="I247" s="144"/>
      <c r="J247" s="144"/>
      <c r="K247" s="144"/>
      <c r="L247" s="144"/>
      <c r="M247" s="144"/>
      <c r="N247" s="144"/>
      <c r="O247" s="144"/>
      <c r="P247" s="144"/>
      <c r="Q247" s="144"/>
      <c r="R247" s="144"/>
      <c r="S247" s="144"/>
      <c r="T247" s="144"/>
      <c r="U247" s="144"/>
      <c r="V247" s="144"/>
      <c r="W247" s="144"/>
      <c r="X247" s="144"/>
      <c r="Y247" s="144"/>
      <c r="Z247" s="144"/>
    </row>
    <row r="248" spans="1:26" ht="24.75">
      <c r="A248" s="144"/>
      <c r="B248" s="141"/>
      <c r="C248" s="142"/>
      <c r="D248" s="154"/>
      <c r="E248" s="143"/>
      <c r="F248" s="144"/>
      <c r="G248" s="151"/>
      <c r="H248" s="151"/>
      <c r="I248" s="144"/>
      <c r="J248" s="144"/>
      <c r="K248" s="144"/>
      <c r="L248" s="144"/>
      <c r="M248" s="144"/>
      <c r="N248" s="144"/>
      <c r="O248" s="144"/>
      <c r="P248" s="144"/>
      <c r="Q248" s="144"/>
      <c r="R248" s="144"/>
      <c r="S248" s="144"/>
      <c r="T248" s="144"/>
      <c r="U248" s="144"/>
      <c r="V248" s="144"/>
      <c r="W248" s="144"/>
      <c r="X248" s="144"/>
      <c r="Y248" s="144"/>
      <c r="Z248" s="144"/>
    </row>
    <row r="249" spans="1:26" ht="24.75">
      <c r="A249" s="144"/>
      <c r="B249" s="141"/>
      <c r="C249" s="142"/>
      <c r="D249" s="154"/>
      <c r="E249" s="143"/>
      <c r="F249" s="144"/>
      <c r="G249" s="153"/>
      <c r="H249" s="153"/>
      <c r="I249" s="144"/>
      <c r="J249" s="144"/>
      <c r="K249" s="144"/>
      <c r="L249" s="144"/>
      <c r="M249" s="144"/>
      <c r="N249" s="144"/>
      <c r="O249" s="144"/>
      <c r="P249" s="144"/>
      <c r="Q249" s="144"/>
      <c r="R249" s="144"/>
      <c r="S249" s="144"/>
      <c r="T249" s="144"/>
      <c r="U249" s="144"/>
      <c r="V249" s="144"/>
      <c r="W249" s="144"/>
      <c r="X249" s="144"/>
      <c r="Y249" s="144"/>
      <c r="Z249" s="144"/>
    </row>
    <row r="250" spans="1:26" ht="24.75">
      <c r="A250" s="144"/>
      <c r="B250" s="141"/>
      <c r="C250" s="142"/>
      <c r="D250" s="154"/>
      <c r="E250" s="143"/>
      <c r="F250" s="144"/>
      <c r="G250" s="151"/>
      <c r="H250" s="151"/>
      <c r="I250" s="144"/>
      <c r="J250" s="144"/>
      <c r="K250" s="144"/>
      <c r="L250" s="144"/>
      <c r="M250" s="144"/>
      <c r="N250" s="144"/>
      <c r="O250" s="144"/>
      <c r="P250" s="144"/>
      <c r="Q250" s="144"/>
      <c r="R250" s="144"/>
      <c r="S250" s="144"/>
      <c r="T250" s="144"/>
      <c r="U250" s="144"/>
      <c r="V250" s="144"/>
      <c r="W250" s="144"/>
      <c r="X250" s="144"/>
      <c r="Y250" s="144"/>
      <c r="Z250" s="144"/>
    </row>
    <row r="251" spans="1:26" ht="24.75">
      <c r="A251" s="144"/>
      <c r="B251" s="141"/>
      <c r="C251" s="142"/>
      <c r="D251" s="154"/>
      <c r="E251" s="143"/>
      <c r="F251" s="144"/>
      <c r="G251" s="153"/>
      <c r="H251" s="153"/>
      <c r="I251" s="144"/>
      <c r="J251" s="144"/>
      <c r="K251" s="144"/>
      <c r="L251" s="144"/>
      <c r="M251" s="144"/>
      <c r="N251" s="144"/>
      <c r="O251" s="144"/>
      <c r="P251" s="144"/>
      <c r="Q251" s="144"/>
      <c r="R251" s="144"/>
      <c r="S251" s="144"/>
      <c r="T251" s="144"/>
      <c r="U251" s="144"/>
      <c r="V251" s="144"/>
      <c r="W251" s="144"/>
      <c r="X251" s="144"/>
      <c r="Y251" s="144"/>
      <c r="Z251" s="144"/>
    </row>
    <row r="252" spans="1:26" ht="24.75">
      <c r="A252" s="144"/>
      <c r="B252" s="141"/>
      <c r="C252" s="142"/>
      <c r="D252" s="154"/>
      <c r="E252" s="143"/>
      <c r="F252" s="144"/>
      <c r="G252" s="151"/>
      <c r="H252" s="151"/>
      <c r="I252" s="144"/>
      <c r="J252" s="144"/>
      <c r="K252" s="144"/>
      <c r="L252" s="144"/>
      <c r="M252" s="144"/>
      <c r="N252" s="144"/>
      <c r="O252" s="144"/>
      <c r="P252" s="144"/>
      <c r="Q252" s="144"/>
      <c r="R252" s="144"/>
      <c r="S252" s="144"/>
      <c r="T252" s="144"/>
      <c r="U252" s="144"/>
      <c r="V252" s="144"/>
      <c r="W252" s="144"/>
      <c r="X252" s="144"/>
      <c r="Y252" s="144"/>
      <c r="Z252" s="144"/>
    </row>
    <row r="253" spans="1:26" ht="24.75">
      <c r="A253" s="144"/>
      <c r="B253" s="141"/>
      <c r="C253" s="142"/>
      <c r="D253" s="154"/>
      <c r="E253" s="143"/>
      <c r="F253" s="144"/>
      <c r="G253" s="153"/>
      <c r="H253" s="153"/>
      <c r="I253" s="144"/>
      <c r="J253" s="144"/>
      <c r="K253" s="144"/>
      <c r="L253" s="144"/>
      <c r="M253" s="144"/>
      <c r="N253" s="144"/>
      <c r="O253" s="144"/>
      <c r="P253" s="144"/>
      <c r="Q253" s="144"/>
      <c r="R253" s="144"/>
      <c r="S253" s="144"/>
      <c r="T253" s="144"/>
      <c r="U253" s="144"/>
      <c r="V253" s="144"/>
      <c r="W253" s="144"/>
      <c r="X253" s="144"/>
      <c r="Y253" s="144"/>
      <c r="Z253" s="144"/>
    </row>
    <row r="254" spans="1:26" ht="24.75">
      <c r="A254" s="144"/>
      <c r="B254" s="141"/>
      <c r="C254" s="142"/>
      <c r="D254" s="154"/>
      <c r="E254" s="143"/>
      <c r="F254" s="144"/>
      <c r="G254" s="151"/>
      <c r="H254" s="151"/>
      <c r="I254" s="144"/>
      <c r="J254" s="144"/>
      <c r="K254" s="144"/>
      <c r="L254" s="144"/>
      <c r="M254" s="144"/>
      <c r="N254" s="144"/>
      <c r="O254" s="144"/>
      <c r="P254" s="144"/>
      <c r="Q254" s="144"/>
      <c r="R254" s="144"/>
      <c r="S254" s="144"/>
      <c r="T254" s="144"/>
      <c r="U254" s="144"/>
      <c r="V254" s="144"/>
      <c r="W254" s="144"/>
      <c r="X254" s="144"/>
      <c r="Y254" s="144"/>
      <c r="Z254" s="144"/>
    </row>
    <row r="255" spans="1:26" ht="24.75">
      <c r="A255" s="144"/>
      <c r="B255" s="141"/>
      <c r="C255" s="142"/>
      <c r="D255" s="154"/>
      <c r="E255" s="143"/>
      <c r="F255" s="144"/>
      <c r="G255" s="153"/>
      <c r="H255" s="153"/>
      <c r="I255" s="144"/>
      <c r="J255" s="144"/>
      <c r="K255" s="144"/>
      <c r="L255" s="144"/>
      <c r="M255" s="144"/>
      <c r="N255" s="144"/>
      <c r="O255" s="144"/>
      <c r="P255" s="144"/>
      <c r="Q255" s="144"/>
      <c r="R255" s="144"/>
      <c r="S255" s="144"/>
      <c r="T255" s="144"/>
      <c r="U255" s="144"/>
      <c r="V255" s="144"/>
      <c r="W255" s="144"/>
      <c r="X255" s="144"/>
      <c r="Y255" s="144"/>
      <c r="Z255" s="144"/>
    </row>
    <row r="256" spans="1:26" ht="24.75">
      <c r="A256" s="144"/>
      <c r="B256" s="141"/>
      <c r="C256" s="142"/>
      <c r="D256" s="154"/>
      <c r="E256" s="143"/>
      <c r="F256" s="144"/>
      <c r="G256" s="151"/>
      <c r="H256" s="151"/>
      <c r="I256" s="144"/>
      <c r="J256" s="144"/>
      <c r="K256" s="144"/>
      <c r="L256" s="144"/>
      <c r="M256" s="144"/>
      <c r="N256" s="144"/>
      <c r="O256" s="144"/>
      <c r="P256" s="144"/>
      <c r="Q256" s="144"/>
      <c r="R256" s="144"/>
      <c r="S256" s="144"/>
      <c r="T256" s="144"/>
      <c r="U256" s="144"/>
      <c r="V256" s="144"/>
      <c r="W256" s="144"/>
      <c r="X256" s="144"/>
      <c r="Y256" s="144"/>
      <c r="Z256" s="144"/>
    </row>
    <row r="257" spans="1:26" ht="24.75">
      <c r="A257" s="144"/>
      <c r="B257" s="141"/>
      <c r="C257" s="142"/>
      <c r="D257" s="154"/>
      <c r="E257" s="143"/>
      <c r="F257" s="144"/>
      <c r="G257" s="153"/>
      <c r="H257" s="153"/>
      <c r="I257" s="144"/>
      <c r="J257" s="144"/>
      <c r="K257" s="144"/>
      <c r="L257" s="144"/>
      <c r="M257" s="144"/>
      <c r="N257" s="144"/>
      <c r="O257" s="144"/>
      <c r="P257" s="144"/>
      <c r="Q257" s="144"/>
      <c r="R257" s="144"/>
      <c r="S257" s="144"/>
      <c r="T257" s="144"/>
      <c r="U257" s="144"/>
      <c r="V257" s="144"/>
      <c r="W257" s="144"/>
      <c r="X257" s="144"/>
      <c r="Y257" s="144"/>
      <c r="Z257" s="144"/>
    </row>
    <row r="258" spans="1:26" ht="24.75">
      <c r="A258" s="144"/>
      <c r="B258" s="141"/>
      <c r="C258" s="142"/>
      <c r="D258" s="154"/>
      <c r="E258" s="143"/>
      <c r="F258" s="144"/>
      <c r="G258" s="151"/>
      <c r="H258" s="151"/>
      <c r="I258" s="144"/>
      <c r="J258" s="144"/>
      <c r="K258" s="144"/>
      <c r="L258" s="144"/>
      <c r="M258" s="144"/>
      <c r="N258" s="144"/>
      <c r="O258" s="144"/>
      <c r="P258" s="144"/>
      <c r="Q258" s="144"/>
      <c r="R258" s="144"/>
      <c r="S258" s="144"/>
      <c r="T258" s="144"/>
      <c r="U258" s="144"/>
      <c r="V258" s="144"/>
      <c r="W258" s="144"/>
      <c r="X258" s="144"/>
      <c r="Y258" s="144"/>
      <c r="Z258" s="144"/>
    </row>
    <row r="259" spans="1:26" ht="24.75">
      <c r="A259" s="144"/>
      <c r="B259" s="141"/>
      <c r="C259" s="142"/>
      <c r="D259" s="154"/>
      <c r="E259" s="143"/>
      <c r="F259" s="144"/>
      <c r="G259" s="153"/>
      <c r="H259" s="153"/>
      <c r="I259" s="144"/>
      <c r="J259" s="144"/>
      <c r="K259" s="144"/>
      <c r="L259" s="144"/>
      <c r="M259" s="144"/>
      <c r="N259" s="144"/>
      <c r="O259" s="144"/>
      <c r="P259" s="144"/>
      <c r="Q259" s="144"/>
      <c r="R259" s="144"/>
      <c r="S259" s="144"/>
      <c r="T259" s="144"/>
      <c r="U259" s="144"/>
      <c r="V259" s="144"/>
      <c r="W259" s="144"/>
      <c r="X259" s="144"/>
      <c r="Y259" s="144"/>
      <c r="Z259" s="144"/>
    </row>
    <row r="260" spans="1:26" ht="24.75">
      <c r="A260" s="144"/>
      <c r="B260" s="141"/>
      <c r="C260" s="142"/>
      <c r="D260" s="154"/>
      <c r="E260" s="143"/>
      <c r="F260" s="144"/>
      <c r="G260" s="151"/>
      <c r="H260" s="151"/>
      <c r="I260" s="144"/>
      <c r="J260" s="144"/>
      <c r="K260" s="144"/>
      <c r="L260" s="144"/>
      <c r="M260" s="144"/>
      <c r="N260" s="144"/>
      <c r="O260" s="144"/>
      <c r="P260" s="144"/>
      <c r="Q260" s="144"/>
      <c r="R260" s="144"/>
      <c r="S260" s="144"/>
      <c r="T260" s="144"/>
      <c r="U260" s="144"/>
      <c r="V260" s="144"/>
      <c r="W260" s="144"/>
      <c r="X260" s="144"/>
      <c r="Y260" s="144"/>
      <c r="Z260" s="144"/>
    </row>
    <row r="261" spans="1:26" ht="24.75">
      <c r="A261" s="144"/>
      <c r="B261" s="141"/>
      <c r="C261" s="142"/>
      <c r="D261" s="154"/>
      <c r="E261" s="143"/>
      <c r="F261" s="144"/>
      <c r="G261" s="153"/>
      <c r="H261" s="153"/>
      <c r="I261" s="144"/>
      <c r="J261" s="144"/>
      <c r="K261" s="144"/>
      <c r="L261" s="144"/>
      <c r="M261" s="144"/>
      <c r="N261" s="144"/>
      <c r="O261" s="144"/>
      <c r="P261" s="144"/>
      <c r="Q261" s="144"/>
      <c r="R261" s="144"/>
      <c r="S261" s="144"/>
      <c r="T261" s="144"/>
      <c r="U261" s="144"/>
      <c r="V261" s="144"/>
      <c r="W261" s="144"/>
      <c r="X261" s="144"/>
      <c r="Y261" s="144"/>
      <c r="Z261" s="144"/>
    </row>
    <row r="262" spans="1:26" ht="24.75">
      <c r="A262" s="144"/>
      <c r="B262" s="141"/>
      <c r="C262" s="142"/>
      <c r="D262" s="154"/>
      <c r="E262" s="143"/>
      <c r="F262" s="144"/>
      <c r="G262" s="151"/>
      <c r="H262" s="151"/>
      <c r="I262" s="144"/>
      <c r="J262" s="144"/>
      <c r="K262" s="144"/>
      <c r="L262" s="144"/>
      <c r="M262" s="144"/>
      <c r="N262" s="144"/>
      <c r="O262" s="144"/>
      <c r="P262" s="144"/>
      <c r="Q262" s="144"/>
      <c r="R262" s="144"/>
      <c r="S262" s="144"/>
      <c r="T262" s="144"/>
      <c r="U262" s="144"/>
      <c r="V262" s="144"/>
      <c r="W262" s="144"/>
      <c r="X262" s="144"/>
      <c r="Y262" s="144"/>
      <c r="Z262" s="144"/>
    </row>
    <row r="263" spans="1:26" ht="24.75">
      <c r="A263" s="144"/>
      <c r="B263" s="141"/>
      <c r="C263" s="142"/>
      <c r="D263" s="154"/>
      <c r="E263" s="143"/>
      <c r="F263" s="144"/>
      <c r="G263" s="153"/>
      <c r="H263" s="153"/>
      <c r="I263" s="144"/>
      <c r="J263" s="144"/>
      <c r="K263" s="144"/>
      <c r="L263" s="144"/>
      <c r="M263" s="144"/>
      <c r="N263" s="144"/>
      <c r="O263" s="144"/>
      <c r="P263" s="144"/>
      <c r="Q263" s="144"/>
      <c r="R263" s="144"/>
      <c r="S263" s="144"/>
      <c r="T263" s="144"/>
      <c r="U263" s="144"/>
      <c r="V263" s="144"/>
      <c r="W263" s="144"/>
      <c r="X263" s="144"/>
      <c r="Y263" s="144"/>
      <c r="Z263" s="144"/>
    </row>
    <row r="264" spans="1:26" ht="24.75">
      <c r="A264" s="144"/>
      <c r="B264" s="141"/>
      <c r="C264" s="142"/>
      <c r="D264" s="154"/>
      <c r="E264" s="143"/>
      <c r="F264" s="144"/>
      <c r="G264" s="151"/>
      <c r="H264" s="151"/>
      <c r="I264" s="144"/>
      <c r="J264" s="144"/>
      <c r="K264" s="144"/>
      <c r="L264" s="144"/>
      <c r="M264" s="144"/>
      <c r="N264" s="144"/>
      <c r="O264" s="144"/>
      <c r="P264" s="144"/>
      <c r="Q264" s="144"/>
      <c r="R264" s="144"/>
      <c r="S264" s="144"/>
      <c r="T264" s="144"/>
      <c r="U264" s="144"/>
      <c r="V264" s="144"/>
      <c r="W264" s="144"/>
      <c r="X264" s="144"/>
      <c r="Y264" s="144"/>
      <c r="Z264" s="144"/>
    </row>
    <row r="265" spans="1:26" ht="24.75">
      <c r="A265" s="144"/>
      <c r="B265" s="141"/>
      <c r="C265" s="142"/>
      <c r="D265" s="154"/>
      <c r="E265" s="143"/>
      <c r="F265" s="144"/>
      <c r="G265" s="153"/>
      <c r="H265" s="153"/>
      <c r="I265" s="144"/>
      <c r="J265" s="144"/>
      <c r="K265" s="144"/>
      <c r="L265" s="144"/>
      <c r="M265" s="144"/>
      <c r="N265" s="144"/>
      <c r="O265" s="144"/>
      <c r="P265" s="144"/>
      <c r="Q265" s="144"/>
      <c r="R265" s="144"/>
      <c r="S265" s="144"/>
      <c r="T265" s="144"/>
      <c r="U265" s="144"/>
      <c r="V265" s="144"/>
      <c r="W265" s="144"/>
      <c r="X265" s="144"/>
      <c r="Y265" s="144"/>
      <c r="Z265" s="144"/>
    </row>
    <row r="266" spans="1:26" ht="24.75">
      <c r="A266" s="144"/>
      <c r="B266" s="141"/>
      <c r="C266" s="142"/>
      <c r="D266" s="154"/>
      <c r="E266" s="143"/>
      <c r="F266" s="144"/>
      <c r="G266" s="151"/>
      <c r="H266" s="151"/>
      <c r="I266" s="144"/>
      <c r="J266" s="144"/>
      <c r="K266" s="144"/>
      <c r="L266" s="144"/>
      <c r="M266" s="144"/>
      <c r="N266" s="144"/>
      <c r="O266" s="144"/>
      <c r="P266" s="144"/>
      <c r="Q266" s="144"/>
      <c r="R266" s="144"/>
      <c r="S266" s="144"/>
      <c r="T266" s="144"/>
      <c r="U266" s="144"/>
      <c r="V266" s="144"/>
      <c r="W266" s="144"/>
      <c r="X266" s="144"/>
      <c r="Y266" s="144"/>
      <c r="Z266" s="144"/>
    </row>
    <row r="267" spans="1:26" ht="24.75">
      <c r="A267" s="144"/>
      <c r="B267" s="141"/>
      <c r="C267" s="142"/>
      <c r="D267" s="154"/>
      <c r="E267" s="143"/>
      <c r="F267" s="144"/>
      <c r="G267" s="153"/>
      <c r="H267" s="153"/>
      <c r="I267" s="144"/>
      <c r="J267" s="144"/>
      <c r="K267" s="144"/>
      <c r="L267" s="144"/>
      <c r="M267" s="144"/>
      <c r="N267" s="144"/>
      <c r="O267" s="144"/>
      <c r="P267" s="144"/>
      <c r="Q267" s="144"/>
      <c r="R267" s="144"/>
      <c r="S267" s="144"/>
      <c r="T267" s="144"/>
      <c r="U267" s="144"/>
      <c r="V267" s="144"/>
      <c r="W267" s="144"/>
      <c r="X267" s="144"/>
      <c r="Y267" s="144"/>
      <c r="Z267" s="144"/>
    </row>
    <row r="268" spans="1:26" ht="24.75">
      <c r="A268" s="144"/>
      <c r="B268" s="141"/>
      <c r="C268" s="142"/>
      <c r="D268" s="154"/>
      <c r="E268" s="143"/>
      <c r="F268" s="144"/>
      <c r="G268" s="151"/>
      <c r="H268" s="151"/>
      <c r="I268" s="144"/>
      <c r="J268" s="144"/>
      <c r="K268" s="144"/>
      <c r="L268" s="144"/>
      <c r="M268" s="144"/>
      <c r="N268" s="144"/>
      <c r="O268" s="144"/>
      <c r="P268" s="144"/>
      <c r="Q268" s="144"/>
      <c r="R268" s="144"/>
      <c r="S268" s="144"/>
      <c r="T268" s="144"/>
      <c r="U268" s="144"/>
      <c r="V268" s="144"/>
      <c r="W268" s="144"/>
      <c r="X268" s="144"/>
      <c r="Y268" s="144"/>
      <c r="Z268" s="144"/>
    </row>
    <row r="269" spans="1:26" ht="24.75">
      <c r="A269" s="144"/>
      <c r="B269" s="141"/>
      <c r="C269" s="142"/>
      <c r="D269" s="154"/>
      <c r="E269" s="143"/>
      <c r="F269" s="144"/>
      <c r="G269" s="153"/>
      <c r="H269" s="153"/>
      <c r="I269" s="144"/>
      <c r="J269" s="144"/>
      <c r="K269" s="144"/>
      <c r="L269" s="144"/>
      <c r="M269" s="144"/>
      <c r="N269" s="144"/>
      <c r="O269" s="144"/>
      <c r="P269" s="144"/>
      <c r="Q269" s="144"/>
      <c r="R269" s="144"/>
      <c r="S269" s="144"/>
      <c r="T269" s="144"/>
      <c r="U269" s="144"/>
      <c r="V269" s="144"/>
      <c r="W269" s="144"/>
      <c r="X269" s="144"/>
      <c r="Y269" s="144"/>
      <c r="Z269" s="144"/>
    </row>
    <row r="270" spans="1:26" ht="24.75">
      <c r="A270" s="144"/>
      <c r="B270" s="141"/>
      <c r="C270" s="142"/>
      <c r="D270" s="154"/>
      <c r="E270" s="143"/>
      <c r="F270" s="144"/>
      <c r="G270" s="151"/>
      <c r="H270" s="151"/>
      <c r="I270" s="144"/>
      <c r="J270" s="144"/>
      <c r="K270" s="144"/>
      <c r="L270" s="144"/>
      <c r="M270" s="144"/>
      <c r="N270" s="144"/>
      <c r="O270" s="144"/>
      <c r="P270" s="144"/>
      <c r="Q270" s="144"/>
      <c r="R270" s="144"/>
      <c r="S270" s="144"/>
      <c r="T270" s="144"/>
      <c r="U270" s="144"/>
      <c r="V270" s="144"/>
      <c r="W270" s="144"/>
      <c r="X270" s="144"/>
      <c r="Y270" s="144"/>
      <c r="Z270" s="144"/>
    </row>
    <row r="271" spans="1:26" ht="24.75">
      <c r="A271" s="144"/>
      <c r="B271" s="141"/>
      <c r="C271" s="142"/>
      <c r="D271" s="154"/>
      <c r="E271" s="143"/>
      <c r="F271" s="144"/>
      <c r="G271" s="153"/>
      <c r="H271" s="153"/>
      <c r="I271" s="144"/>
      <c r="J271" s="144"/>
      <c r="K271" s="144"/>
      <c r="L271" s="144"/>
      <c r="M271" s="144"/>
      <c r="N271" s="144"/>
      <c r="O271" s="144"/>
      <c r="P271" s="144"/>
      <c r="Q271" s="144"/>
      <c r="R271" s="144"/>
      <c r="S271" s="144"/>
      <c r="T271" s="144"/>
      <c r="U271" s="144"/>
      <c r="V271" s="144"/>
      <c r="W271" s="144"/>
      <c r="X271" s="144"/>
      <c r="Y271" s="144"/>
      <c r="Z271" s="144"/>
    </row>
    <row r="272" spans="1:26" ht="24.75">
      <c r="A272" s="144"/>
      <c r="B272" s="141"/>
      <c r="C272" s="142"/>
      <c r="D272" s="154"/>
      <c r="E272" s="143"/>
      <c r="F272" s="144"/>
      <c r="G272" s="151"/>
      <c r="H272" s="151"/>
      <c r="I272" s="144"/>
      <c r="J272" s="144"/>
      <c r="K272" s="144"/>
      <c r="L272" s="144"/>
      <c r="M272" s="144"/>
      <c r="N272" s="144"/>
      <c r="O272" s="144"/>
      <c r="P272" s="144"/>
      <c r="Q272" s="144"/>
      <c r="R272" s="144"/>
      <c r="S272" s="144"/>
      <c r="T272" s="144"/>
      <c r="U272" s="144"/>
      <c r="V272" s="144"/>
      <c r="W272" s="144"/>
      <c r="X272" s="144"/>
      <c r="Y272" s="144"/>
      <c r="Z272" s="144"/>
    </row>
    <row r="273" spans="1:26" ht="24.75">
      <c r="A273" s="144"/>
      <c r="B273" s="141"/>
      <c r="C273" s="142"/>
      <c r="D273" s="154"/>
      <c r="E273" s="143"/>
      <c r="F273" s="144"/>
      <c r="G273" s="153"/>
      <c r="H273" s="153"/>
      <c r="I273" s="144"/>
      <c r="J273" s="144"/>
      <c r="K273" s="144"/>
      <c r="L273" s="144"/>
      <c r="M273" s="144"/>
      <c r="N273" s="144"/>
      <c r="O273" s="144"/>
      <c r="P273" s="144"/>
      <c r="Q273" s="144"/>
      <c r="R273" s="144"/>
      <c r="S273" s="144"/>
      <c r="T273" s="144"/>
      <c r="U273" s="144"/>
      <c r="V273" s="144"/>
      <c r="W273" s="144"/>
      <c r="X273" s="144"/>
      <c r="Y273" s="144"/>
      <c r="Z273" s="144"/>
    </row>
    <row r="274" spans="1:26" ht="24.75">
      <c r="A274" s="144"/>
      <c r="B274" s="141"/>
      <c r="C274" s="142"/>
      <c r="D274" s="154"/>
      <c r="E274" s="143"/>
      <c r="F274" s="144"/>
      <c r="G274" s="151"/>
      <c r="H274" s="151"/>
      <c r="I274" s="144"/>
      <c r="J274" s="144"/>
      <c r="K274" s="144"/>
      <c r="L274" s="144"/>
      <c r="M274" s="144"/>
      <c r="N274" s="144"/>
      <c r="O274" s="144"/>
      <c r="P274" s="144"/>
      <c r="Q274" s="144"/>
      <c r="R274" s="144"/>
      <c r="S274" s="144"/>
      <c r="T274" s="144"/>
      <c r="U274" s="144"/>
      <c r="V274" s="144"/>
      <c r="W274" s="144"/>
      <c r="X274" s="144"/>
      <c r="Y274" s="144"/>
      <c r="Z274" s="144"/>
    </row>
    <row r="275" spans="1:26" ht="24.75">
      <c r="A275" s="144"/>
      <c r="B275" s="141"/>
      <c r="C275" s="142"/>
      <c r="D275" s="154"/>
      <c r="E275" s="143"/>
      <c r="F275" s="144"/>
      <c r="G275" s="153"/>
      <c r="H275" s="153"/>
      <c r="I275" s="144"/>
      <c r="J275" s="144"/>
      <c r="K275" s="144"/>
      <c r="L275" s="144"/>
      <c r="M275" s="144"/>
      <c r="N275" s="144"/>
      <c r="O275" s="144"/>
      <c r="P275" s="144"/>
      <c r="Q275" s="144"/>
      <c r="R275" s="144"/>
      <c r="S275" s="144"/>
      <c r="T275" s="144"/>
      <c r="U275" s="144"/>
      <c r="V275" s="144"/>
      <c r="W275" s="144"/>
      <c r="X275" s="144"/>
      <c r="Y275" s="144"/>
      <c r="Z275" s="144"/>
    </row>
    <row r="276" spans="1:26" ht="24.75">
      <c r="A276" s="144"/>
      <c r="B276" s="141"/>
      <c r="C276" s="142"/>
      <c r="D276" s="154"/>
      <c r="E276" s="143"/>
      <c r="F276" s="144"/>
      <c r="G276" s="151"/>
      <c r="H276" s="151"/>
      <c r="I276" s="144"/>
      <c r="J276" s="144"/>
      <c r="K276" s="144"/>
      <c r="L276" s="144"/>
      <c r="M276" s="144"/>
      <c r="N276" s="144"/>
      <c r="O276" s="144"/>
      <c r="P276" s="144"/>
      <c r="Q276" s="144"/>
      <c r="R276" s="144"/>
      <c r="S276" s="144"/>
      <c r="T276" s="144"/>
      <c r="U276" s="144"/>
      <c r="V276" s="144"/>
      <c r="W276" s="144"/>
      <c r="X276" s="144"/>
      <c r="Y276" s="144"/>
      <c r="Z276" s="144"/>
    </row>
    <row r="277" spans="1:26" ht="24.75">
      <c r="A277" s="144"/>
      <c r="B277" s="141"/>
      <c r="C277" s="142"/>
      <c r="D277" s="154"/>
      <c r="E277" s="143"/>
      <c r="F277" s="144"/>
      <c r="G277" s="153"/>
      <c r="H277" s="153"/>
      <c r="I277" s="144"/>
      <c r="J277" s="144"/>
      <c r="K277" s="144"/>
      <c r="L277" s="144"/>
      <c r="M277" s="144"/>
      <c r="N277" s="144"/>
      <c r="O277" s="144"/>
      <c r="P277" s="144"/>
      <c r="Q277" s="144"/>
      <c r="R277" s="144"/>
      <c r="S277" s="144"/>
      <c r="T277" s="144"/>
      <c r="U277" s="144"/>
      <c r="V277" s="144"/>
      <c r="W277" s="144"/>
      <c r="X277" s="144"/>
      <c r="Y277" s="144"/>
      <c r="Z277" s="144"/>
    </row>
    <row r="278" spans="1:26" ht="24.75">
      <c r="A278" s="144"/>
      <c r="B278" s="141"/>
      <c r="C278" s="142"/>
      <c r="D278" s="154"/>
      <c r="E278" s="143"/>
      <c r="F278" s="144"/>
      <c r="G278" s="151"/>
      <c r="H278" s="151"/>
      <c r="I278" s="144"/>
      <c r="J278" s="144"/>
      <c r="K278" s="144"/>
      <c r="L278" s="144"/>
      <c r="M278" s="144"/>
      <c r="N278" s="144"/>
      <c r="O278" s="144"/>
      <c r="P278" s="144"/>
      <c r="Q278" s="144"/>
      <c r="R278" s="144"/>
      <c r="S278" s="144"/>
      <c r="T278" s="144"/>
      <c r="U278" s="144"/>
      <c r="V278" s="144"/>
      <c r="W278" s="144"/>
      <c r="X278" s="144"/>
      <c r="Y278" s="144"/>
      <c r="Z278" s="144"/>
    </row>
    <row r="279" spans="1:26" ht="24.75">
      <c r="A279" s="144"/>
      <c r="B279" s="141"/>
      <c r="C279" s="142"/>
      <c r="D279" s="154"/>
      <c r="E279" s="143"/>
      <c r="F279" s="144"/>
      <c r="G279" s="153"/>
      <c r="H279" s="153"/>
      <c r="I279" s="144"/>
      <c r="J279" s="144"/>
      <c r="K279" s="144"/>
      <c r="L279" s="144"/>
      <c r="M279" s="144"/>
      <c r="N279" s="144"/>
      <c r="O279" s="144"/>
      <c r="P279" s="144"/>
      <c r="Q279" s="144"/>
      <c r="R279" s="144"/>
      <c r="S279" s="144"/>
      <c r="T279" s="144"/>
      <c r="U279" s="144"/>
      <c r="V279" s="144"/>
      <c r="W279" s="144"/>
      <c r="X279" s="144"/>
      <c r="Y279" s="144"/>
      <c r="Z279" s="144"/>
    </row>
    <row r="280" spans="1:26" ht="24.75">
      <c r="A280" s="144"/>
      <c r="B280" s="141"/>
      <c r="C280" s="142"/>
      <c r="D280" s="154"/>
      <c r="E280" s="143"/>
      <c r="F280" s="144"/>
      <c r="G280" s="151"/>
      <c r="H280" s="151"/>
      <c r="I280" s="144"/>
      <c r="J280" s="144"/>
      <c r="K280" s="144"/>
      <c r="L280" s="144"/>
      <c r="M280" s="144"/>
      <c r="N280" s="144"/>
      <c r="O280" s="144"/>
      <c r="P280" s="144"/>
      <c r="Q280" s="144"/>
      <c r="R280" s="144"/>
      <c r="S280" s="144"/>
      <c r="T280" s="144"/>
      <c r="U280" s="144"/>
      <c r="V280" s="144"/>
      <c r="W280" s="144"/>
      <c r="X280" s="144"/>
      <c r="Y280" s="144"/>
      <c r="Z280" s="144"/>
    </row>
    <row r="281" spans="1:26" ht="24.75">
      <c r="A281" s="144"/>
      <c r="B281" s="141"/>
      <c r="C281" s="142"/>
      <c r="D281" s="154"/>
      <c r="E281" s="143"/>
      <c r="F281" s="144"/>
      <c r="G281" s="153"/>
      <c r="H281" s="153"/>
      <c r="I281" s="144"/>
      <c r="J281" s="144"/>
      <c r="K281" s="144"/>
      <c r="L281" s="144"/>
      <c r="M281" s="144"/>
      <c r="N281" s="144"/>
      <c r="O281" s="144"/>
      <c r="P281" s="144"/>
      <c r="Q281" s="144"/>
      <c r="R281" s="144"/>
      <c r="S281" s="144"/>
      <c r="T281" s="144"/>
      <c r="U281" s="144"/>
      <c r="V281" s="144"/>
      <c r="W281" s="144"/>
      <c r="X281" s="144"/>
      <c r="Y281" s="144"/>
      <c r="Z281" s="144"/>
    </row>
    <row r="282" spans="1:26" ht="24.75">
      <c r="A282" s="144"/>
      <c r="B282" s="141"/>
      <c r="C282" s="142"/>
      <c r="D282" s="154"/>
      <c r="E282" s="143"/>
      <c r="F282" s="144"/>
      <c r="G282" s="151"/>
      <c r="H282" s="151"/>
      <c r="I282" s="144"/>
      <c r="J282" s="144"/>
      <c r="K282" s="144"/>
      <c r="L282" s="144"/>
      <c r="M282" s="144"/>
      <c r="N282" s="144"/>
      <c r="O282" s="144"/>
      <c r="P282" s="144"/>
      <c r="Q282" s="144"/>
      <c r="R282" s="144"/>
      <c r="S282" s="144"/>
      <c r="T282" s="144"/>
      <c r="U282" s="144"/>
      <c r="V282" s="144"/>
      <c r="W282" s="144"/>
      <c r="X282" s="144"/>
      <c r="Y282" s="144"/>
      <c r="Z282" s="144"/>
    </row>
    <row r="283" spans="1:26" ht="24.75">
      <c r="A283" s="144"/>
      <c r="B283" s="141"/>
      <c r="C283" s="142"/>
      <c r="D283" s="154"/>
      <c r="E283" s="143"/>
      <c r="F283" s="144"/>
      <c r="G283" s="153"/>
      <c r="H283" s="153"/>
      <c r="I283" s="144"/>
      <c r="J283" s="144"/>
      <c r="K283" s="144"/>
      <c r="L283" s="144"/>
      <c r="M283" s="144"/>
      <c r="N283" s="144"/>
      <c r="O283" s="144"/>
      <c r="P283" s="144"/>
      <c r="Q283" s="144"/>
      <c r="R283" s="144"/>
      <c r="S283" s="144"/>
      <c r="T283" s="144"/>
      <c r="U283" s="144"/>
      <c r="V283" s="144"/>
      <c r="W283" s="144"/>
      <c r="X283" s="144"/>
      <c r="Y283" s="144"/>
      <c r="Z283" s="144"/>
    </row>
    <row r="284" spans="1:26" ht="24.75">
      <c r="A284" s="144"/>
      <c r="B284" s="141"/>
      <c r="C284" s="142"/>
      <c r="D284" s="154"/>
      <c r="E284" s="143"/>
      <c r="F284" s="144"/>
      <c r="G284" s="151"/>
      <c r="H284" s="151"/>
      <c r="I284" s="144"/>
      <c r="J284" s="144"/>
      <c r="K284" s="144"/>
      <c r="L284" s="144"/>
      <c r="M284" s="144"/>
      <c r="N284" s="144"/>
      <c r="O284" s="144"/>
      <c r="P284" s="144"/>
      <c r="Q284" s="144"/>
      <c r="R284" s="144"/>
      <c r="S284" s="144"/>
      <c r="T284" s="144"/>
      <c r="U284" s="144"/>
      <c r="V284" s="144"/>
      <c r="W284" s="144"/>
      <c r="X284" s="144"/>
      <c r="Y284" s="144"/>
      <c r="Z284" s="144"/>
    </row>
    <row r="285" spans="1:26" ht="24.75">
      <c r="A285" s="144"/>
      <c r="B285" s="141"/>
      <c r="C285" s="142"/>
      <c r="D285" s="154"/>
      <c r="E285" s="143"/>
      <c r="F285" s="144"/>
      <c r="G285" s="153"/>
      <c r="H285" s="153"/>
      <c r="I285" s="144"/>
      <c r="J285" s="144"/>
      <c r="K285" s="144"/>
      <c r="L285" s="144"/>
      <c r="M285" s="144"/>
      <c r="N285" s="144"/>
      <c r="O285" s="144"/>
      <c r="P285" s="144"/>
      <c r="Q285" s="144"/>
      <c r="R285" s="144"/>
      <c r="S285" s="144"/>
      <c r="T285" s="144"/>
      <c r="U285" s="144"/>
      <c r="V285" s="144"/>
      <c r="W285" s="144"/>
      <c r="X285" s="144"/>
      <c r="Y285" s="144"/>
      <c r="Z285" s="144"/>
    </row>
    <row r="286" spans="1:26" ht="24.75">
      <c r="A286" s="144"/>
      <c r="B286" s="141"/>
      <c r="C286" s="142"/>
      <c r="D286" s="154"/>
      <c r="E286" s="143"/>
      <c r="F286" s="144"/>
      <c r="G286" s="151"/>
      <c r="H286" s="151"/>
      <c r="I286" s="144"/>
      <c r="J286" s="144"/>
      <c r="K286" s="144"/>
      <c r="L286" s="144"/>
      <c r="M286" s="144"/>
      <c r="N286" s="144"/>
      <c r="O286" s="144"/>
      <c r="P286" s="144"/>
      <c r="Q286" s="144"/>
      <c r="R286" s="144"/>
      <c r="S286" s="144"/>
      <c r="T286" s="144"/>
      <c r="U286" s="144"/>
      <c r="V286" s="144"/>
      <c r="W286" s="144"/>
      <c r="X286" s="144"/>
      <c r="Y286" s="144"/>
      <c r="Z286" s="144"/>
    </row>
    <row r="287" spans="1:26" ht="24.75">
      <c r="A287" s="144"/>
      <c r="B287" s="141"/>
      <c r="C287" s="142"/>
      <c r="D287" s="154"/>
      <c r="E287" s="143"/>
      <c r="F287" s="144"/>
      <c r="G287" s="153"/>
      <c r="H287" s="153"/>
      <c r="I287" s="144"/>
      <c r="J287" s="144"/>
      <c r="K287" s="144"/>
      <c r="L287" s="144"/>
      <c r="M287" s="144"/>
      <c r="N287" s="144"/>
      <c r="O287" s="144"/>
      <c r="P287" s="144"/>
      <c r="Q287" s="144"/>
      <c r="R287" s="144"/>
      <c r="S287" s="144"/>
      <c r="T287" s="144"/>
      <c r="U287" s="144"/>
      <c r="V287" s="144"/>
      <c r="W287" s="144"/>
      <c r="X287" s="144"/>
      <c r="Y287" s="144"/>
      <c r="Z287" s="144"/>
    </row>
    <row r="288" spans="1:26" ht="24.75">
      <c r="A288" s="144"/>
      <c r="B288" s="141"/>
      <c r="C288" s="142"/>
      <c r="D288" s="154"/>
      <c r="E288" s="143"/>
      <c r="F288" s="144"/>
      <c r="G288" s="151"/>
      <c r="H288" s="151"/>
      <c r="I288" s="144"/>
      <c r="J288" s="144"/>
      <c r="K288" s="144"/>
      <c r="L288" s="144"/>
      <c r="M288" s="144"/>
      <c r="N288" s="144"/>
      <c r="O288" s="144"/>
      <c r="P288" s="144"/>
      <c r="Q288" s="144"/>
      <c r="R288" s="144"/>
      <c r="S288" s="144"/>
      <c r="T288" s="144"/>
      <c r="U288" s="144"/>
      <c r="V288" s="144"/>
      <c r="W288" s="144"/>
      <c r="X288" s="144"/>
      <c r="Y288" s="144"/>
      <c r="Z288" s="144"/>
    </row>
    <row r="289" spans="1:26" ht="24.75">
      <c r="A289" s="144"/>
      <c r="B289" s="141"/>
      <c r="C289" s="142"/>
      <c r="D289" s="154"/>
      <c r="E289" s="143"/>
      <c r="F289" s="144"/>
      <c r="G289" s="153"/>
      <c r="H289" s="153"/>
      <c r="I289" s="144"/>
      <c r="J289" s="144"/>
      <c r="K289" s="144"/>
      <c r="L289" s="144"/>
      <c r="M289" s="144"/>
      <c r="N289" s="144"/>
      <c r="O289" s="144"/>
      <c r="P289" s="144"/>
      <c r="Q289" s="144"/>
      <c r="R289" s="144"/>
      <c r="S289" s="144"/>
      <c r="T289" s="144"/>
      <c r="U289" s="144"/>
      <c r="V289" s="144"/>
      <c r="W289" s="144"/>
      <c r="X289" s="144"/>
      <c r="Y289" s="144"/>
      <c r="Z289" s="144"/>
    </row>
    <row r="290" spans="1:26" ht="24.75">
      <c r="A290" s="144"/>
      <c r="B290" s="141"/>
      <c r="C290" s="142"/>
      <c r="D290" s="154"/>
      <c r="E290" s="143"/>
      <c r="F290" s="144"/>
      <c r="G290" s="151"/>
      <c r="H290" s="151"/>
      <c r="I290" s="144"/>
      <c r="J290" s="144"/>
      <c r="K290" s="144"/>
      <c r="L290" s="144"/>
      <c r="M290" s="144"/>
      <c r="N290" s="144"/>
      <c r="O290" s="144"/>
      <c r="P290" s="144"/>
      <c r="Q290" s="144"/>
      <c r="R290" s="144"/>
      <c r="S290" s="144"/>
      <c r="T290" s="144"/>
      <c r="U290" s="144"/>
      <c r="V290" s="144"/>
      <c r="W290" s="144"/>
      <c r="X290" s="144"/>
      <c r="Y290" s="144"/>
      <c r="Z290" s="144"/>
    </row>
    <row r="291" spans="1:26" ht="24.75">
      <c r="A291" s="144"/>
      <c r="B291" s="141"/>
      <c r="C291" s="142"/>
      <c r="D291" s="154"/>
      <c r="E291" s="143"/>
      <c r="F291" s="144"/>
      <c r="G291" s="153"/>
      <c r="H291" s="153"/>
      <c r="I291" s="144"/>
      <c r="J291" s="144"/>
      <c r="K291" s="144"/>
      <c r="L291" s="144"/>
      <c r="M291" s="144"/>
      <c r="N291" s="144"/>
      <c r="O291" s="144"/>
      <c r="P291" s="144"/>
      <c r="Q291" s="144"/>
      <c r="R291" s="144"/>
      <c r="S291" s="144"/>
      <c r="T291" s="144"/>
      <c r="U291" s="144"/>
      <c r="V291" s="144"/>
      <c r="W291" s="144"/>
      <c r="X291" s="144"/>
      <c r="Y291" s="144"/>
      <c r="Z291" s="144"/>
    </row>
    <row r="292" spans="1:26" ht="24.75">
      <c r="A292" s="144"/>
      <c r="B292" s="141"/>
      <c r="C292" s="142"/>
      <c r="D292" s="154"/>
      <c r="E292" s="143"/>
      <c r="F292" s="144"/>
      <c r="G292" s="151"/>
      <c r="H292" s="151"/>
      <c r="I292" s="144"/>
      <c r="J292" s="144"/>
      <c r="K292" s="144"/>
      <c r="L292" s="144"/>
      <c r="M292" s="144"/>
      <c r="N292" s="144"/>
      <c r="O292" s="144"/>
      <c r="P292" s="144"/>
      <c r="Q292" s="144"/>
      <c r="R292" s="144"/>
      <c r="S292" s="144"/>
      <c r="T292" s="144"/>
      <c r="U292" s="144"/>
      <c r="V292" s="144"/>
      <c r="W292" s="144"/>
      <c r="X292" s="144"/>
      <c r="Y292" s="144"/>
      <c r="Z292" s="144"/>
    </row>
    <row r="293" spans="1:26" ht="24.75">
      <c r="A293" s="144"/>
      <c r="B293" s="141"/>
      <c r="C293" s="142"/>
      <c r="D293" s="154"/>
      <c r="E293" s="143"/>
      <c r="F293" s="144"/>
      <c r="G293" s="153"/>
      <c r="H293" s="153"/>
      <c r="I293" s="144"/>
      <c r="J293" s="144"/>
      <c r="K293" s="144"/>
      <c r="L293" s="144"/>
      <c r="M293" s="144"/>
      <c r="N293" s="144"/>
      <c r="O293" s="144"/>
      <c r="P293" s="144"/>
      <c r="Q293" s="144"/>
      <c r="R293" s="144"/>
      <c r="S293" s="144"/>
      <c r="T293" s="144"/>
      <c r="U293" s="144"/>
      <c r="V293" s="144"/>
      <c r="W293" s="144"/>
      <c r="X293" s="144"/>
      <c r="Y293" s="144"/>
      <c r="Z293" s="144"/>
    </row>
    <row r="294" spans="1:26" ht="24.75">
      <c r="A294" s="144"/>
      <c r="B294" s="141"/>
      <c r="C294" s="142"/>
      <c r="D294" s="154"/>
      <c r="E294" s="143"/>
      <c r="F294" s="144"/>
      <c r="G294" s="151"/>
      <c r="H294" s="151"/>
      <c r="I294" s="144"/>
      <c r="J294" s="144"/>
      <c r="K294" s="144"/>
      <c r="L294" s="144"/>
      <c r="M294" s="144"/>
      <c r="N294" s="144"/>
      <c r="O294" s="144"/>
      <c r="P294" s="144"/>
      <c r="Q294" s="144"/>
      <c r="R294" s="144"/>
      <c r="S294" s="144"/>
      <c r="T294" s="144"/>
      <c r="U294" s="144"/>
      <c r="V294" s="144"/>
      <c r="W294" s="144"/>
      <c r="X294" s="144"/>
      <c r="Y294" s="144"/>
      <c r="Z294" s="144"/>
    </row>
    <row r="295" spans="1:26" ht="24.75">
      <c r="A295" s="144"/>
      <c r="B295" s="141"/>
      <c r="C295" s="142"/>
      <c r="D295" s="154"/>
      <c r="E295" s="143"/>
      <c r="F295" s="144"/>
      <c r="G295" s="153"/>
      <c r="H295" s="153"/>
      <c r="I295" s="144"/>
      <c r="J295" s="144"/>
      <c r="K295" s="144"/>
      <c r="L295" s="144"/>
      <c r="M295" s="144"/>
      <c r="N295" s="144"/>
      <c r="O295" s="144"/>
      <c r="P295" s="144"/>
      <c r="Q295" s="144"/>
      <c r="R295" s="144"/>
      <c r="S295" s="144"/>
      <c r="T295" s="144"/>
      <c r="U295" s="144"/>
      <c r="V295" s="144"/>
      <c r="W295" s="144"/>
      <c r="X295" s="144"/>
      <c r="Y295" s="144"/>
      <c r="Z295" s="144"/>
    </row>
    <row r="296" spans="1:26" ht="24.75">
      <c r="A296" s="144"/>
      <c r="B296" s="141"/>
      <c r="C296" s="142"/>
      <c r="D296" s="154"/>
      <c r="E296" s="143"/>
      <c r="F296" s="144"/>
      <c r="G296" s="151"/>
      <c r="H296" s="151"/>
      <c r="I296" s="144"/>
      <c r="J296" s="144"/>
      <c r="K296" s="144"/>
      <c r="L296" s="144"/>
      <c r="M296" s="144"/>
      <c r="N296" s="144"/>
      <c r="O296" s="144"/>
      <c r="P296" s="144"/>
      <c r="Q296" s="144"/>
      <c r="R296" s="144"/>
      <c r="S296" s="144"/>
      <c r="T296" s="144"/>
      <c r="U296" s="144"/>
      <c r="V296" s="144"/>
      <c r="W296" s="144"/>
      <c r="X296" s="144"/>
      <c r="Y296" s="144"/>
      <c r="Z296" s="144"/>
    </row>
    <row r="297" spans="1:26" ht="24.75">
      <c r="A297" s="144"/>
      <c r="B297" s="141"/>
      <c r="C297" s="142"/>
      <c r="D297" s="154"/>
      <c r="E297" s="143"/>
      <c r="F297" s="144"/>
      <c r="G297" s="153"/>
      <c r="H297" s="153"/>
      <c r="I297" s="144"/>
      <c r="J297" s="144"/>
      <c r="K297" s="144"/>
      <c r="L297" s="144"/>
      <c r="M297" s="144"/>
      <c r="N297" s="144"/>
      <c r="O297" s="144"/>
      <c r="P297" s="144"/>
      <c r="Q297" s="144"/>
      <c r="R297" s="144"/>
      <c r="S297" s="144"/>
      <c r="T297" s="144"/>
      <c r="U297" s="144"/>
      <c r="V297" s="144"/>
      <c r="W297" s="144"/>
      <c r="X297" s="144"/>
      <c r="Y297" s="144"/>
      <c r="Z297" s="144"/>
    </row>
    <row r="298" spans="1:26" ht="24.75">
      <c r="A298" s="144"/>
      <c r="B298" s="141"/>
      <c r="C298" s="142"/>
      <c r="D298" s="154"/>
      <c r="E298" s="143"/>
      <c r="F298" s="144"/>
      <c r="G298" s="151"/>
      <c r="H298" s="151"/>
      <c r="I298" s="144"/>
      <c r="J298" s="144"/>
      <c r="K298" s="144"/>
      <c r="L298" s="144"/>
      <c r="M298" s="144"/>
      <c r="N298" s="144"/>
      <c r="O298" s="144"/>
      <c r="P298" s="144"/>
      <c r="Q298" s="144"/>
      <c r="R298" s="144"/>
      <c r="S298" s="144"/>
      <c r="T298" s="144"/>
      <c r="U298" s="144"/>
      <c r="V298" s="144"/>
      <c r="W298" s="144"/>
      <c r="X298" s="144"/>
      <c r="Y298" s="144"/>
      <c r="Z298" s="144"/>
    </row>
    <row r="299" spans="1:26" ht="24.75">
      <c r="A299" s="144"/>
      <c r="B299" s="141"/>
      <c r="C299" s="142"/>
      <c r="D299" s="154"/>
      <c r="E299" s="143"/>
      <c r="F299" s="144"/>
      <c r="G299" s="153"/>
      <c r="H299" s="153"/>
      <c r="I299" s="144"/>
      <c r="J299" s="144"/>
      <c r="K299" s="144"/>
      <c r="L299" s="144"/>
      <c r="M299" s="144"/>
      <c r="N299" s="144"/>
      <c r="O299" s="144"/>
      <c r="P299" s="144"/>
      <c r="Q299" s="144"/>
      <c r="R299" s="144"/>
      <c r="S299" s="144"/>
      <c r="T299" s="144"/>
      <c r="U299" s="144"/>
      <c r="V299" s="144"/>
      <c r="W299" s="144"/>
      <c r="X299" s="144"/>
      <c r="Y299" s="144"/>
      <c r="Z299" s="144"/>
    </row>
    <row r="300" spans="1:26" ht="24.75">
      <c r="A300" s="144"/>
      <c r="B300" s="141"/>
      <c r="C300" s="142"/>
      <c r="D300" s="154"/>
      <c r="E300" s="143"/>
      <c r="F300" s="144"/>
      <c r="G300" s="151"/>
      <c r="H300" s="151"/>
      <c r="I300" s="144"/>
      <c r="J300" s="144"/>
      <c r="K300" s="144"/>
      <c r="L300" s="144"/>
      <c r="M300" s="144"/>
      <c r="N300" s="144"/>
      <c r="O300" s="144"/>
      <c r="P300" s="144"/>
      <c r="Q300" s="144"/>
      <c r="R300" s="144"/>
      <c r="S300" s="144"/>
      <c r="T300" s="144"/>
      <c r="U300" s="144"/>
      <c r="V300" s="144"/>
      <c r="W300" s="144"/>
      <c r="X300" s="144"/>
      <c r="Y300" s="144"/>
      <c r="Z300" s="144"/>
    </row>
    <row r="301" spans="1:26" ht="24.75">
      <c r="A301" s="144"/>
      <c r="B301" s="141"/>
      <c r="C301" s="142"/>
      <c r="D301" s="154"/>
      <c r="E301" s="143"/>
      <c r="F301" s="144"/>
      <c r="G301" s="153"/>
      <c r="H301" s="153"/>
      <c r="I301" s="144"/>
      <c r="J301" s="144"/>
      <c r="K301" s="144"/>
      <c r="L301" s="144"/>
      <c r="M301" s="144"/>
      <c r="N301" s="144"/>
      <c r="O301" s="144"/>
      <c r="P301" s="144"/>
      <c r="Q301" s="144"/>
      <c r="R301" s="144"/>
      <c r="S301" s="144"/>
      <c r="T301" s="144"/>
      <c r="U301" s="144"/>
      <c r="V301" s="144"/>
      <c r="W301" s="144"/>
      <c r="X301" s="144"/>
      <c r="Y301" s="144"/>
      <c r="Z301" s="144"/>
    </row>
    <row r="302" spans="1:26" ht="24.75">
      <c r="A302" s="144"/>
      <c r="B302" s="141"/>
      <c r="C302" s="142"/>
      <c r="D302" s="154"/>
      <c r="E302" s="143"/>
      <c r="F302" s="144"/>
      <c r="G302" s="151"/>
      <c r="H302" s="151"/>
      <c r="I302" s="144"/>
      <c r="J302" s="144"/>
      <c r="K302" s="144"/>
      <c r="L302" s="144"/>
      <c r="M302" s="144"/>
      <c r="N302" s="144"/>
      <c r="O302" s="144"/>
      <c r="P302" s="144"/>
      <c r="Q302" s="144"/>
      <c r="R302" s="144"/>
      <c r="S302" s="144"/>
      <c r="T302" s="144"/>
      <c r="U302" s="144"/>
      <c r="V302" s="144"/>
      <c r="W302" s="144"/>
      <c r="X302" s="144"/>
      <c r="Y302" s="144"/>
      <c r="Z302" s="144"/>
    </row>
    <row r="303" spans="1:26" ht="24.75">
      <c r="A303" s="144"/>
      <c r="B303" s="141"/>
      <c r="C303" s="142"/>
      <c r="D303" s="154"/>
      <c r="E303" s="143"/>
      <c r="F303" s="144"/>
      <c r="G303" s="153"/>
      <c r="H303" s="153"/>
      <c r="I303" s="144"/>
      <c r="J303" s="144"/>
      <c r="K303" s="144"/>
      <c r="L303" s="144"/>
      <c r="M303" s="144"/>
      <c r="N303" s="144"/>
      <c r="O303" s="144"/>
      <c r="P303" s="144"/>
      <c r="Q303" s="144"/>
      <c r="R303" s="144"/>
      <c r="S303" s="144"/>
      <c r="T303" s="144"/>
      <c r="U303" s="144"/>
      <c r="V303" s="144"/>
      <c r="W303" s="144"/>
      <c r="X303" s="144"/>
      <c r="Y303" s="144"/>
      <c r="Z303" s="144"/>
    </row>
    <row r="304" spans="1:26" ht="24.75">
      <c r="A304" s="144"/>
      <c r="B304" s="141"/>
      <c r="C304" s="142"/>
      <c r="D304" s="154"/>
      <c r="E304" s="143"/>
      <c r="F304" s="144"/>
      <c r="G304" s="151"/>
      <c r="H304" s="151"/>
      <c r="I304" s="144"/>
      <c r="J304" s="144"/>
      <c r="K304" s="144"/>
      <c r="L304" s="144"/>
      <c r="M304" s="144"/>
      <c r="N304" s="144"/>
      <c r="O304" s="144"/>
      <c r="P304" s="144"/>
      <c r="Q304" s="144"/>
      <c r="R304" s="144"/>
      <c r="S304" s="144"/>
      <c r="T304" s="144"/>
      <c r="U304" s="144"/>
      <c r="V304" s="144"/>
      <c r="W304" s="144"/>
      <c r="X304" s="144"/>
      <c r="Y304" s="144"/>
      <c r="Z304" s="144"/>
    </row>
    <row r="305" spans="1:26" ht="24.75">
      <c r="A305" s="144"/>
      <c r="B305" s="141"/>
      <c r="C305" s="142"/>
      <c r="D305" s="154"/>
      <c r="E305" s="143"/>
      <c r="F305" s="144"/>
      <c r="G305" s="153"/>
      <c r="H305" s="153"/>
      <c r="I305" s="144"/>
      <c r="J305" s="144"/>
      <c r="K305" s="144"/>
      <c r="L305" s="144"/>
      <c r="M305" s="144"/>
      <c r="N305" s="144"/>
      <c r="O305" s="144"/>
      <c r="P305" s="144"/>
      <c r="Q305" s="144"/>
      <c r="R305" s="144"/>
      <c r="S305" s="144"/>
      <c r="T305" s="144"/>
      <c r="U305" s="144"/>
      <c r="V305" s="144"/>
      <c r="W305" s="144"/>
      <c r="X305" s="144"/>
      <c r="Y305" s="144"/>
      <c r="Z305" s="144"/>
    </row>
    <row r="306" spans="1:26" ht="24.75">
      <c r="A306" s="144"/>
      <c r="B306" s="141"/>
      <c r="C306" s="142"/>
      <c r="D306" s="154"/>
      <c r="E306" s="143"/>
      <c r="F306" s="144"/>
      <c r="G306" s="151"/>
      <c r="H306" s="151"/>
      <c r="I306" s="144"/>
      <c r="J306" s="144"/>
      <c r="K306" s="144"/>
      <c r="L306" s="144"/>
      <c r="M306" s="144"/>
      <c r="N306" s="144"/>
      <c r="O306" s="144"/>
      <c r="P306" s="144"/>
      <c r="Q306" s="144"/>
      <c r="R306" s="144"/>
      <c r="S306" s="144"/>
      <c r="T306" s="144"/>
      <c r="U306" s="144"/>
      <c r="V306" s="144"/>
      <c r="W306" s="144"/>
      <c r="X306" s="144"/>
      <c r="Y306" s="144"/>
      <c r="Z306" s="144"/>
    </row>
    <row r="307" spans="1:26" ht="24.75">
      <c r="A307" s="144"/>
      <c r="B307" s="141"/>
      <c r="C307" s="142"/>
      <c r="D307" s="154"/>
      <c r="E307" s="143"/>
      <c r="F307" s="144"/>
      <c r="G307" s="153"/>
      <c r="H307" s="153"/>
      <c r="I307" s="144"/>
      <c r="J307" s="144"/>
      <c r="K307" s="144"/>
      <c r="L307" s="144"/>
      <c r="M307" s="144"/>
      <c r="N307" s="144"/>
      <c r="O307" s="144"/>
      <c r="P307" s="144"/>
      <c r="Q307" s="144"/>
      <c r="R307" s="144"/>
      <c r="S307" s="144"/>
      <c r="T307" s="144"/>
      <c r="U307" s="144"/>
      <c r="V307" s="144"/>
      <c r="W307" s="144"/>
      <c r="X307" s="144"/>
      <c r="Y307" s="144"/>
      <c r="Z307" s="144"/>
    </row>
    <row r="308" spans="1:26" ht="24.75">
      <c r="A308" s="144"/>
      <c r="B308" s="141"/>
      <c r="C308" s="142"/>
      <c r="D308" s="154"/>
      <c r="E308" s="143"/>
      <c r="F308" s="144"/>
      <c r="G308" s="151"/>
      <c r="H308" s="151"/>
      <c r="I308" s="144"/>
      <c r="J308" s="144"/>
      <c r="K308" s="144"/>
      <c r="L308" s="144"/>
      <c r="M308" s="144"/>
      <c r="N308" s="144"/>
      <c r="O308" s="144"/>
      <c r="P308" s="144"/>
      <c r="Q308" s="144"/>
      <c r="R308" s="144"/>
      <c r="S308" s="144"/>
      <c r="T308" s="144"/>
      <c r="U308" s="144"/>
      <c r="V308" s="144"/>
      <c r="W308" s="144"/>
      <c r="X308" s="144"/>
      <c r="Y308" s="144"/>
      <c r="Z308" s="144"/>
    </row>
    <row r="309" spans="1:26" ht="24.75">
      <c r="A309" s="144"/>
      <c r="B309" s="141"/>
      <c r="C309" s="142"/>
      <c r="D309" s="154"/>
      <c r="E309" s="143"/>
      <c r="F309" s="144"/>
      <c r="G309" s="153"/>
      <c r="H309" s="153"/>
      <c r="I309" s="144"/>
      <c r="J309" s="144"/>
      <c r="K309" s="144"/>
      <c r="L309" s="144"/>
      <c r="M309" s="144"/>
      <c r="N309" s="144"/>
      <c r="O309" s="144"/>
      <c r="P309" s="144"/>
      <c r="Q309" s="144"/>
      <c r="R309" s="144"/>
      <c r="S309" s="144"/>
      <c r="T309" s="144"/>
      <c r="U309" s="144"/>
      <c r="V309" s="144"/>
      <c r="W309" s="144"/>
      <c r="X309" s="144"/>
      <c r="Y309" s="144"/>
      <c r="Z309" s="144"/>
    </row>
    <row r="310" spans="1:26" ht="24.75">
      <c r="A310" s="144"/>
      <c r="B310" s="141"/>
      <c r="C310" s="142"/>
      <c r="D310" s="154"/>
      <c r="E310" s="143"/>
      <c r="F310" s="144"/>
      <c r="G310" s="151"/>
      <c r="H310" s="151"/>
      <c r="I310" s="144"/>
      <c r="J310" s="144"/>
      <c r="K310" s="144"/>
      <c r="L310" s="144"/>
      <c r="M310" s="144"/>
      <c r="N310" s="144"/>
      <c r="O310" s="144"/>
      <c r="P310" s="144"/>
      <c r="Q310" s="144"/>
      <c r="R310" s="144"/>
      <c r="S310" s="144"/>
      <c r="T310" s="144"/>
      <c r="U310" s="144"/>
      <c r="V310" s="144"/>
      <c r="W310" s="144"/>
      <c r="X310" s="144"/>
      <c r="Y310" s="144"/>
      <c r="Z310" s="144"/>
    </row>
    <row r="311" spans="1:26" ht="24.75">
      <c r="A311" s="144"/>
      <c r="B311" s="141"/>
      <c r="C311" s="142"/>
      <c r="D311" s="154"/>
      <c r="E311" s="143"/>
      <c r="F311" s="144"/>
      <c r="G311" s="153"/>
      <c r="H311" s="153"/>
      <c r="I311" s="144"/>
      <c r="J311" s="144"/>
      <c r="K311" s="144"/>
      <c r="L311" s="144"/>
      <c r="M311" s="144"/>
      <c r="N311" s="144"/>
      <c r="O311" s="144"/>
      <c r="P311" s="144"/>
      <c r="Q311" s="144"/>
      <c r="R311" s="144"/>
      <c r="S311" s="144"/>
      <c r="T311" s="144"/>
      <c r="U311" s="144"/>
      <c r="V311" s="144"/>
      <c r="W311" s="144"/>
      <c r="X311" s="144"/>
      <c r="Y311" s="144"/>
      <c r="Z311" s="144"/>
    </row>
    <row r="312" spans="1:26" ht="24.75">
      <c r="A312" s="144"/>
      <c r="B312" s="141"/>
      <c r="C312" s="142"/>
      <c r="D312" s="154"/>
      <c r="E312" s="143"/>
      <c r="F312" s="144"/>
      <c r="G312" s="151"/>
      <c r="H312" s="151"/>
      <c r="I312" s="144"/>
      <c r="J312" s="144"/>
      <c r="K312" s="144"/>
      <c r="L312" s="144"/>
      <c r="M312" s="144"/>
      <c r="N312" s="144"/>
      <c r="O312" s="144"/>
      <c r="P312" s="144"/>
      <c r="Q312" s="144"/>
      <c r="R312" s="144"/>
      <c r="S312" s="144"/>
      <c r="T312" s="144"/>
      <c r="U312" s="144"/>
      <c r="V312" s="144"/>
      <c r="W312" s="144"/>
      <c r="X312" s="144"/>
      <c r="Y312" s="144"/>
      <c r="Z312" s="144"/>
    </row>
    <row r="313" spans="1:26" ht="24.75">
      <c r="A313" s="144"/>
      <c r="B313" s="141"/>
      <c r="C313" s="142"/>
      <c r="D313" s="154"/>
      <c r="E313" s="143"/>
      <c r="F313" s="144"/>
      <c r="G313" s="153"/>
      <c r="H313" s="153"/>
      <c r="I313" s="144"/>
      <c r="J313" s="144"/>
      <c r="K313" s="144"/>
      <c r="L313" s="144"/>
      <c r="M313" s="144"/>
      <c r="N313" s="144"/>
      <c r="O313" s="144"/>
      <c r="P313" s="144"/>
      <c r="Q313" s="144"/>
      <c r="R313" s="144"/>
      <c r="S313" s="144"/>
      <c r="T313" s="144"/>
      <c r="U313" s="144"/>
      <c r="V313" s="144"/>
      <c r="W313" s="144"/>
      <c r="X313" s="144"/>
      <c r="Y313" s="144"/>
      <c r="Z313" s="144"/>
    </row>
    <row r="314" spans="1:26" ht="24.75">
      <c r="A314" s="144"/>
      <c r="B314" s="141"/>
      <c r="C314" s="142"/>
      <c r="D314" s="154"/>
      <c r="E314" s="143"/>
      <c r="F314" s="144"/>
      <c r="G314" s="151"/>
      <c r="H314" s="151"/>
      <c r="I314" s="144"/>
      <c r="J314" s="144"/>
      <c r="K314" s="144"/>
      <c r="L314" s="144"/>
      <c r="M314" s="144"/>
      <c r="N314" s="144"/>
      <c r="O314" s="144"/>
      <c r="P314" s="144"/>
      <c r="Q314" s="144"/>
      <c r="R314" s="144"/>
      <c r="S314" s="144"/>
      <c r="T314" s="144"/>
      <c r="U314" s="144"/>
      <c r="V314" s="144"/>
      <c r="W314" s="144"/>
      <c r="X314" s="144"/>
      <c r="Y314" s="144"/>
      <c r="Z314" s="144"/>
    </row>
    <row r="315" spans="1:26" ht="24.75">
      <c r="A315" s="144"/>
      <c r="B315" s="141"/>
      <c r="C315" s="142"/>
      <c r="D315" s="154"/>
      <c r="E315" s="143"/>
      <c r="F315" s="144"/>
      <c r="G315" s="153"/>
      <c r="H315" s="153"/>
      <c r="I315" s="144"/>
      <c r="J315" s="144"/>
      <c r="K315" s="144"/>
      <c r="L315" s="144"/>
      <c r="M315" s="144"/>
      <c r="N315" s="144"/>
      <c r="O315" s="144"/>
      <c r="P315" s="144"/>
      <c r="Q315" s="144"/>
      <c r="R315" s="144"/>
      <c r="S315" s="144"/>
      <c r="T315" s="144"/>
      <c r="U315" s="144"/>
      <c r="V315" s="144"/>
      <c r="W315" s="144"/>
      <c r="X315" s="144"/>
      <c r="Y315" s="144"/>
      <c r="Z315" s="144"/>
    </row>
    <row r="316" spans="1:26" ht="24.75">
      <c r="A316" s="144"/>
      <c r="B316" s="141"/>
      <c r="C316" s="142"/>
      <c r="D316" s="154"/>
      <c r="E316" s="143"/>
      <c r="F316" s="144"/>
      <c r="G316" s="151"/>
      <c r="H316" s="151"/>
      <c r="I316" s="144"/>
      <c r="J316" s="144"/>
      <c r="K316" s="144"/>
      <c r="L316" s="144"/>
      <c r="M316" s="144"/>
      <c r="N316" s="144"/>
      <c r="O316" s="144"/>
      <c r="P316" s="144"/>
      <c r="Q316" s="144"/>
      <c r="R316" s="144"/>
      <c r="S316" s="144"/>
      <c r="T316" s="144"/>
      <c r="U316" s="144"/>
      <c r="V316" s="144"/>
      <c r="W316" s="144"/>
      <c r="X316" s="144"/>
      <c r="Y316" s="144"/>
      <c r="Z316" s="144"/>
    </row>
    <row r="317" spans="1:26" ht="24.75">
      <c r="A317" s="144"/>
      <c r="B317" s="141"/>
      <c r="C317" s="142"/>
      <c r="D317" s="154"/>
      <c r="E317" s="143"/>
      <c r="F317" s="144"/>
      <c r="G317" s="153"/>
      <c r="H317" s="153"/>
      <c r="I317" s="144"/>
      <c r="J317" s="144"/>
      <c r="K317" s="144"/>
      <c r="L317" s="144"/>
      <c r="M317" s="144"/>
      <c r="N317" s="144"/>
      <c r="O317" s="144"/>
      <c r="P317" s="144"/>
      <c r="Q317" s="144"/>
      <c r="R317" s="144"/>
      <c r="S317" s="144"/>
      <c r="T317" s="144"/>
      <c r="U317" s="144"/>
      <c r="V317" s="144"/>
      <c r="W317" s="144"/>
      <c r="X317" s="144"/>
      <c r="Y317" s="144"/>
      <c r="Z317" s="144"/>
    </row>
    <row r="318" spans="1:26" ht="24.75">
      <c r="A318" s="144"/>
      <c r="B318" s="141"/>
      <c r="C318" s="142"/>
      <c r="D318" s="154"/>
      <c r="E318" s="143"/>
      <c r="F318" s="144"/>
      <c r="G318" s="151"/>
      <c r="H318" s="151"/>
      <c r="I318" s="144"/>
      <c r="J318" s="144"/>
      <c r="K318" s="144"/>
      <c r="L318" s="144"/>
      <c r="M318" s="144"/>
      <c r="N318" s="144"/>
      <c r="O318" s="144"/>
      <c r="P318" s="144"/>
      <c r="Q318" s="144"/>
      <c r="R318" s="144"/>
      <c r="S318" s="144"/>
      <c r="T318" s="144"/>
      <c r="U318" s="144"/>
      <c r="V318" s="144"/>
      <c r="W318" s="144"/>
      <c r="X318" s="144"/>
      <c r="Y318" s="144"/>
      <c r="Z318" s="144"/>
    </row>
    <row r="319" spans="1:26" ht="24.75">
      <c r="A319" s="144"/>
      <c r="B319" s="141"/>
      <c r="C319" s="142"/>
      <c r="D319" s="154"/>
      <c r="E319" s="143"/>
      <c r="F319" s="144"/>
      <c r="G319" s="153"/>
      <c r="H319" s="153"/>
      <c r="I319" s="144"/>
      <c r="J319" s="144"/>
      <c r="K319" s="144"/>
      <c r="L319" s="144"/>
      <c r="M319" s="144"/>
      <c r="N319" s="144"/>
      <c r="O319" s="144"/>
      <c r="P319" s="144"/>
      <c r="Q319" s="144"/>
      <c r="R319" s="144"/>
      <c r="S319" s="144"/>
      <c r="T319" s="144"/>
      <c r="U319" s="144"/>
      <c r="V319" s="144"/>
      <c r="W319" s="144"/>
      <c r="X319" s="144"/>
      <c r="Y319" s="144"/>
      <c r="Z319" s="144"/>
    </row>
    <row r="320" spans="1:26" ht="24.75">
      <c r="A320" s="144"/>
      <c r="B320" s="141"/>
      <c r="C320" s="142"/>
      <c r="D320" s="154"/>
      <c r="E320" s="143"/>
      <c r="F320" s="144"/>
      <c r="G320" s="151"/>
      <c r="H320" s="151"/>
      <c r="I320" s="144"/>
      <c r="J320" s="144"/>
      <c r="K320" s="144"/>
      <c r="L320" s="144"/>
      <c r="M320" s="144"/>
      <c r="N320" s="144"/>
      <c r="O320" s="144"/>
      <c r="P320" s="144"/>
      <c r="Q320" s="144"/>
      <c r="R320" s="144"/>
      <c r="S320" s="144"/>
      <c r="T320" s="144"/>
      <c r="U320" s="144"/>
      <c r="V320" s="144"/>
      <c r="W320" s="144"/>
      <c r="X320" s="144"/>
      <c r="Y320" s="144"/>
      <c r="Z320" s="144"/>
    </row>
    <row r="321" spans="1:26" ht="24.75">
      <c r="A321" s="144"/>
      <c r="B321" s="141"/>
      <c r="C321" s="142"/>
      <c r="D321" s="154"/>
      <c r="E321" s="143"/>
      <c r="F321" s="144"/>
      <c r="G321" s="153"/>
      <c r="H321" s="153"/>
      <c r="I321" s="144"/>
      <c r="J321" s="144"/>
      <c r="K321" s="144"/>
      <c r="L321" s="144"/>
      <c r="M321" s="144"/>
      <c r="N321" s="144"/>
      <c r="O321" s="144"/>
      <c r="P321" s="144"/>
      <c r="Q321" s="144"/>
      <c r="R321" s="144"/>
      <c r="S321" s="144"/>
      <c r="T321" s="144"/>
      <c r="U321" s="144"/>
      <c r="V321" s="144"/>
      <c r="W321" s="144"/>
      <c r="X321" s="144"/>
      <c r="Y321" s="144"/>
      <c r="Z321" s="144"/>
    </row>
    <row r="322" spans="1:26" ht="24.75">
      <c r="A322" s="144"/>
      <c r="B322" s="141"/>
      <c r="C322" s="142"/>
      <c r="D322" s="154"/>
      <c r="E322" s="143"/>
      <c r="F322" s="144"/>
      <c r="G322" s="151"/>
      <c r="H322" s="151"/>
      <c r="I322" s="144"/>
      <c r="J322" s="144"/>
      <c r="K322" s="144"/>
      <c r="L322" s="144"/>
      <c r="M322" s="144"/>
      <c r="N322" s="144"/>
      <c r="O322" s="144"/>
      <c r="P322" s="144"/>
      <c r="Q322" s="144"/>
      <c r="R322" s="144"/>
      <c r="S322" s="144"/>
      <c r="T322" s="144"/>
      <c r="U322" s="144"/>
      <c r="V322" s="144"/>
      <c r="W322" s="144"/>
      <c r="X322" s="144"/>
      <c r="Y322" s="144"/>
      <c r="Z322" s="144"/>
    </row>
    <row r="323" spans="1:26" ht="24.75">
      <c r="A323" s="144"/>
      <c r="B323" s="141"/>
      <c r="C323" s="142"/>
      <c r="D323" s="154"/>
      <c r="E323" s="143"/>
      <c r="F323" s="144"/>
      <c r="G323" s="153"/>
      <c r="H323" s="153"/>
      <c r="I323" s="144"/>
      <c r="J323" s="144"/>
      <c r="K323" s="144"/>
      <c r="L323" s="144"/>
      <c r="M323" s="144"/>
      <c r="N323" s="144"/>
      <c r="O323" s="144"/>
      <c r="P323" s="144"/>
      <c r="Q323" s="144"/>
      <c r="R323" s="144"/>
      <c r="S323" s="144"/>
      <c r="T323" s="144"/>
      <c r="U323" s="144"/>
      <c r="V323" s="144"/>
      <c r="W323" s="144"/>
      <c r="X323" s="144"/>
      <c r="Y323" s="144"/>
      <c r="Z323" s="144"/>
    </row>
    <row r="324" spans="1:26" ht="24.75">
      <c r="A324" s="144"/>
      <c r="B324" s="141"/>
      <c r="C324" s="142"/>
      <c r="D324" s="154"/>
      <c r="E324" s="143"/>
      <c r="F324" s="144"/>
      <c r="G324" s="151"/>
      <c r="H324" s="151"/>
      <c r="I324" s="144"/>
      <c r="J324" s="144"/>
      <c r="K324" s="144"/>
      <c r="L324" s="144"/>
      <c r="M324" s="144"/>
      <c r="N324" s="144"/>
      <c r="O324" s="144"/>
      <c r="P324" s="144"/>
      <c r="Q324" s="144"/>
      <c r="R324" s="144"/>
      <c r="S324" s="144"/>
      <c r="T324" s="144"/>
      <c r="U324" s="144"/>
      <c r="V324" s="144"/>
      <c r="W324" s="144"/>
      <c r="X324" s="144"/>
      <c r="Y324" s="144"/>
      <c r="Z324" s="144"/>
    </row>
    <row r="325" spans="1:26" ht="24.75">
      <c r="A325" s="144"/>
      <c r="B325" s="141"/>
      <c r="C325" s="142"/>
      <c r="D325" s="154"/>
      <c r="E325" s="143"/>
      <c r="F325" s="144"/>
      <c r="G325" s="153"/>
      <c r="H325" s="153"/>
      <c r="I325" s="144"/>
      <c r="J325" s="144"/>
      <c r="K325" s="144"/>
      <c r="L325" s="144"/>
      <c r="M325" s="144"/>
      <c r="N325" s="144"/>
      <c r="O325" s="144"/>
      <c r="P325" s="144"/>
      <c r="Q325" s="144"/>
      <c r="R325" s="144"/>
      <c r="S325" s="144"/>
      <c r="T325" s="144"/>
      <c r="U325" s="144"/>
      <c r="V325" s="144"/>
      <c r="W325" s="144"/>
      <c r="X325" s="144"/>
      <c r="Y325" s="144"/>
      <c r="Z325" s="144"/>
    </row>
    <row r="326" spans="1:26" ht="24.75">
      <c r="A326" s="144"/>
      <c r="B326" s="141"/>
      <c r="C326" s="142"/>
      <c r="D326" s="154"/>
      <c r="E326" s="143"/>
      <c r="F326" s="144"/>
      <c r="G326" s="151"/>
      <c r="H326" s="151"/>
      <c r="I326" s="144"/>
      <c r="J326" s="144"/>
      <c r="K326" s="144"/>
      <c r="L326" s="144"/>
      <c r="M326" s="144"/>
      <c r="N326" s="144"/>
      <c r="O326" s="144"/>
      <c r="P326" s="144"/>
      <c r="Q326" s="144"/>
      <c r="R326" s="144"/>
      <c r="S326" s="144"/>
      <c r="T326" s="144"/>
      <c r="U326" s="144"/>
      <c r="V326" s="144"/>
      <c r="W326" s="144"/>
      <c r="X326" s="144"/>
      <c r="Y326" s="144"/>
      <c r="Z326" s="144"/>
    </row>
    <row r="327" spans="1:26" ht="24.75">
      <c r="A327" s="144"/>
      <c r="B327" s="141"/>
      <c r="C327" s="142"/>
      <c r="D327" s="154"/>
      <c r="E327" s="143"/>
      <c r="F327" s="144"/>
      <c r="G327" s="153"/>
      <c r="H327" s="153"/>
      <c r="I327" s="144"/>
      <c r="J327" s="144"/>
      <c r="K327" s="144"/>
      <c r="L327" s="144"/>
      <c r="M327" s="144"/>
      <c r="N327" s="144"/>
      <c r="O327" s="144"/>
      <c r="P327" s="144"/>
      <c r="Q327" s="144"/>
      <c r="R327" s="144"/>
      <c r="S327" s="144"/>
      <c r="T327" s="144"/>
      <c r="U327" s="144"/>
      <c r="V327" s="144"/>
      <c r="W327" s="144"/>
      <c r="X327" s="144"/>
      <c r="Y327" s="144"/>
      <c r="Z327" s="144"/>
    </row>
    <row r="328" spans="1:26" ht="24.75">
      <c r="A328" s="144"/>
      <c r="B328" s="141"/>
      <c r="C328" s="142"/>
      <c r="D328" s="154"/>
      <c r="E328" s="143"/>
      <c r="F328" s="144"/>
      <c r="G328" s="151"/>
      <c r="H328" s="151"/>
      <c r="I328" s="144"/>
      <c r="J328" s="144"/>
      <c r="K328" s="144"/>
      <c r="L328" s="144"/>
      <c r="M328" s="144"/>
      <c r="N328" s="144"/>
      <c r="O328" s="144"/>
      <c r="P328" s="144"/>
      <c r="Q328" s="144"/>
      <c r="R328" s="144"/>
      <c r="S328" s="144"/>
      <c r="T328" s="144"/>
      <c r="U328" s="144"/>
      <c r="V328" s="144"/>
      <c r="W328" s="144"/>
      <c r="X328" s="144"/>
      <c r="Y328" s="144"/>
      <c r="Z328" s="144"/>
    </row>
    <row r="329" spans="1:26" ht="24.75">
      <c r="A329" s="144"/>
      <c r="B329" s="141"/>
      <c r="C329" s="142"/>
      <c r="D329" s="154"/>
      <c r="E329" s="143"/>
      <c r="F329" s="144"/>
      <c r="G329" s="153"/>
      <c r="H329" s="153"/>
      <c r="I329" s="144"/>
      <c r="J329" s="144"/>
      <c r="K329" s="144"/>
      <c r="L329" s="144"/>
      <c r="M329" s="144"/>
      <c r="N329" s="144"/>
      <c r="O329" s="144"/>
      <c r="P329" s="144"/>
      <c r="Q329" s="144"/>
      <c r="R329" s="144"/>
      <c r="S329" s="144"/>
      <c r="T329" s="144"/>
      <c r="U329" s="144"/>
      <c r="V329" s="144"/>
      <c r="W329" s="144"/>
      <c r="X329" s="144"/>
      <c r="Y329" s="144"/>
      <c r="Z329" s="144"/>
    </row>
    <row r="330" spans="1:26" ht="24.75">
      <c r="A330" s="144"/>
      <c r="B330" s="141"/>
      <c r="C330" s="142"/>
      <c r="D330" s="154"/>
      <c r="E330" s="143"/>
      <c r="F330" s="144"/>
      <c r="G330" s="151"/>
      <c r="H330" s="151"/>
      <c r="I330" s="144"/>
      <c r="J330" s="144"/>
      <c r="K330" s="144"/>
      <c r="L330" s="144"/>
      <c r="M330" s="144"/>
      <c r="N330" s="144"/>
      <c r="O330" s="144"/>
      <c r="P330" s="144"/>
      <c r="Q330" s="144"/>
      <c r="R330" s="144"/>
      <c r="S330" s="144"/>
      <c r="T330" s="144"/>
      <c r="U330" s="144"/>
      <c r="V330" s="144"/>
      <c r="W330" s="144"/>
      <c r="X330" s="144"/>
      <c r="Y330" s="144"/>
      <c r="Z330" s="144"/>
    </row>
    <row r="331" spans="1:26" ht="24.75">
      <c r="A331" s="144"/>
      <c r="B331" s="141"/>
      <c r="C331" s="142"/>
      <c r="D331" s="154"/>
      <c r="E331" s="143"/>
      <c r="F331" s="144"/>
      <c r="G331" s="153"/>
      <c r="H331" s="153"/>
      <c r="I331" s="144"/>
      <c r="J331" s="144"/>
      <c r="K331" s="144"/>
      <c r="L331" s="144"/>
      <c r="M331" s="144"/>
      <c r="N331" s="144"/>
      <c r="O331" s="144"/>
      <c r="P331" s="144"/>
      <c r="Q331" s="144"/>
      <c r="R331" s="144"/>
      <c r="S331" s="144"/>
      <c r="T331" s="144"/>
      <c r="U331" s="144"/>
      <c r="V331" s="144"/>
      <c r="W331" s="144"/>
      <c r="X331" s="144"/>
      <c r="Y331" s="144"/>
      <c r="Z331" s="144"/>
    </row>
    <row r="332" spans="1:26" ht="24.75">
      <c r="A332" s="144"/>
      <c r="B332" s="141"/>
      <c r="C332" s="142"/>
      <c r="D332" s="154"/>
      <c r="E332" s="143"/>
      <c r="F332" s="144"/>
      <c r="G332" s="151"/>
      <c r="H332" s="151"/>
      <c r="I332" s="144"/>
      <c r="J332" s="144"/>
      <c r="K332" s="144"/>
      <c r="L332" s="144"/>
      <c r="M332" s="144"/>
      <c r="N332" s="144"/>
      <c r="O332" s="144"/>
      <c r="P332" s="144"/>
      <c r="Q332" s="144"/>
      <c r="R332" s="144"/>
      <c r="S332" s="144"/>
      <c r="T332" s="144"/>
      <c r="U332" s="144"/>
      <c r="V332" s="144"/>
      <c r="W332" s="144"/>
      <c r="X332" s="144"/>
      <c r="Y332" s="144"/>
      <c r="Z332" s="144"/>
    </row>
    <row r="333" spans="1:26" ht="24.75">
      <c r="A333" s="144"/>
      <c r="B333" s="141"/>
      <c r="C333" s="142"/>
      <c r="D333" s="154"/>
      <c r="E333" s="143"/>
      <c r="F333" s="144"/>
      <c r="G333" s="153"/>
      <c r="H333" s="153"/>
      <c r="I333" s="144"/>
      <c r="J333" s="144"/>
      <c r="K333" s="144"/>
      <c r="L333" s="144"/>
      <c r="M333" s="144"/>
      <c r="N333" s="144"/>
      <c r="O333" s="144"/>
      <c r="P333" s="144"/>
      <c r="Q333" s="144"/>
      <c r="R333" s="144"/>
      <c r="S333" s="144"/>
      <c r="T333" s="144"/>
      <c r="U333" s="144"/>
      <c r="V333" s="144"/>
      <c r="W333" s="144"/>
      <c r="X333" s="144"/>
      <c r="Y333" s="144"/>
      <c r="Z333" s="144"/>
    </row>
    <row r="334" spans="1:26" ht="24.75">
      <c r="A334" s="144"/>
      <c r="B334" s="141"/>
      <c r="C334" s="142"/>
      <c r="D334" s="154"/>
      <c r="E334" s="143"/>
      <c r="F334" s="144"/>
      <c r="G334" s="151"/>
      <c r="H334" s="151"/>
      <c r="I334" s="144"/>
      <c r="J334" s="144"/>
      <c r="K334" s="144"/>
      <c r="L334" s="144"/>
      <c r="M334" s="144"/>
      <c r="N334" s="144"/>
      <c r="O334" s="144"/>
      <c r="P334" s="144"/>
      <c r="Q334" s="144"/>
      <c r="R334" s="144"/>
      <c r="S334" s="144"/>
      <c r="T334" s="144"/>
      <c r="U334" s="144"/>
      <c r="V334" s="144"/>
      <c r="W334" s="144"/>
      <c r="X334" s="144"/>
      <c r="Y334" s="144"/>
      <c r="Z334" s="144"/>
    </row>
    <row r="335" spans="1:26" ht="24.75">
      <c r="A335" s="144"/>
      <c r="B335" s="141"/>
      <c r="C335" s="142"/>
      <c r="D335" s="154"/>
      <c r="E335" s="143"/>
      <c r="F335" s="144"/>
      <c r="G335" s="153"/>
      <c r="H335" s="153"/>
      <c r="I335" s="144"/>
      <c r="J335" s="144"/>
      <c r="K335" s="144"/>
      <c r="L335" s="144"/>
      <c r="M335" s="144"/>
      <c r="N335" s="144"/>
      <c r="O335" s="144"/>
      <c r="P335" s="144"/>
      <c r="Q335" s="144"/>
      <c r="R335" s="144"/>
      <c r="S335" s="144"/>
      <c r="T335" s="144"/>
      <c r="U335" s="144"/>
      <c r="V335" s="144"/>
      <c r="W335" s="144"/>
      <c r="X335" s="144"/>
      <c r="Y335" s="144"/>
      <c r="Z335" s="144"/>
    </row>
    <row r="336" spans="1:26" ht="24.75">
      <c r="A336" s="144"/>
      <c r="B336" s="141"/>
      <c r="C336" s="142"/>
      <c r="D336" s="154"/>
      <c r="E336" s="143"/>
      <c r="F336" s="144"/>
      <c r="G336" s="151"/>
      <c r="H336" s="151"/>
      <c r="I336" s="144"/>
      <c r="J336" s="144"/>
      <c r="K336" s="144"/>
      <c r="L336" s="144"/>
      <c r="M336" s="144"/>
      <c r="N336" s="144"/>
      <c r="O336" s="144"/>
      <c r="P336" s="144"/>
      <c r="Q336" s="144"/>
      <c r="R336" s="144"/>
      <c r="S336" s="144"/>
      <c r="T336" s="144"/>
      <c r="U336" s="144"/>
      <c r="V336" s="144"/>
      <c r="W336" s="144"/>
      <c r="X336" s="144"/>
      <c r="Y336" s="144"/>
      <c r="Z336" s="144"/>
    </row>
    <row r="337" spans="1:26" ht="24.75">
      <c r="A337" s="144"/>
      <c r="B337" s="141"/>
      <c r="C337" s="142"/>
      <c r="D337" s="154"/>
      <c r="E337" s="143"/>
      <c r="F337" s="144"/>
      <c r="G337" s="153"/>
      <c r="H337" s="153"/>
      <c r="I337" s="144"/>
      <c r="J337" s="144"/>
      <c r="K337" s="144"/>
      <c r="L337" s="144"/>
      <c r="M337" s="144"/>
      <c r="N337" s="144"/>
      <c r="O337" s="144"/>
      <c r="P337" s="144"/>
      <c r="Q337" s="144"/>
      <c r="R337" s="144"/>
      <c r="S337" s="144"/>
      <c r="T337" s="144"/>
      <c r="U337" s="144"/>
      <c r="V337" s="144"/>
      <c r="W337" s="144"/>
      <c r="X337" s="144"/>
      <c r="Y337" s="144"/>
      <c r="Z337" s="144"/>
    </row>
    <row r="338" spans="1:26" ht="24.75">
      <c r="A338" s="144"/>
      <c r="B338" s="141"/>
      <c r="C338" s="142"/>
      <c r="D338" s="154"/>
      <c r="E338" s="143"/>
      <c r="F338" s="144"/>
      <c r="G338" s="151"/>
      <c r="H338" s="151"/>
      <c r="I338" s="144"/>
      <c r="J338" s="144"/>
      <c r="K338" s="144"/>
      <c r="L338" s="144"/>
      <c r="M338" s="144"/>
      <c r="N338" s="144"/>
      <c r="O338" s="144"/>
      <c r="P338" s="144"/>
      <c r="Q338" s="144"/>
      <c r="R338" s="144"/>
      <c r="S338" s="144"/>
      <c r="T338" s="144"/>
      <c r="U338" s="144"/>
      <c r="V338" s="144"/>
      <c r="W338" s="144"/>
      <c r="X338" s="144"/>
      <c r="Y338" s="144"/>
      <c r="Z338" s="144"/>
    </row>
    <row r="339" spans="1:26" ht="24.75">
      <c r="A339" s="144"/>
      <c r="B339" s="141"/>
      <c r="C339" s="142"/>
      <c r="D339" s="154"/>
      <c r="E339" s="143"/>
      <c r="F339" s="144"/>
      <c r="G339" s="153"/>
      <c r="H339" s="153"/>
      <c r="I339" s="144"/>
      <c r="J339" s="144"/>
      <c r="K339" s="144"/>
      <c r="L339" s="144"/>
      <c r="M339" s="144"/>
      <c r="N339" s="144"/>
      <c r="O339" s="144"/>
      <c r="P339" s="144"/>
      <c r="Q339" s="144"/>
      <c r="R339" s="144"/>
      <c r="S339" s="144"/>
      <c r="T339" s="144"/>
      <c r="U339" s="144"/>
      <c r="V339" s="144"/>
      <c r="W339" s="144"/>
      <c r="X339" s="144"/>
      <c r="Y339" s="144"/>
      <c r="Z339" s="144"/>
    </row>
    <row r="340" spans="1:26" ht="24.75">
      <c r="A340" s="144"/>
      <c r="B340" s="141"/>
      <c r="C340" s="142"/>
      <c r="D340" s="154"/>
      <c r="E340" s="143"/>
      <c r="F340" s="144"/>
      <c r="G340" s="151"/>
      <c r="H340" s="151"/>
      <c r="I340" s="144"/>
      <c r="J340" s="144"/>
      <c r="K340" s="144"/>
      <c r="L340" s="144"/>
      <c r="M340" s="144"/>
      <c r="N340" s="144"/>
      <c r="O340" s="144"/>
      <c r="P340" s="144"/>
      <c r="Q340" s="144"/>
      <c r="R340" s="144"/>
      <c r="S340" s="144"/>
      <c r="T340" s="144"/>
      <c r="U340" s="144"/>
      <c r="V340" s="144"/>
      <c r="W340" s="144"/>
      <c r="X340" s="144"/>
      <c r="Y340" s="144"/>
      <c r="Z340" s="144"/>
    </row>
    <row r="341" spans="1:26" ht="24.75">
      <c r="A341" s="144"/>
      <c r="B341" s="141"/>
      <c r="C341" s="142"/>
      <c r="D341" s="154"/>
      <c r="E341" s="143"/>
      <c r="F341" s="144"/>
      <c r="G341" s="153"/>
      <c r="H341" s="153"/>
      <c r="I341" s="144"/>
      <c r="J341" s="144"/>
      <c r="K341" s="144"/>
      <c r="L341" s="144"/>
      <c r="M341" s="144"/>
      <c r="N341" s="144"/>
      <c r="O341" s="144"/>
      <c r="P341" s="144"/>
      <c r="Q341" s="144"/>
      <c r="R341" s="144"/>
      <c r="S341" s="144"/>
      <c r="T341" s="144"/>
      <c r="U341" s="144"/>
      <c r="V341" s="144"/>
      <c r="W341" s="144"/>
      <c r="X341" s="144"/>
      <c r="Y341" s="144"/>
      <c r="Z341" s="144"/>
    </row>
    <row r="342" spans="1:26" ht="24.75">
      <c r="A342" s="144"/>
      <c r="B342" s="141"/>
      <c r="C342" s="142"/>
      <c r="D342" s="154"/>
      <c r="E342" s="143"/>
      <c r="F342" s="144"/>
      <c r="G342" s="151"/>
      <c r="H342" s="151"/>
      <c r="I342" s="144"/>
      <c r="J342" s="144"/>
      <c r="K342" s="144"/>
      <c r="L342" s="144"/>
      <c r="M342" s="144"/>
      <c r="N342" s="144"/>
      <c r="O342" s="144"/>
      <c r="P342" s="144"/>
      <c r="Q342" s="144"/>
      <c r="R342" s="144"/>
      <c r="S342" s="144"/>
      <c r="T342" s="144"/>
      <c r="U342" s="144"/>
      <c r="V342" s="144"/>
      <c r="W342" s="144"/>
      <c r="X342" s="144"/>
      <c r="Y342" s="144"/>
      <c r="Z342" s="144"/>
    </row>
    <row r="343" spans="1:26" ht="24.75">
      <c r="A343" s="144"/>
      <c r="B343" s="141"/>
      <c r="C343" s="142"/>
      <c r="D343" s="154"/>
      <c r="E343" s="143"/>
      <c r="F343" s="144"/>
      <c r="G343" s="153"/>
      <c r="H343" s="153"/>
      <c r="I343" s="144"/>
      <c r="J343" s="144"/>
      <c r="K343" s="144"/>
      <c r="L343" s="144"/>
      <c r="M343" s="144"/>
      <c r="N343" s="144"/>
      <c r="O343" s="144"/>
      <c r="P343" s="144"/>
      <c r="Q343" s="144"/>
      <c r="R343" s="144"/>
      <c r="S343" s="144"/>
      <c r="T343" s="144"/>
      <c r="U343" s="144"/>
      <c r="V343" s="144"/>
      <c r="W343" s="144"/>
      <c r="X343" s="144"/>
      <c r="Y343" s="144"/>
      <c r="Z343" s="144"/>
    </row>
    <row r="344" spans="1:26" ht="24.75">
      <c r="A344" s="144"/>
      <c r="B344" s="141"/>
      <c r="C344" s="142"/>
      <c r="D344" s="154"/>
      <c r="E344" s="143"/>
      <c r="F344" s="144"/>
      <c r="G344" s="151"/>
      <c r="H344" s="151"/>
      <c r="I344" s="144"/>
      <c r="J344" s="144"/>
      <c r="K344" s="144"/>
      <c r="L344" s="144"/>
      <c r="M344" s="144"/>
      <c r="N344" s="144"/>
      <c r="O344" s="144"/>
      <c r="P344" s="144"/>
      <c r="Q344" s="144"/>
      <c r="R344" s="144"/>
      <c r="S344" s="144"/>
      <c r="T344" s="144"/>
      <c r="U344" s="144"/>
      <c r="V344" s="144"/>
      <c r="W344" s="144"/>
      <c r="X344" s="144"/>
      <c r="Y344" s="144"/>
      <c r="Z344" s="144"/>
    </row>
    <row r="345" spans="1:26" ht="24.75">
      <c r="A345" s="144"/>
      <c r="B345" s="141"/>
      <c r="C345" s="142"/>
      <c r="D345" s="154"/>
      <c r="E345" s="143"/>
      <c r="F345" s="144"/>
      <c r="G345" s="153"/>
      <c r="H345" s="153"/>
      <c r="I345" s="144"/>
      <c r="J345" s="144"/>
      <c r="K345" s="144"/>
      <c r="L345" s="144"/>
      <c r="M345" s="144"/>
      <c r="N345" s="144"/>
      <c r="O345" s="144"/>
      <c r="P345" s="144"/>
      <c r="Q345" s="144"/>
      <c r="R345" s="144"/>
      <c r="S345" s="144"/>
      <c r="T345" s="144"/>
      <c r="U345" s="144"/>
      <c r="V345" s="144"/>
      <c r="W345" s="144"/>
      <c r="X345" s="144"/>
      <c r="Y345" s="144"/>
      <c r="Z345" s="144"/>
    </row>
    <row r="346" spans="1:26" ht="24.75">
      <c r="A346" s="144"/>
      <c r="B346" s="141"/>
      <c r="C346" s="142"/>
      <c r="D346" s="154"/>
      <c r="E346" s="143"/>
      <c r="F346" s="144"/>
      <c r="G346" s="151"/>
      <c r="H346" s="151"/>
      <c r="I346" s="144"/>
      <c r="J346" s="144"/>
      <c r="K346" s="144"/>
      <c r="L346" s="144"/>
      <c r="M346" s="144"/>
      <c r="N346" s="144"/>
      <c r="O346" s="144"/>
      <c r="P346" s="144"/>
      <c r="Q346" s="144"/>
      <c r="R346" s="144"/>
      <c r="S346" s="144"/>
      <c r="T346" s="144"/>
      <c r="U346" s="144"/>
      <c r="V346" s="144"/>
      <c r="W346" s="144"/>
      <c r="X346" s="144"/>
      <c r="Y346" s="144"/>
      <c r="Z346" s="144"/>
    </row>
    <row r="347" spans="1:26" ht="24.75">
      <c r="A347" s="144"/>
      <c r="B347" s="141"/>
      <c r="C347" s="142"/>
      <c r="D347" s="154"/>
      <c r="E347" s="143"/>
      <c r="F347" s="144"/>
      <c r="G347" s="153"/>
      <c r="H347" s="153"/>
      <c r="I347" s="144"/>
      <c r="J347" s="144"/>
      <c r="K347" s="144"/>
      <c r="L347" s="144"/>
      <c r="M347" s="144"/>
      <c r="N347" s="144"/>
      <c r="O347" s="144"/>
      <c r="P347" s="144"/>
      <c r="Q347" s="144"/>
      <c r="R347" s="144"/>
      <c r="S347" s="144"/>
      <c r="T347" s="144"/>
      <c r="U347" s="144"/>
      <c r="V347" s="144"/>
      <c r="W347" s="144"/>
      <c r="X347" s="144"/>
      <c r="Y347" s="144"/>
      <c r="Z347" s="144"/>
    </row>
    <row r="348" spans="1:26" ht="24.75">
      <c r="A348" s="144"/>
      <c r="B348" s="141"/>
      <c r="C348" s="142"/>
      <c r="D348" s="154"/>
      <c r="E348" s="143"/>
      <c r="F348" s="144"/>
      <c r="G348" s="151"/>
      <c r="H348" s="151"/>
      <c r="I348" s="144"/>
      <c r="J348" s="144"/>
      <c r="K348" s="144"/>
      <c r="L348" s="144"/>
      <c r="M348" s="144"/>
      <c r="N348" s="144"/>
      <c r="O348" s="144"/>
      <c r="P348" s="144"/>
      <c r="Q348" s="144"/>
      <c r="R348" s="144"/>
      <c r="S348" s="144"/>
      <c r="T348" s="144"/>
      <c r="U348" s="144"/>
      <c r="V348" s="144"/>
      <c r="W348" s="144"/>
      <c r="X348" s="144"/>
      <c r="Y348" s="144"/>
      <c r="Z348" s="144"/>
    </row>
    <row r="349" spans="1:26" ht="24.75">
      <c r="A349" s="144"/>
      <c r="B349" s="141"/>
      <c r="C349" s="142"/>
      <c r="D349" s="154"/>
      <c r="E349" s="143"/>
      <c r="F349" s="144"/>
      <c r="G349" s="153"/>
      <c r="H349" s="153"/>
      <c r="I349" s="144"/>
      <c r="J349" s="144"/>
      <c r="K349" s="144"/>
      <c r="L349" s="144"/>
      <c r="M349" s="144"/>
      <c r="N349" s="144"/>
      <c r="O349" s="144"/>
      <c r="P349" s="144"/>
      <c r="Q349" s="144"/>
      <c r="R349" s="144"/>
      <c r="S349" s="144"/>
      <c r="T349" s="144"/>
      <c r="U349" s="144"/>
      <c r="V349" s="144"/>
      <c r="W349" s="144"/>
      <c r="X349" s="144"/>
      <c r="Y349" s="144"/>
      <c r="Z349" s="144"/>
    </row>
    <row r="350" spans="1:26" ht="24.75">
      <c r="A350" s="144"/>
      <c r="B350" s="141"/>
      <c r="C350" s="142"/>
      <c r="D350" s="154"/>
      <c r="E350" s="143"/>
      <c r="F350" s="144"/>
      <c r="G350" s="151"/>
      <c r="H350" s="151"/>
      <c r="I350" s="144"/>
      <c r="J350" s="144"/>
      <c r="K350" s="144"/>
      <c r="L350" s="144"/>
      <c r="M350" s="144"/>
      <c r="N350" s="144"/>
      <c r="O350" s="144"/>
      <c r="P350" s="144"/>
      <c r="Q350" s="144"/>
      <c r="R350" s="144"/>
      <c r="S350" s="144"/>
      <c r="T350" s="144"/>
      <c r="U350" s="144"/>
      <c r="V350" s="144"/>
      <c r="W350" s="144"/>
      <c r="X350" s="144"/>
      <c r="Y350" s="144"/>
      <c r="Z350" s="144"/>
    </row>
    <row r="351" spans="1:26" ht="24.75">
      <c r="A351" s="144"/>
      <c r="B351" s="141"/>
      <c r="C351" s="142"/>
      <c r="D351" s="154"/>
      <c r="E351" s="143"/>
      <c r="F351" s="144"/>
      <c r="G351" s="153"/>
      <c r="H351" s="153"/>
      <c r="I351" s="144"/>
      <c r="J351" s="144"/>
      <c r="K351" s="144"/>
      <c r="L351" s="144"/>
      <c r="M351" s="144"/>
      <c r="N351" s="144"/>
      <c r="O351" s="144"/>
      <c r="P351" s="144"/>
      <c r="Q351" s="144"/>
      <c r="R351" s="144"/>
      <c r="S351" s="144"/>
      <c r="T351" s="144"/>
      <c r="U351" s="144"/>
      <c r="V351" s="144"/>
      <c r="W351" s="144"/>
      <c r="X351" s="144"/>
      <c r="Y351" s="144"/>
      <c r="Z351" s="144"/>
    </row>
    <row r="352" spans="1:26" ht="24.75">
      <c r="A352" s="144"/>
      <c r="B352" s="141"/>
      <c r="C352" s="142"/>
      <c r="D352" s="154"/>
      <c r="E352" s="143"/>
      <c r="F352" s="144"/>
      <c r="G352" s="151"/>
      <c r="H352" s="151"/>
      <c r="I352" s="144"/>
      <c r="J352" s="144"/>
      <c r="K352" s="144"/>
      <c r="L352" s="144"/>
      <c r="M352" s="144"/>
      <c r="N352" s="144"/>
      <c r="O352" s="144"/>
      <c r="P352" s="144"/>
      <c r="Q352" s="144"/>
      <c r="R352" s="144"/>
      <c r="S352" s="144"/>
      <c r="T352" s="144"/>
      <c r="U352" s="144"/>
      <c r="V352" s="144"/>
      <c r="W352" s="144"/>
      <c r="X352" s="144"/>
      <c r="Y352" s="144"/>
      <c r="Z352" s="144"/>
    </row>
    <row r="353" spans="1:26" ht="24.75">
      <c r="A353" s="144"/>
      <c r="B353" s="141"/>
      <c r="C353" s="142"/>
      <c r="D353" s="154"/>
      <c r="E353" s="143"/>
      <c r="F353" s="144"/>
      <c r="G353" s="153"/>
      <c r="H353" s="153"/>
      <c r="I353" s="144"/>
      <c r="J353" s="144"/>
      <c r="K353" s="144"/>
      <c r="L353" s="144"/>
      <c r="M353" s="144"/>
      <c r="N353" s="144"/>
      <c r="O353" s="144"/>
      <c r="P353" s="144"/>
      <c r="Q353" s="144"/>
      <c r="R353" s="144"/>
      <c r="S353" s="144"/>
      <c r="T353" s="144"/>
      <c r="U353" s="144"/>
      <c r="V353" s="144"/>
      <c r="W353" s="144"/>
      <c r="X353" s="144"/>
      <c r="Y353" s="144"/>
      <c r="Z353" s="144"/>
    </row>
    <row r="354" spans="1:26" ht="24.75">
      <c r="A354" s="144"/>
      <c r="B354" s="141"/>
      <c r="C354" s="142"/>
      <c r="D354" s="154"/>
      <c r="E354" s="143"/>
      <c r="F354" s="144"/>
      <c r="G354" s="151"/>
      <c r="H354" s="151"/>
      <c r="I354" s="144"/>
      <c r="J354" s="144"/>
      <c r="K354" s="144"/>
      <c r="L354" s="144"/>
      <c r="M354" s="144"/>
      <c r="N354" s="144"/>
      <c r="O354" s="144"/>
      <c r="P354" s="144"/>
      <c r="Q354" s="144"/>
      <c r="R354" s="144"/>
      <c r="S354" s="144"/>
      <c r="T354" s="144"/>
      <c r="U354" s="144"/>
      <c r="V354" s="144"/>
      <c r="W354" s="144"/>
      <c r="X354" s="144"/>
      <c r="Y354" s="144"/>
      <c r="Z354" s="144"/>
    </row>
    <row r="355" spans="1:26" ht="24.75">
      <c r="A355" s="144"/>
      <c r="B355" s="141"/>
      <c r="C355" s="142"/>
      <c r="D355" s="154"/>
      <c r="E355" s="143"/>
      <c r="F355" s="144"/>
      <c r="G355" s="153"/>
      <c r="H355" s="153"/>
      <c r="I355" s="144"/>
      <c r="J355" s="144"/>
      <c r="K355" s="144"/>
      <c r="L355" s="144"/>
      <c r="M355" s="144"/>
      <c r="N355" s="144"/>
      <c r="O355" s="144"/>
      <c r="P355" s="144"/>
      <c r="Q355" s="144"/>
      <c r="R355" s="144"/>
      <c r="S355" s="144"/>
      <c r="T355" s="144"/>
      <c r="U355" s="144"/>
      <c r="V355" s="144"/>
      <c r="W355" s="144"/>
      <c r="X355" s="144"/>
      <c r="Y355" s="144"/>
      <c r="Z355" s="144"/>
    </row>
    <row r="356" spans="1:26" ht="24.75">
      <c r="A356" s="144"/>
      <c r="B356" s="141"/>
      <c r="C356" s="142"/>
      <c r="D356" s="154"/>
      <c r="E356" s="143"/>
      <c r="F356" s="144"/>
      <c r="G356" s="151"/>
      <c r="H356" s="151"/>
      <c r="I356" s="144"/>
      <c r="J356" s="144"/>
      <c r="K356" s="144"/>
      <c r="L356" s="144"/>
      <c r="M356" s="144"/>
      <c r="N356" s="144"/>
      <c r="O356" s="144"/>
      <c r="P356" s="144"/>
      <c r="Q356" s="144"/>
      <c r="R356" s="144"/>
      <c r="S356" s="144"/>
      <c r="T356" s="144"/>
      <c r="U356" s="144"/>
      <c r="V356" s="144"/>
      <c r="W356" s="144"/>
      <c r="X356" s="144"/>
      <c r="Y356" s="144"/>
      <c r="Z356" s="144"/>
    </row>
    <row r="357" spans="1:26" ht="24.75">
      <c r="A357" s="144"/>
      <c r="B357" s="141"/>
      <c r="C357" s="142"/>
      <c r="D357" s="154"/>
      <c r="E357" s="143"/>
      <c r="F357" s="144"/>
      <c r="G357" s="153"/>
      <c r="H357" s="153"/>
      <c r="I357" s="144"/>
      <c r="J357" s="144"/>
      <c r="K357" s="144"/>
      <c r="L357" s="144"/>
      <c r="M357" s="144"/>
      <c r="N357" s="144"/>
      <c r="O357" s="144"/>
      <c r="P357" s="144"/>
      <c r="Q357" s="144"/>
      <c r="R357" s="144"/>
      <c r="S357" s="144"/>
      <c r="T357" s="144"/>
      <c r="U357" s="144"/>
      <c r="V357" s="144"/>
      <c r="W357" s="144"/>
      <c r="X357" s="144"/>
      <c r="Y357" s="144"/>
      <c r="Z357" s="144"/>
    </row>
    <row r="358" spans="1:26" ht="24.75">
      <c r="A358" s="144"/>
      <c r="B358" s="141"/>
      <c r="C358" s="142"/>
      <c r="D358" s="154"/>
      <c r="E358" s="143"/>
      <c r="F358" s="144"/>
      <c r="G358" s="151"/>
      <c r="H358" s="151"/>
      <c r="I358" s="144"/>
      <c r="J358" s="144"/>
      <c r="K358" s="144"/>
      <c r="L358" s="144"/>
      <c r="M358" s="144"/>
      <c r="N358" s="144"/>
      <c r="O358" s="144"/>
      <c r="P358" s="144"/>
      <c r="Q358" s="144"/>
      <c r="R358" s="144"/>
      <c r="S358" s="144"/>
      <c r="T358" s="144"/>
      <c r="U358" s="144"/>
      <c r="V358" s="144"/>
      <c r="W358" s="144"/>
      <c r="X358" s="144"/>
      <c r="Y358" s="144"/>
      <c r="Z358" s="144"/>
    </row>
    <row r="359" spans="1:26" ht="24.75">
      <c r="A359" s="144"/>
      <c r="B359" s="141"/>
      <c r="C359" s="142"/>
      <c r="D359" s="154"/>
      <c r="E359" s="143"/>
      <c r="F359" s="144"/>
      <c r="G359" s="153"/>
      <c r="H359" s="153"/>
      <c r="I359" s="144"/>
      <c r="J359" s="144"/>
      <c r="K359" s="144"/>
      <c r="L359" s="144"/>
      <c r="M359" s="144"/>
      <c r="N359" s="144"/>
      <c r="O359" s="144"/>
      <c r="P359" s="144"/>
      <c r="Q359" s="144"/>
      <c r="R359" s="144"/>
      <c r="S359" s="144"/>
      <c r="T359" s="144"/>
      <c r="U359" s="144"/>
      <c r="V359" s="144"/>
      <c r="W359" s="144"/>
      <c r="X359" s="144"/>
      <c r="Y359" s="144"/>
      <c r="Z359" s="144"/>
    </row>
    <row r="360" spans="1:26" ht="24.75">
      <c r="A360" s="144"/>
      <c r="B360" s="141"/>
      <c r="C360" s="142"/>
      <c r="D360" s="154"/>
      <c r="E360" s="143"/>
      <c r="F360" s="144"/>
      <c r="G360" s="151"/>
      <c r="H360" s="151"/>
      <c r="I360" s="144"/>
      <c r="J360" s="144"/>
      <c r="K360" s="144"/>
      <c r="L360" s="144"/>
      <c r="M360" s="144"/>
      <c r="N360" s="144"/>
      <c r="O360" s="144"/>
      <c r="P360" s="144"/>
      <c r="Q360" s="144"/>
      <c r="R360" s="144"/>
      <c r="S360" s="144"/>
      <c r="T360" s="144"/>
      <c r="U360" s="144"/>
      <c r="V360" s="144"/>
      <c r="W360" s="144"/>
      <c r="X360" s="144"/>
      <c r="Y360" s="144"/>
      <c r="Z360" s="144"/>
    </row>
    <row r="361" spans="1:26" ht="24.75">
      <c r="A361" s="144"/>
      <c r="B361" s="141"/>
      <c r="C361" s="142"/>
      <c r="D361" s="154"/>
      <c r="E361" s="143"/>
      <c r="F361" s="144"/>
      <c r="G361" s="153"/>
      <c r="H361" s="153"/>
      <c r="I361" s="144"/>
      <c r="J361" s="144"/>
      <c r="K361" s="144"/>
      <c r="L361" s="144"/>
      <c r="M361" s="144"/>
      <c r="N361" s="144"/>
      <c r="O361" s="144"/>
      <c r="P361" s="144"/>
      <c r="Q361" s="144"/>
      <c r="R361" s="144"/>
      <c r="S361" s="144"/>
      <c r="T361" s="144"/>
      <c r="U361" s="144"/>
      <c r="V361" s="144"/>
      <c r="W361" s="144"/>
      <c r="X361" s="144"/>
      <c r="Y361" s="144"/>
      <c r="Z361" s="144"/>
    </row>
    <row r="362" spans="1:26" ht="24.75">
      <c r="A362" s="144"/>
      <c r="B362" s="141"/>
      <c r="C362" s="142"/>
      <c r="D362" s="154"/>
      <c r="E362" s="143"/>
      <c r="F362" s="144"/>
      <c r="G362" s="151"/>
      <c r="H362" s="151"/>
      <c r="I362" s="144"/>
      <c r="J362" s="144"/>
      <c r="K362" s="144"/>
      <c r="L362" s="144"/>
      <c r="M362" s="144"/>
      <c r="N362" s="144"/>
      <c r="O362" s="144"/>
      <c r="P362" s="144"/>
      <c r="Q362" s="144"/>
      <c r="R362" s="144"/>
      <c r="S362" s="144"/>
      <c r="T362" s="144"/>
      <c r="U362" s="144"/>
      <c r="V362" s="144"/>
      <c r="W362" s="144"/>
      <c r="X362" s="144"/>
      <c r="Y362" s="144"/>
      <c r="Z362" s="144"/>
    </row>
    <row r="363" spans="1:26" ht="24.75">
      <c r="A363" s="144"/>
      <c r="B363" s="141"/>
      <c r="C363" s="142"/>
      <c r="D363" s="154"/>
      <c r="E363" s="143"/>
      <c r="F363" s="144"/>
      <c r="G363" s="153"/>
      <c r="H363" s="153"/>
      <c r="I363" s="144"/>
      <c r="J363" s="144"/>
      <c r="K363" s="144"/>
      <c r="L363" s="144"/>
      <c r="M363" s="144"/>
      <c r="N363" s="144"/>
      <c r="O363" s="144"/>
      <c r="P363" s="144"/>
      <c r="Q363" s="144"/>
      <c r="R363" s="144"/>
      <c r="S363" s="144"/>
      <c r="T363" s="144"/>
      <c r="U363" s="144"/>
      <c r="V363" s="144"/>
      <c r="W363" s="144"/>
      <c r="X363" s="144"/>
      <c r="Y363" s="144"/>
      <c r="Z363" s="144"/>
    </row>
    <row r="364" spans="1:26" ht="24.75">
      <c r="A364" s="144"/>
      <c r="B364" s="141"/>
      <c r="C364" s="142"/>
      <c r="D364" s="154"/>
      <c r="E364" s="143"/>
      <c r="F364" s="144"/>
      <c r="G364" s="151"/>
      <c r="H364" s="151"/>
      <c r="I364" s="144"/>
      <c r="J364" s="144"/>
      <c r="K364" s="144"/>
      <c r="L364" s="144"/>
      <c r="M364" s="144"/>
      <c r="N364" s="144"/>
      <c r="O364" s="144"/>
      <c r="P364" s="144"/>
      <c r="Q364" s="144"/>
      <c r="R364" s="144"/>
      <c r="S364" s="144"/>
      <c r="T364" s="144"/>
      <c r="U364" s="144"/>
      <c r="V364" s="144"/>
      <c r="W364" s="144"/>
      <c r="X364" s="144"/>
      <c r="Y364" s="144"/>
      <c r="Z364" s="144"/>
    </row>
    <row r="365" spans="1:26" ht="24.75">
      <c r="A365" s="144"/>
      <c r="B365" s="141"/>
      <c r="C365" s="142"/>
      <c r="D365" s="154"/>
      <c r="E365" s="143"/>
      <c r="F365" s="144"/>
      <c r="G365" s="153"/>
      <c r="H365" s="153"/>
      <c r="I365" s="144"/>
      <c r="J365" s="144"/>
      <c r="K365" s="144"/>
      <c r="L365" s="144"/>
      <c r="M365" s="144"/>
      <c r="N365" s="144"/>
      <c r="O365" s="144"/>
      <c r="P365" s="144"/>
      <c r="Q365" s="144"/>
      <c r="R365" s="144"/>
      <c r="S365" s="144"/>
      <c r="T365" s="144"/>
      <c r="U365" s="144"/>
      <c r="V365" s="144"/>
      <c r="W365" s="144"/>
      <c r="X365" s="144"/>
      <c r="Y365" s="144"/>
      <c r="Z365" s="144"/>
    </row>
    <row r="366" spans="1:26" ht="24.75">
      <c r="A366" s="144"/>
      <c r="B366" s="141"/>
      <c r="C366" s="142"/>
      <c r="D366" s="154"/>
      <c r="E366" s="143"/>
      <c r="F366" s="144"/>
      <c r="G366" s="151"/>
      <c r="H366" s="151"/>
      <c r="I366" s="144"/>
      <c r="J366" s="144"/>
      <c r="K366" s="144"/>
      <c r="L366" s="144"/>
      <c r="M366" s="144"/>
      <c r="N366" s="144"/>
      <c r="O366" s="144"/>
      <c r="P366" s="144"/>
      <c r="Q366" s="144"/>
      <c r="R366" s="144"/>
      <c r="S366" s="144"/>
      <c r="T366" s="144"/>
      <c r="U366" s="144"/>
      <c r="V366" s="144"/>
      <c r="W366" s="144"/>
      <c r="X366" s="144"/>
      <c r="Y366" s="144"/>
      <c r="Z366" s="144"/>
    </row>
    <row r="367" spans="1:26" ht="24.75">
      <c r="A367" s="144"/>
      <c r="B367" s="141"/>
      <c r="C367" s="142"/>
      <c r="D367" s="154"/>
      <c r="E367" s="143"/>
      <c r="F367" s="144"/>
      <c r="G367" s="153"/>
      <c r="H367" s="153"/>
      <c r="I367" s="144"/>
      <c r="J367" s="144"/>
      <c r="K367" s="144"/>
      <c r="L367" s="144"/>
      <c r="M367" s="144"/>
      <c r="N367" s="144"/>
      <c r="O367" s="144"/>
      <c r="P367" s="144"/>
      <c r="Q367" s="144"/>
      <c r="R367" s="144"/>
      <c r="S367" s="144"/>
      <c r="T367" s="144"/>
      <c r="U367" s="144"/>
      <c r="V367" s="144"/>
      <c r="W367" s="144"/>
      <c r="X367" s="144"/>
      <c r="Y367" s="144"/>
      <c r="Z367" s="144"/>
    </row>
    <row r="368" spans="1:26" ht="24.75">
      <c r="A368" s="144"/>
      <c r="B368" s="141"/>
      <c r="C368" s="142"/>
      <c r="D368" s="154"/>
      <c r="E368" s="143"/>
      <c r="F368" s="144"/>
      <c r="G368" s="151"/>
      <c r="H368" s="151"/>
      <c r="I368" s="144"/>
      <c r="J368" s="144"/>
      <c r="K368" s="144"/>
      <c r="L368" s="144"/>
      <c r="M368" s="144"/>
      <c r="N368" s="144"/>
      <c r="O368" s="144"/>
      <c r="P368" s="144"/>
      <c r="Q368" s="144"/>
      <c r="R368" s="144"/>
      <c r="S368" s="144"/>
      <c r="T368" s="144"/>
      <c r="U368" s="144"/>
      <c r="V368" s="144"/>
      <c r="W368" s="144"/>
      <c r="X368" s="144"/>
      <c r="Y368" s="144"/>
      <c r="Z368" s="144"/>
    </row>
    <row r="369" spans="1:26" ht="24.75">
      <c r="A369" s="144"/>
      <c r="B369" s="141"/>
      <c r="C369" s="142"/>
      <c r="D369" s="154"/>
      <c r="E369" s="143"/>
      <c r="F369" s="144"/>
      <c r="G369" s="153"/>
      <c r="H369" s="153"/>
      <c r="I369" s="144"/>
      <c r="J369" s="144"/>
      <c r="K369" s="144"/>
      <c r="L369" s="144"/>
      <c r="M369" s="144"/>
      <c r="N369" s="144"/>
      <c r="O369" s="144"/>
      <c r="P369" s="144"/>
      <c r="Q369" s="144"/>
      <c r="R369" s="144"/>
      <c r="S369" s="144"/>
      <c r="T369" s="144"/>
      <c r="U369" s="144"/>
      <c r="V369" s="144"/>
      <c r="W369" s="144"/>
      <c r="X369" s="144"/>
      <c r="Y369" s="144"/>
      <c r="Z369" s="144"/>
    </row>
    <row r="370" spans="1:26" ht="24.75">
      <c r="A370" s="144"/>
      <c r="B370" s="141"/>
      <c r="C370" s="142"/>
      <c r="D370" s="154"/>
      <c r="E370" s="143"/>
      <c r="F370" s="144"/>
      <c r="G370" s="151"/>
      <c r="H370" s="151"/>
      <c r="I370" s="144"/>
      <c r="J370" s="144"/>
      <c r="K370" s="144"/>
      <c r="L370" s="144"/>
      <c r="M370" s="144"/>
      <c r="N370" s="144"/>
      <c r="O370" s="144"/>
      <c r="P370" s="144"/>
      <c r="Q370" s="144"/>
      <c r="R370" s="144"/>
      <c r="S370" s="144"/>
      <c r="T370" s="144"/>
      <c r="U370" s="144"/>
      <c r="V370" s="144"/>
      <c r="W370" s="144"/>
      <c r="X370" s="144"/>
      <c r="Y370" s="144"/>
      <c r="Z370" s="144"/>
    </row>
    <row r="371" spans="1:26" ht="24.75">
      <c r="A371" s="144"/>
      <c r="B371" s="141"/>
      <c r="C371" s="142"/>
      <c r="D371" s="154"/>
      <c r="E371" s="143"/>
      <c r="F371" s="144"/>
      <c r="G371" s="153"/>
      <c r="H371" s="153"/>
      <c r="I371" s="144"/>
      <c r="J371" s="144"/>
      <c r="K371" s="144"/>
      <c r="L371" s="144"/>
      <c r="M371" s="144"/>
      <c r="N371" s="144"/>
      <c r="O371" s="144"/>
      <c r="P371" s="144"/>
      <c r="Q371" s="144"/>
      <c r="R371" s="144"/>
      <c r="S371" s="144"/>
      <c r="T371" s="144"/>
      <c r="U371" s="144"/>
      <c r="V371" s="144"/>
      <c r="W371" s="144"/>
      <c r="X371" s="144"/>
      <c r="Y371" s="144"/>
      <c r="Z371" s="144"/>
    </row>
    <row r="372" spans="1:26" ht="24.75">
      <c r="A372" s="144"/>
      <c r="B372" s="141"/>
      <c r="C372" s="142"/>
      <c r="D372" s="154"/>
      <c r="E372" s="143"/>
      <c r="F372" s="144"/>
      <c r="G372" s="151"/>
      <c r="H372" s="151"/>
      <c r="I372" s="144"/>
      <c r="J372" s="144"/>
      <c r="K372" s="144"/>
      <c r="L372" s="144"/>
      <c r="M372" s="144"/>
      <c r="N372" s="144"/>
      <c r="O372" s="144"/>
      <c r="P372" s="144"/>
      <c r="Q372" s="144"/>
      <c r="R372" s="144"/>
      <c r="S372" s="144"/>
      <c r="T372" s="144"/>
      <c r="U372" s="144"/>
      <c r="V372" s="144"/>
      <c r="W372" s="144"/>
      <c r="X372" s="144"/>
      <c r="Y372" s="144"/>
      <c r="Z372" s="144"/>
    </row>
    <row r="373" spans="1:26" ht="24.75">
      <c r="A373" s="144"/>
      <c r="B373" s="141"/>
      <c r="C373" s="142"/>
      <c r="D373" s="154"/>
      <c r="E373" s="143"/>
      <c r="F373" s="144"/>
      <c r="G373" s="153"/>
      <c r="H373" s="153"/>
      <c r="I373" s="144"/>
      <c r="J373" s="144"/>
      <c r="K373" s="144"/>
      <c r="L373" s="144"/>
      <c r="M373" s="144"/>
      <c r="N373" s="144"/>
      <c r="O373" s="144"/>
      <c r="P373" s="144"/>
      <c r="Q373" s="144"/>
      <c r="R373" s="144"/>
      <c r="S373" s="144"/>
      <c r="T373" s="144"/>
      <c r="U373" s="144"/>
      <c r="V373" s="144"/>
      <c r="W373" s="144"/>
      <c r="X373" s="144"/>
      <c r="Y373" s="144"/>
      <c r="Z373" s="144"/>
    </row>
    <row r="374" spans="1:26" ht="24.75">
      <c r="A374" s="144"/>
      <c r="B374" s="141"/>
      <c r="C374" s="142"/>
      <c r="D374" s="154"/>
      <c r="E374" s="143"/>
      <c r="F374" s="144"/>
      <c r="G374" s="151"/>
      <c r="H374" s="151"/>
      <c r="I374" s="144"/>
      <c r="J374" s="144"/>
      <c r="K374" s="144"/>
      <c r="L374" s="144"/>
      <c r="M374" s="144"/>
      <c r="N374" s="144"/>
      <c r="O374" s="144"/>
      <c r="P374" s="144"/>
      <c r="Q374" s="144"/>
      <c r="R374" s="144"/>
      <c r="S374" s="144"/>
      <c r="T374" s="144"/>
      <c r="U374" s="144"/>
      <c r="V374" s="144"/>
      <c r="W374" s="144"/>
      <c r="X374" s="144"/>
      <c r="Y374" s="144"/>
      <c r="Z374" s="144"/>
    </row>
    <row r="375" spans="1:26" ht="24.75">
      <c r="A375" s="144"/>
      <c r="B375" s="141"/>
      <c r="C375" s="142"/>
      <c r="D375" s="154"/>
      <c r="E375" s="143"/>
      <c r="F375" s="144"/>
      <c r="G375" s="153"/>
      <c r="H375" s="153"/>
      <c r="I375" s="144"/>
      <c r="J375" s="144"/>
      <c r="K375" s="144"/>
      <c r="L375" s="144"/>
      <c r="M375" s="144"/>
      <c r="N375" s="144"/>
      <c r="O375" s="144"/>
      <c r="P375" s="144"/>
      <c r="Q375" s="144"/>
      <c r="R375" s="144"/>
      <c r="S375" s="144"/>
      <c r="T375" s="144"/>
      <c r="U375" s="144"/>
      <c r="V375" s="144"/>
      <c r="W375" s="144"/>
      <c r="X375" s="144"/>
      <c r="Y375" s="144"/>
      <c r="Z375" s="144"/>
    </row>
    <row r="376" spans="1:26" ht="24.75">
      <c r="A376" s="144"/>
      <c r="B376" s="141"/>
      <c r="C376" s="142"/>
      <c r="D376" s="154"/>
      <c r="E376" s="143"/>
      <c r="F376" s="144"/>
      <c r="G376" s="151"/>
      <c r="H376" s="151"/>
      <c r="I376" s="144"/>
      <c r="J376" s="144"/>
      <c r="K376" s="144"/>
      <c r="L376" s="144"/>
      <c r="M376" s="144"/>
      <c r="N376" s="144"/>
      <c r="O376" s="144"/>
      <c r="P376" s="144"/>
      <c r="Q376" s="144"/>
      <c r="R376" s="144"/>
      <c r="S376" s="144"/>
      <c r="T376" s="144"/>
      <c r="U376" s="144"/>
      <c r="V376" s="144"/>
      <c r="W376" s="144"/>
      <c r="X376" s="144"/>
      <c r="Y376" s="144"/>
      <c r="Z376" s="144"/>
    </row>
    <row r="377" spans="1:26" ht="24.75">
      <c r="A377" s="144"/>
      <c r="B377" s="141"/>
      <c r="C377" s="142"/>
      <c r="D377" s="154"/>
      <c r="E377" s="143"/>
      <c r="F377" s="144"/>
      <c r="G377" s="153"/>
      <c r="H377" s="153"/>
      <c r="I377" s="144"/>
      <c r="J377" s="144"/>
      <c r="K377" s="144"/>
      <c r="L377" s="144"/>
      <c r="M377" s="144"/>
      <c r="N377" s="144"/>
      <c r="O377" s="144"/>
      <c r="P377" s="144"/>
      <c r="Q377" s="144"/>
      <c r="R377" s="144"/>
      <c r="S377" s="144"/>
      <c r="T377" s="144"/>
      <c r="U377" s="144"/>
      <c r="V377" s="144"/>
      <c r="W377" s="144"/>
      <c r="X377" s="144"/>
      <c r="Y377" s="144"/>
      <c r="Z377" s="144"/>
    </row>
    <row r="378" spans="1:26" ht="24.75">
      <c r="A378" s="144"/>
      <c r="B378" s="141"/>
      <c r="C378" s="142"/>
      <c r="D378" s="154"/>
      <c r="E378" s="143"/>
      <c r="F378" s="144"/>
      <c r="G378" s="151"/>
      <c r="H378" s="151"/>
      <c r="I378" s="144"/>
      <c r="J378" s="144"/>
      <c r="K378" s="144"/>
      <c r="L378" s="144"/>
      <c r="M378" s="144"/>
      <c r="N378" s="144"/>
      <c r="O378" s="144"/>
      <c r="P378" s="144"/>
      <c r="Q378" s="144"/>
      <c r="R378" s="144"/>
      <c r="S378" s="144"/>
      <c r="T378" s="144"/>
      <c r="U378" s="144"/>
      <c r="V378" s="144"/>
      <c r="W378" s="144"/>
      <c r="X378" s="144"/>
      <c r="Y378" s="144"/>
      <c r="Z378" s="144"/>
    </row>
    <row r="379" spans="1:26" ht="24.75">
      <c r="A379" s="144"/>
      <c r="B379" s="141"/>
      <c r="C379" s="142"/>
      <c r="D379" s="154"/>
      <c r="E379" s="143"/>
      <c r="F379" s="144"/>
      <c r="G379" s="153"/>
      <c r="H379" s="153"/>
      <c r="I379" s="144"/>
      <c r="J379" s="144"/>
      <c r="K379" s="144"/>
      <c r="L379" s="144"/>
      <c r="M379" s="144"/>
      <c r="N379" s="144"/>
      <c r="O379" s="144"/>
      <c r="P379" s="144"/>
      <c r="Q379" s="144"/>
      <c r="R379" s="144"/>
      <c r="S379" s="144"/>
      <c r="T379" s="144"/>
      <c r="U379" s="144"/>
      <c r="V379" s="144"/>
      <c r="W379" s="144"/>
      <c r="X379" s="144"/>
      <c r="Y379" s="144"/>
      <c r="Z379" s="144"/>
    </row>
    <row r="380" spans="1:26" ht="24.75">
      <c r="A380" s="144"/>
      <c r="B380" s="141"/>
      <c r="C380" s="142"/>
      <c r="D380" s="154"/>
      <c r="E380" s="143"/>
      <c r="F380" s="144"/>
      <c r="G380" s="151"/>
      <c r="H380" s="151"/>
      <c r="I380" s="144"/>
      <c r="J380" s="144"/>
      <c r="K380" s="144"/>
      <c r="L380" s="144"/>
      <c r="M380" s="144"/>
      <c r="N380" s="144"/>
      <c r="O380" s="144"/>
      <c r="P380" s="144"/>
      <c r="Q380" s="144"/>
      <c r="R380" s="144"/>
      <c r="S380" s="144"/>
      <c r="T380" s="144"/>
      <c r="U380" s="144"/>
      <c r="V380" s="144"/>
      <c r="W380" s="144"/>
      <c r="X380" s="144"/>
      <c r="Y380" s="144"/>
      <c r="Z380" s="144"/>
    </row>
    <row r="381" spans="1:26" ht="24.75">
      <c r="A381" s="144"/>
      <c r="B381" s="141"/>
      <c r="C381" s="142"/>
      <c r="D381" s="154"/>
      <c r="E381" s="143"/>
      <c r="F381" s="144"/>
      <c r="G381" s="153"/>
      <c r="H381" s="153"/>
      <c r="I381" s="144"/>
      <c r="J381" s="144"/>
      <c r="K381" s="144"/>
      <c r="L381" s="144"/>
      <c r="M381" s="144"/>
      <c r="N381" s="144"/>
      <c r="O381" s="144"/>
      <c r="P381" s="144"/>
      <c r="Q381" s="144"/>
      <c r="R381" s="144"/>
      <c r="S381" s="144"/>
      <c r="T381" s="144"/>
      <c r="U381" s="144"/>
      <c r="V381" s="144"/>
      <c r="W381" s="144"/>
      <c r="X381" s="144"/>
      <c r="Y381" s="144"/>
      <c r="Z381" s="144"/>
    </row>
    <row r="382" spans="1:26" ht="24.75">
      <c r="A382" s="144"/>
      <c r="B382" s="141"/>
      <c r="C382" s="142"/>
      <c r="D382" s="154"/>
      <c r="E382" s="143"/>
      <c r="F382" s="144"/>
      <c r="G382" s="151"/>
      <c r="H382" s="151"/>
      <c r="I382" s="144"/>
      <c r="J382" s="144"/>
      <c r="K382" s="144"/>
      <c r="L382" s="144"/>
      <c r="M382" s="144"/>
      <c r="N382" s="144"/>
      <c r="O382" s="144"/>
      <c r="P382" s="144"/>
      <c r="Q382" s="144"/>
      <c r="R382" s="144"/>
      <c r="S382" s="144"/>
      <c r="T382" s="144"/>
      <c r="U382" s="144"/>
      <c r="V382" s="144"/>
      <c r="W382" s="144"/>
      <c r="X382" s="144"/>
      <c r="Y382" s="144"/>
      <c r="Z382" s="144"/>
    </row>
    <row r="383" spans="1:26" ht="24.75">
      <c r="A383" s="144"/>
      <c r="B383" s="141"/>
      <c r="C383" s="142"/>
      <c r="D383" s="154"/>
      <c r="E383" s="143"/>
      <c r="F383" s="144"/>
      <c r="G383" s="153"/>
      <c r="H383" s="153"/>
      <c r="I383" s="144"/>
      <c r="J383" s="144"/>
      <c r="K383" s="144"/>
      <c r="L383" s="144"/>
      <c r="M383" s="144"/>
      <c r="N383" s="144"/>
      <c r="O383" s="144"/>
      <c r="P383" s="144"/>
      <c r="Q383" s="144"/>
      <c r="R383" s="144"/>
      <c r="S383" s="144"/>
      <c r="T383" s="144"/>
      <c r="U383" s="144"/>
      <c r="V383" s="144"/>
      <c r="W383" s="144"/>
      <c r="X383" s="144"/>
      <c r="Y383" s="144"/>
      <c r="Z383" s="144"/>
    </row>
    <row r="384" spans="1:26" ht="24.75">
      <c r="A384" s="144"/>
      <c r="B384" s="141"/>
      <c r="C384" s="142"/>
      <c r="D384" s="154"/>
      <c r="E384" s="143"/>
      <c r="F384" s="144"/>
      <c r="G384" s="151"/>
      <c r="H384" s="151"/>
      <c r="I384" s="144"/>
      <c r="J384" s="144"/>
      <c r="K384" s="144"/>
      <c r="L384" s="144"/>
      <c r="M384" s="144"/>
      <c r="N384" s="144"/>
      <c r="O384" s="144"/>
      <c r="P384" s="144"/>
      <c r="Q384" s="144"/>
      <c r="R384" s="144"/>
      <c r="S384" s="144"/>
      <c r="T384" s="144"/>
      <c r="U384" s="144"/>
      <c r="V384" s="144"/>
      <c r="W384" s="144"/>
      <c r="X384" s="144"/>
      <c r="Y384" s="144"/>
      <c r="Z384" s="144"/>
    </row>
    <row r="385" spans="1:26" ht="24.75">
      <c r="A385" s="144"/>
      <c r="B385" s="141"/>
      <c r="C385" s="142"/>
      <c r="D385" s="154"/>
      <c r="E385" s="143"/>
      <c r="F385" s="144"/>
      <c r="G385" s="153"/>
      <c r="H385" s="153"/>
      <c r="I385" s="144"/>
      <c r="J385" s="144"/>
      <c r="K385" s="144"/>
      <c r="L385" s="144"/>
      <c r="M385" s="144"/>
      <c r="N385" s="144"/>
      <c r="O385" s="144"/>
      <c r="P385" s="144"/>
      <c r="Q385" s="144"/>
      <c r="R385" s="144"/>
      <c r="S385" s="144"/>
      <c r="T385" s="144"/>
      <c r="U385" s="144"/>
      <c r="V385" s="144"/>
      <c r="W385" s="144"/>
      <c r="X385" s="144"/>
      <c r="Y385" s="144"/>
      <c r="Z385" s="144"/>
    </row>
    <row r="386" spans="1:26" ht="24.75">
      <c r="A386" s="144"/>
      <c r="B386" s="141"/>
      <c r="C386" s="142"/>
      <c r="D386" s="154"/>
      <c r="E386" s="143"/>
      <c r="F386" s="144"/>
      <c r="G386" s="151"/>
      <c r="H386" s="151"/>
      <c r="I386" s="144"/>
      <c r="J386" s="144"/>
      <c r="K386" s="144"/>
      <c r="L386" s="144"/>
      <c r="M386" s="144"/>
      <c r="N386" s="144"/>
      <c r="O386" s="144"/>
      <c r="P386" s="144"/>
      <c r="Q386" s="144"/>
      <c r="R386" s="144"/>
      <c r="S386" s="144"/>
      <c r="T386" s="144"/>
      <c r="U386" s="144"/>
      <c r="V386" s="144"/>
      <c r="W386" s="144"/>
      <c r="X386" s="144"/>
      <c r="Y386" s="144"/>
      <c r="Z386" s="144"/>
    </row>
    <row r="387" spans="1:26" ht="24.75">
      <c r="A387" s="144"/>
      <c r="B387" s="141"/>
      <c r="C387" s="142"/>
      <c r="D387" s="154"/>
      <c r="E387" s="143"/>
      <c r="F387" s="144"/>
      <c r="G387" s="153"/>
      <c r="H387" s="153"/>
      <c r="I387" s="144"/>
      <c r="J387" s="144"/>
      <c r="K387" s="144"/>
      <c r="L387" s="144"/>
      <c r="M387" s="144"/>
      <c r="N387" s="144"/>
      <c r="O387" s="144"/>
      <c r="P387" s="144"/>
      <c r="Q387" s="144"/>
      <c r="R387" s="144"/>
      <c r="S387" s="144"/>
      <c r="T387" s="144"/>
      <c r="U387" s="144"/>
      <c r="V387" s="144"/>
      <c r="W387" s="144"/>
      <c r="X387" s="144"/>
      <c r="Y387" s="144"/>
      <c r="Z387" s="144"/>
    </row>
    <row r="388" spans="1:26" ht="24.75">
      <c r="A388" s="144"/>
      <c r="B388" s="141"/>
      <c r="C388" s="142"/>
      <c r="D388" s="154"/>
      <c r="E388" s="143"/>
      <c r="F388" s="144"/>
      <c r="G388" s="151"/>
      <c r="H388" s="151"/>
      <c r="I388" s="144"/>
      <c r="J388" s="144"/>
      <c r="K388" s="144"/>
      <c r="L388" s="144"/>
      <c r="M388" s="144"/>
      <c r="N388" s="144"/>
      <c r="O388" s="144"/>
      <c r="P388" s="144"/>
      <c r="Q388" s="144"/>
      <c r="R388" s="144"/>
      <c r="S388" s="144"/>
      <c r="T388" s="144"/>
      <c r="U388" s="144"/>
      <c r="V388" s="144"/>
      <c r="W388" s="144"/>
      <c r="X388" s="144"/>
      <c r="Y388" s="144"/>
      <c r="Z388" s="144"/>
    </row>
    <row r="389" spans="1:26" ht="24.75">
      <c r="A389" s="144"/>
      <c r="B389" s="141"/>
      <c r="C389" s="142"/>
      <c r="D389" s="154"/>
      <c r="E389" s="143"/>
      <c r="F389" s="144"/>
      <c r="G389" s="153"/>
      <c r="H389" s="153"/>
      <c r="I389" s="144"/>
      <c r="J389" s="144"/>
      <c r="K389" s="144"/>
      <c r="L389" s="144"/>
      <c r="M389" s="144"/>
      <c r="N389" s="144"/>
      <c r="O389" s="144"/>
      <c r="P389" s="144"/>
      <c r="Q389" s="144"/>
      <c r="R389" s="144"/>
      <c r="S389" s="144"/>
      <c r="T389" s="144"/>
      <c r="U389" s="144"/>
      <c r="V389" s="144"/>
      <c r="W389" s="144"/>
      <c r="X389" s="144"/>
      <c r="Y389" s="144"/>
      <c r="Z389" s="144"/>
    </row>
    <row r="390" spans="1:26" ht="24.75">
      <c r="A390" s="144"/>
      <c r="B390" s="141"/>
      <c r="C390" s="142"/>
      <c r="D390" s="154"/>
      <c r="E390" s="143"/>
      <c r="F390" s="144"/>
      <c r="G390" s="151"/>
      <c r="H390" s="151"/>
      <c r="I390" s="144"/>
      <c r="J390" s="144"/>
      <c r="K390" s="144"/>
      <c r="L390" s="144"/>
      <c r="M390" s="144"/>
      <c r="N390" s="144"/>
      <c r="O390" s="144"/>
      <c r="P390" s="144"/>
      <c r="Q390" s="144"/>
      <c r="R390" s="144"/>
      <c r="S390" s="144"/>
      <c r="T390" s="144"/>
      <c r="U390" s="144"/>
      <c r="V390" s="144"/>
      <c r="W390" s="144"/>
      <c r="X390" s="144"/>
      <c r="Y390" s="144"/>
      <c r="Z390" s="144"/>
    </row>
    <row r="391" spans="1:26" ht="24.75">
      <c r="A391" s="144"/>
      <c r="B391" s="141"/>
      <c r="C391" s="142"/>
      <c r="D391" s="154"/>
      <c r="E391" s="143"/>
      <c r="F391" s="144"/>
      <c r="G391" s="153"/>
      <c r="H391" s="153"/>
      <c r="I391" s="144"/>
      <c r="J391" s="144"/>
      <c r="K391" s="144"/>
      <c r="L391" s="144"/>
      <c r="M391" s="144"/>
      <c r="N391" s="144"/>
      <c r="O391" s="144"/>
      <c r="P391" s="144"/>
      <c r="Q391" s="144"/>
      <c r="R391" s="144"/>
      <c r="S391" s="144"/>
      <c r="T391" s="144"/>
      <c r="U391" s="144"/>
      <c r="V391" s="144"/>
      <c r="W391" s="144"/>
      <c r="X391" s="144"/>
      <c r="Y391" s="144"/>
      <c r="Z391" s="144"/>
    </row>
    <row r="392" spans="1:26" ht="24.75">
      <c r="A392" s="144"/>
      <c r="B392" s="141"/>
      <c r="C392" s="142"/>
      <c r="D392" s="154"/>
      <c r="E392" s="143"/>
      <c r="F392" s="144"/>
      <c r="G392" s="151"/>
      <c r="H392" s="151"/>
      <c r="I392" s="144"/>
      <c r="J392" s="144"/>
      <c r="K392" s="144"/>
      <c r="L392" s="144"/>
      <c r="M392" s="144"/>
      <c r="N392" s="144"/>
      <c r="O392" s="144"/>
      <c r="P392" s="144"/>
      <c r="Q392" s="144"/>
      <c r="R392" s="144"/>
      <c r="S392" s="144"/>
      <c r="T392" s="144"/>
      <c r="U392" s="144"/>
      <c r="V392" s="144"/>
      <c r="W392" s="144"/>
      <c r="X392" s="144"/>
      <c r="Y392" s="144"/>
      <c r="Z392" s="144"/>
    </row>
    <row r="393" spans="1:26" ht="24.75">
      <c r="A393" s="144"/>
      <c r="B393" s="141"/>
      <c r="C393" s="142"/>
      <c r="D393" s="154"/>
      <c r="E393" s="143"/>
      <c r="F393" s="144"/>
      <c r="G393" s="153"/>
      <c r="H393" s="153"/>
      <c r="I393" s="144"/>
      <c r="J393" s="144"/>
      <c r="K393" s="144"/>
      <c r="L393" s="144"/>
      <c r="M393" s="144"/>
      <c r="N393" s="144"/>
      <c r="O393" s="144"/>
      <c r="P393" s="144"/>
      <c r="Q393" s="144"/>
      <c r="R393" s="144"/>
      <c r="S393" s="144"/>
      <c r="T393" s="144"/>
      <c r="U393" s="144"/>
      <c r="V393" s="144"/>
      <c r="W393" s="144"/>
      <c r="X393" s="144"/>
      <c r="Y393" s="144"/>
      <c r="Z393" s="144"/>
    </row>
    <row r="394" spans="1:26" ht="24.75">
      <c r="A394" s="144"/>
      <c r="B394" s="141"/>
      <c r="C394" s="142"/>
      <c r="D394" s="154"/>
      <c r="E394" s="143"/>
      <c r="F394" s="144"/>
      <c r="G394" s="151"/>
      <c r="H394" s="151"/>
      <c r="I394" s="144"/>
      <c r="J394" s="144"/>
      <c r="K394" s="144"/>
      <c r="L394" s="144"/>
      <c r="M394" s="144"/>
      <c r="N394" s="144"/>
      <c r="O394" s="144"/>
      <c r="P394" s="144"/>
      <c r="Q394" s="144"/>
      <c r="R394" s="144"/>
      <c r="S394" s="144"/>
      <c r="T394" s="144"/>
      <c r="U394" s="144"/>
      <c r="V394" s="144"/>
      <c r="W394" s="144"/>
      <c r="X394" s="144"/>
      <c r="Y394" s="144"/>
      <c r="Z394" s="144"/>
    </row>
    <row r="395" spans="1:26" ht="24.75">
      <c r="A395" s="144"/>
      <c r="B395" s="141"/>
      <c r="C395" s="142"/>
      <c r="D395" s="154"/>
      <c r="E395" s="143"/>
      <c r="F395" s="144"/>
      <c r="G395" s="153"/>
      <c r="H395" s="153"/>
      <c r="I395" s="144"/>
      <c r="J395" s="144"/>
      <c r="K395" s="144"/>
      <c r="L395" s="144"/>
      <c r="M395" s="144"/>
      <c r="N395" s="144"/>
      <c r="O395" s="144"/>
      <c r="P395" s="144"/>
      <c r="Q395" s="144"/>
      <c r="R395" s="144"/>
      <c r="S395" s="144"/>
      <c r="T395" s="144"/>
      <c r="U395" s="144"/>
      <c r="V395" s="144"/>
      <c r="W395" s="144"/>
      <c r="X395" s="144"/>
      <c r="Y395" s="144"/>
      <c r="Z395" s="144"/>
    </row>
    <row r="396" spans="1:26" ht="24.75">
      <c r="A396" s="144"/>
      <c r="B396" s="141"/>
      <c r="C396" s="142"/>
      <c r="D396" s="154"/>
      <c r="E396" s="143"/>
      <c r="F396" s="144"/>
      <c r="G396" s="151"/>
      <c r="H396" s="151"/>
      <c r="I396" s="144"/>
      <c r="J396" s="144"/>
      <c r="K396" s="144"/>
      <c r="L396" s="144"/>
      <c r="M396" s="144"/>
      <c r="N396" s="144"/>
      <c r="O396" s="144"/>
      <c r="P396" s="144"/>
      <c r="Q396" s="144"/>
      <c r="R396" s="144"/>
      <c r="S396" s="144"/>
      <c r="T396" s="144"/>
      <c r="U396" s="144"/>
      <c r="V396" s="144"/>
      <c r="W396" s="144"/>
      <c r="X396" s="144"/>
      <c r="Y396" s="144"/>
      <c r="Z396" s="144"/>
    </row>
    <row r="397" spans="1:26" ht="24.75">
      <c r="A397" s="144"/>
      <c r="B397" s="141"/>
      <c r="C397" s="142"/>
      <c r="D397" s="154"/>
      <c r="E397" s="143"/>
      <c r="F397" s="144"/>
      <c r="G397" s="153"/>
      <c r="H397" s="153"/>
      <c r="I397" s="144"/>
      <c r="J397" s="144"/>
      <c r="K397" s="144"/>
      <c r="L397" s="144"/>
      <c r="M397" s="144"/>
      <c r="N397" s="144"/>
      <c r="O397" s="144"/>
      <c r="P397" s="144"/>
      <c r="Q397" s="144"/>
      <c r="R397" s="144"/>
      <c r="S397" s="144"/>
      <c r="T397" s="144"/>
      <c r="U397" s="144"/>
      <c r="V397" s="144"/>
      <c r="W397" s="144"/>
      <c r="X397" s="144"/>
      <c r="Y397" s="144"/>
      <c r="Z397" s="144"/>
    </row>
    <row r="398" spans="1:26" ht="24.75">
      <c r="A398" s="144"/>
      <c r="B398" s="141"/>
      <c r="C398" s="142"/>
      <c r="D398" s="154"/>
      <c r="E398" s="143"/>
      <c r="F398" s="144"/>
      <c r="G398" s="151"/>
      <c r="H398" s="151"/>
      <c r="I398" s="144"/>
      <c r="J398" s="144"/>
      <c r="K398" s="144"/>
      <c r="L398" s="144"/>
      <c r="M398" s="144"/>
      <c r="N398" s="144"/>
      <c r="O398" s="144"/>
      <c r="P398" s="144"/>
      <c r="Q398" s="144"/>
      <c r="R398" s="144"/>
      <c r="S398" s="144"/>
      <c r="T398" s="144"/>
      <c r="U398" s="144"/>
      <c r="V398" s="144"/>
      <c r="W398" s="144"/>
      <c r="X398" s="144"/>
      <c r="Y398" s="144"/>
      <c r="Z398" s="144"/>
    </row>
    <row r="399" spans="1:26" ht="24.75">
      <c r="A399" s="144"/>
      <c r="B399" s="141"/>
      <c r="C399" s="142"/>
      <c r="D399" s="154"/>
      <c r="E399" s="143"/>
      <c r="F399" s="144"/>
      <c r="G399" s="153"/>
      <c r="H399" s="153"/>
      <c r="I399" s="144"/>
      <c r="J399" s="144"/>
      <c r="K399" s="144"/>
      <c r="L399" s="144"/>
      <c r="M399" s="144"/>
      <c r="N399" s="144"/>
      <c r="O399" s="144"/>
      <c r="P399" s="144"/>
      <c r="Q399" s="144"/>
      <c r="R399" s="144"/>
      <c r="S399" s="144"/>
      <c r="T399" s="144"/>
      <c r="U399" s="144"/>
      <c r="V399" s="144"/>
      <c r="W399" s="144"/>
      <c r="X399" s="144"/>
      <c r="Y399" s="144"/>
      <c r="Z399" s="144"/>
    </row>
    <row r="400" spans="1:26" ht="24.75">
      <c r="A400" s="144"/>
      <c r="B400" s="141"/>
      <c r="C400" s="142"/>
      <c r="D400" s="154"/>
      <c r="E400" s="143"/>
      <c r="F400" s="144"/>
      <c r="G400" s="151"/>
      <c r="H400" s="151"/>
      <c r="I400" s="144"/>
      <c r="J400" s="144"/>
      <c r="K400" s="144"/>
      <c r="L400" s="144"/>
      <c r="M400" s="144"/>
      <c r="N400" s="144"/>
      <c r="O400" s="144"/>
      <c r="P400" s="144"/>
      <c r="Q400" s="144"/>
      <c r="R400" s="144"/>
      <c r="S400" s="144"/>
      <c r="T400" s="144"/>
      <c r="U400" s="144"/>
      <c r="V400" s="144"/>
      <c r="W400" s="144"/>
      <c r="X400" s="144"/>
      <c r="Y400" s="144"/>
      <c r="Z400" s="144"/>
    </row>
    <row r="401" spans="1:26" ht="24.75">
      <c r="A401" s="144"/>
      <c r="B401" s="141"/>
      <c r="C401" s="142"/>
      <c r="D401" s="154"/>
      <c r="E401" s="143"/>
      <c r="F401" s="144"/>
      <c r="G401" s="153"/>
      <c r="H401" s="153"/>
      <c r="I401" s="144"/>
      <c r="J401" s="144"/>
      <c r="K401" s="144"/>
      <c r="L401" s="144"/>
      <c r="M401" s="144"/>
      <c r="N401" s="144"/>
      <c r="O401" s="144"/>
      <c r="P401" s="144"/>
      <c r="Q401" s="144"/>
      <c r="R401" s="144"/>
      <c r="S401" s="144"/>
      <c r="T401" s="144"/>
      <c r="U401" s="144"/>
      <c r="V401" s="144"/>
      <c r="W401" s="144"/>
      <c r="X401" s="144"/>
      <c r="Y401" s="144"/>
      <c r="Z401" s="144"/>
    </row>
    <row r="402" spans="1:26" ht="24.75">
      <c r="A402" s="144"/>
      <c r="B402" s="141"/>
      <c r="C402" s="142"/>
      <c r="D402" s="154"/>
      <c r="E402" s="143"/>
      <c r="F402" s="144"/>
      <c r="G402" s="151"/>
      <c r="H402" s="151"/>
      <c r="I402" s="144"/>
      <c r="J402" s="144"/>
      <c r="K402" s="144"/>
      <c r="L402" s="144"/>
      <c r="M402" s="144"/>
      <c r="N402" s="144"/>
      <c r="O402" s="144"/>
      <c r="P402" s="144"/>
      <c r="Q402" s="144"/>
      <c r="R402" s="144"/>
      <c r="S402" s="144"/>
      <c r="T402" s="144"/>
      <c r="U402" s="144"/>
      <c r="V402" s="144"/>
      <c r="W402" s="144"/>
      <c r="X402" s="144"/>
      <c r="Y402" s="144"/>
      <c r="Z402" s="144"/>
    </row>
    <row r="403" spans="1:26" ht="24.75">
      <c r="A403" s="144"/>
      <c r="B403" s="141"/>
      <c r="C403" s="142"/>
      <c r="D403" s="154"/>
      <c r="E403" s="143"/>
      <c r="F403" s="144"/>
      <c r="G403" s="153"/>
      <c r="H403" s="153"/>
      <c r="I403" s="144"/>
      <c r="J403" s="144"/>
      <c r="K403" s="144"/>
      <c r="L403" s="144"/>
      <c r="M403" s="144"/>
      <c r="N403" s="144"/>
      <c r="O403" s="144"/>
      <c r="P403" s="144"/>
      <c r="Q403" s="144"/>
      <c r="R403" s="144"/>
      <c r="S403" s="144"/>
      <c r="T403" s="144"/>
      <c r="U403" s="144"/>
      <c r="V403" s="144"/>
      <c r="W403" s="144"/>
      <c r="X403" s="144"/>
      <c r="Y403" s="144"/>
      <c r="Z403" s="144"/>
    </row>
    <row r="404" spans="1:26" ht="24.75">
      <c r="A404" s="144"/>
      <c r="B404" s="141"/>
      <c r="C404" s="142"/>
      <c r="D404" s="154"/>
      <c r="E404" s="143"/>
      <c r="F404" s="144"/>
      <c r="G404" s="151"/>
      <c r="H404" s="151"/>
      <c r="I404" s="144"/>
      <c r="J404" s="144"/>
      <c r="K404" s="144"/>
      <c r="L404" s="144"/>
      <c r="M404" s="144"/>
      <c r="N404" s="144"/>
      <c r="O404" s="144"/>
      <c r="P404" s="144"/>
      <c r="Q404" s="144"/>
      <c r="R404" s="144"/>
      <c r="S404" s="144"/>
      <c r="T404" s="144"/>
      <c r="U404" s="144"/>
      <c r="V404" s="144"/>
      <c r="W404" s="144"/>
      <c r="X404" s="144"/>
      <c r="Y404" s="144"/>
      <c r="Z404" s="144"/>
    </row>
    <row r="405" spans="1:26" ht="24.75">
      <c r="A405" s="144"/>
      <c r="B405" s="141"/>
      <c r="C405" s="142"/>
      <c r="D405" s="154"/>
      <c r="E405" s="143"/>
      <c r="F405" s="144"/>
      <c r="G405" s="153"/>
      <c r="H405" s="153"/>
      <c r="I405" s="144"/>
      <c r="J405" s="144"/>
      <c r="K405" s="144"/>
      <c r="L405" s="144"/>
      <c r="M405" s="144"/>
      <c r="N405" s="144"/>
      <c r="O405" s="144"/>
      <c r="P405" s="144"/>
      <c r="Q405" s="144"/>
      <c r="R405" s="144"/>
      <c r="S405" s="144"/>
      <c r="T405" s="144"/>
      <c r="U405" s="144"/>
      <c r="V405" s="144"/>
      <c r="W405" s="144"/>
      <c r="X405" s="144"/>
      <c r="Y405" s="144"/>
      <c r="Z405" s="144"/>
    </row>
    <row r="406" spans="1:26" ht="24.75">
      <c r="A406" s="144"/>
      <c r="B406" s="141"/>
      <c r="C406" s="142"/>
      <c r="D406" s="154"/>
      <c r="E406" s="143"/>
      <c r="F406" s="144"/>
      <c r="G406" s="151"/>
      <c r="H406" s="151"/>
      <c r="I406" s="144"/>
      <c r="J406" s="144"/>
      <c r="K406" s="144"/>
      <c r="L406" s="144"/>
      <c r="M406" s="144"/>
      <c r="N406" s="144"/>
      <c r="O406" s="144"/>
      <c r="P406" s="144"/>
      <c r="Q406" s="144"/>
      <c r="R406" s="144"/>
      <c r="S406" s="144"/>
      <c r="T406" s="144"/>
      <c r="U406" s="144"/>
      <c r="V406" s="144"/>
      <c r="W406" s="144"/>
      <c r="X406" s="144"/>
      <c r="Y406" s="144"/>
      <c r="Z406" s="144"/>
    </row>
    <row r="407" spans="1:26" ht="24.75">
      <c r="A407" s="144"/>
      <c r="B407" s="141"/>
      <c r="C407" s="142"/>
      <c r="D407" s="154"/>
      <c r="E407" s="143"/>
      <c r="F407" s="144"/>
      <c r="G407" s="153"/>
      <c r="H407" s="153"/>
      <c r="I407" s="144"/>
      <c r="J407" s="144"/>
      <c r="K407" s="144"/>
      <c r="L407" s="144"/>
      <c r="M407" s="144"/>
      <c r="N407" s="144"/>
      <c r="O407" s="144"/>
      <c r="P407" s="144"/>
      <c r="Q407" s="144"/>
      <c r="R407" s="144"/>
      <c r="S407" s="144"/>
      <c r="T407" s="144"/>
      <c r="U407" s="144"/>
      <c r="V407" s="144"/>
      <c r="W407" s="144"/>
      <c r="X407" s="144"/>
      <c r="Y407" s="144"/>
      <c r="Z407" s="144"/>
    </row>
    <row r="408" spans="1:26" ht="24.75">
      <c r="A408" s="144"/>
      <c r="B408" s="141"/>
      <c r="C408" s="142"/>
      <c r="D408" s="154"/>
      <c r="E408" s="143"/>
      <c r="F408" s="144"/>
      <c r="G408" s="151"/>
      <c r="H408" s="151"/>
      <c r="I408" s="144"/>
      <c r="J408" s="144"/>
      <c r="K408" s="144"/>
      <c r="L408" s="144"/>
      <c r="M408" s="144"/>
      <c r="N408" s="144"/>
      <c r="O408" s="144"/>
      <c r="P408" s="144"/>
      <c r="Q408" s="144"/>
      <c r="R408" s="144"/>
      <c r="S408" s="144"/>
      <c r="T408" s="144"/>
      <c r="U408" s="144"/>
      <c r="V408" s="144"/>
      <c r="W408" s="144"/>
      <c r="X408" s="144"/>
      <c r="Y408" s="144"/>
      <c r="Z408" s="144"/>
    </row>
    <row r="409" spans="1:26" ht="24.75">
      <c r="A409" s="144"/>
      <c r="B409" s="141"/>
      <c r="C409" s="142"/>
      <c r="D409" s="154"/>
      <c r="E409" s="143"/>
      <c r="F409" s="144"/>
      <c r="G409" s="153"/>
      <c r="H409" s="153"/>
      <c r="I409" s="144"/>
      <c r="J409" s="144"/>
      <c r="K409" s="144"/>
      <c r="L409" s="144"/>
      <c r="M409" s="144"/>
      <c r="N409" s="144"/>
      <c r="O409" s="144"/>
      <c r="P409" s="144"/>
      <c r="Q409" s="144"/>
      <c r="R409" s="144"/>
      <c r="S409" s="144"/>
      <c r="T409" s="144"/>
      <c r="U409" s="144"/>
      <c r="V409" s="144"/>
      <c r="W409" s="144"/>
      <c r="X409" s="144"/>
      <c r="Y409" s="144"/>
      <c r="Z409" s="144"/>
    </row>
    <row r="410" spans="1:26" ht="24.75">
      <c r="A410" s="144"/>
      <c r="B410" s="141"/>
      <c r="C410" s="142"/>
      <c r="D410" s="154"/>
      <c r="E410" s="143"/>
      <c r="F410" s="144"/>
      <c r="G410" s="151"/>
      <c r="H410" s="151"/>
      <c r="I410" s="144"/>
      <c r="J410" s="144"/>
      <c r="K410" s="144"/>
      <c r="L410" s="144"/>
      <c r="M410" s="144"/>
      <c r="N410" s="144"/>
      <c r="O410" s="144"/>
      <c r="P410" s="144"/>
      <c r="Q410" s="144"/>
      <c r="R410" s="144"/>
      <c r="S410" s="144"/>
      <c r="T410" s="144"/>
      <c r="U410" s="144"/>
      <c r="V410" s="144"/>
      <c r="W410" s="144"/>
      <c r="X410" s="144"/>
      <c r="Y410" s="144"/>
      <c r="Z410" s="144"/>
    </row>
    <row r="411" spans="1:26" ht="24.75">
      <c r="A411" s="144"/>
      <c r="B411" s="141"/>
      <c r="C411" s="142"/>
      <c r="D411" s="154"/>
      <c r="E411" s="143"/>
      <c r="F411" s="144"/>
      <c r="G411" s="153"/>
      <c r="H411" s="153"/>
      <c r="I411" s="144"/>
      <c r="J411" s="144"/>
      <c r="K411" s="144"/>
      <c r="L411" s="144"/>
      <c r="M411" s="144"/>
      <c r="N411" s="144"/>
      <c r="O411" s="144"/>
      <c r="P411" s="144"/>
      <c r="Q411" s="144"/>
      <c r="R411" s="144"/>
      <c r="S411" s="144"/>
      <c r="T411" s="144"/>
      <c r="U411" s="144"/>
      <c r="V411" s="144"/>
      <c r="W411" s="144"/>
      <c r="X411" s="144"/>
      <c r="Y411" s="144"/>
      <c r="Z411" s="144"/>
    </row>
    <row r="412" spans="1:26" ht="24.75">
      <c r="A412" s="144"/>
      <c r="B412" s="141"/>
      <c r="C412" s="142"/>
      <c r="D412" s="154"/>
      <c r="E412" s="143"/>
      <c r="F412" s="144"/>
      <c r="G412" s="151"/>
      <c r="H412" s="151"/>
      <c r="I412" s="144"/>
      <c r="J412" s="144"/>
      <c r="K412" s="144"/>
      <c r="L412" s="144"/>
      <c r="M412" s="144"/>
      <c r="N412" s="144"/>
      <c r="O412" s="144"/>
      <c r="P412" s="144"/>
      <c r="Q412" s="144"/>
      <c r="R412" s="144"/>
      <c r="S412" s="144"/>
      <c r="T412" s="144"/>
      <c r="U412" s="144"/>
      <c r="V412" s="144"/>
      <c r="W412" s="144"/>
      <c r="X412" s="144"/>
      <c r="Y412" s="144"/>
      <c r="Z412" s="144"/>
    </row>
    <row r="413" spans="1:26" ht="24.75">
      <c r="A413" s="144"/>
      <c r="B413" s="141"/>
      <c r="C413" s="142"/>
      <c r="D413" s="154"/>
      <c r="E413" s="143"/>
      <c r="F413" s="144"/>
      <c r="G413" s="153"/>
      <c r="H413" s="153"/>
      <c r="I413" s="144"/>
      <c r="J413" s="144"/>
      <c r="K413" s="144"/>
      <c r="L413" s="144"/>
      <c r="M413" s="144"/>
      <c r="N413" s="144"/>
      <c r="O413" s="144"/>
      <c r="P413" s="144"/>
      <c r="Q413" s="144"/>
      <c r="R413" s="144"/>
      <c r="S413" s="144"/>
      <c r="T413" s="144"/>
      <c r="U413" s="144"/>
      <c r="V413" s="144"/>
      <c r="W413" s="144"/>
      <c r="X413" s="144"/>
      <c r="Y413" s="144"/>
      <c r="Z413" s="144"/>
    </row>
    <row r="414" spans="1:26" ht="24.75">
      <c r="A414" s="144"/>
      <c r="B414" s="141"/>
      <c r="C414" s="142"/>
      <c r="D414" s="154"/>
      <c r="E414" s="143"/>
      <c r="F414" s="144"/>
      <c r="G414" s="151"/>
      <c r="H414" s="151"/>
      <c r="I414" s="144"/>
      <c r="J414" s="144"/>
      <c r="K414" s="144"/>
      <c r="L414" s="144"/>
      <c r="M414" s="144"/>
      <c r="N414" s="144"/>
      <c r="O414" s="144"/>
      <c r="P414" s="144"/>
      <c r="Q414" s="144"/>
      <c r="R414" s="144"/>
      <c r="S414" s="144"/>
      <c r="T414" s="144"/>
      <c r="U414" s="144"/>
      <c r="V414" s="144"/>
      <c r="W414" s="144"/>
      <c r="X414" s="144"/>
      <c r="Y414" s="144"/>
      <c r="Z414" s="144"/>
    </row>
    <row r="415" spans="1:26" ht="24.75">
      <c r="A415" s="144"/>
      <c r="B415" s="141"/>
      <c r="C415" s="142"/>
      <c r="D415" s="154"/>
      <c r="E415" s="143"/>
      <c r="F415" s="144"/>
      <c r="G415" s="153"/>
      <c r="H415" s="153"/>
      <c r="I415" s="144"/>
      <c r="J415" s="144"/>
      <c r="K415" s="144"/>
      <c r="L415" s="144"/>
      <c r="M415" s="144"/>
      <c r="N415" s="144"/>
      <c r="O415" s="144"/>
      <c r="P415" s="144"/>
      <c r="Q415" s="144"/>
      <c r="R415" s="144"/>
      <c r="S415" s="144"/>
      <c r="T415" s="144"/>
      <c r="U415" s="144"/>
      <c r="V415" s="144"/>
      <c r="W415" s="144"/>
      <c r="X415" s="144"/>
      <c r="Y415" s="144"/>
      <c r="Z415" s="144"/>
    </row>
    <row r="416" spans="1:26" ht="24.75">
      <c r="A416" s="144"/>
      <c r="B416" s="141"/>
      <c r="C416" s="142"/>
      <c r="D416" s="154"/>
      <c r="E416" s="143"/>
      <c r="F416" s="144"/>
      <c r="G416" s="151"/>
      <c r="H416" s="151"/>
      <c r="I416" s="144"/>
      <c r="J416" s="144"/>
      <c r="K416" s="144"/>
      <c r="L416" s="144"/>
      <c r="M416" s="144"/>
      <c r="N416" s="144"/>
      <c r="O416" s="144"/>
      <c r="P416" s="144"/>
      <c r="Q416" s="144"/>
      <c r="R416" s="144"/>
      <c r="S416" s="144"/>
      <c r="T416" s="144"/>
      <c r="U416" s="144"/>
      <c r="V416" s="144"/>
      <c r="W416" s="144"/>
      <c r="X416" s="144"/>
      <c r="Y416" s="144"/>
      <c r="Z416" s="144"/>
    </row>
    <row r="417" spans="1:26" ht="24.75">
      <c r="A417" s="144"/>
      <c r="B417" s="141"/>
      <c r="C417" s="142"/>
      <c r="D417" s="154"/>
      <c r="E417" s="143"/>
      <c r="F417" s="144"/>
      <c r="G417" s="153"/>
      <c r="H417" s="153"/>
      <c r="I417" s="144"/>
      <c r="J417" s="144"/>
      <c r="K417" s="144"/>
      <c r="L417" s="144"/>
      <c r="M417" s="144"/>
      <c r="N417" s="144"/>
      <c r="O417" s="144"/>
      <c r="P417" s="144"/>
      <c r="Q417" s="144"/>
      <c r="R417" s="144"/>
      <c r="S417" s="144"/>
      <c r="T417" s="144"/>
      <c r="U417" s="144"/>
      <c r="V417" s="144"/>
      <c r="W417" s="144"/>
      <c r="X417" s="144"/>
      <c r="Y417" s="144"/>
      <c r="Z417" s="144"/>
    </row>
    <row r="418" spans="1:26" ht="24.75">
      <c r="A418" s="144"/>
      <c r="B418" s="141"/>
      <c r="C418" s="142"/>
      <c r="D418" s="154"/>
      <c r="E418" s="143"/>
      <c r="F418" s="144"/>
      <c r="G418" s="151"/>
      <c r="H418" s="151"/>
      <c r="I418" s="144"/>
      <c r="J418" s="144"/>
      <c r="K418" s="144"/>
      <c r="L418" s="144"/>
      <c r="M418" s="144"/>
      <c r="N418" s="144"/>
      <c r="O418" s="144"/>
      <c r="P418" s="144"/>
      <c r="Q418" s="144"/>
      <c r="R418" s="144"/>
      <c r="S418" s="144"/>
      <c r="T418" s="144"/>
      <c r="U418" s="144"/>
      <c r="V418" s="144"/>
      <c r="W418" s="144"/>
      <c r="X418" s="144"/>
      <c r="Y418" s="144"/>
      <c r="Z418" s="144"/>
    </row>
    <row r="419" spans="1:26" ht="24.75">
      <c r="A419" s="144"/>
      <c r="B419" s="141"/>
      <c r="C419" s="142"/>
      <c r="D419" s="154"/>
      <c r="E419" s="143"/>
      <c r="F419" s="144"/>
      <c r="G419" s="153"/>
      <c r="H419" s="153"/>
      <c r="I419" s="144"/>
      <c r="J419" s="144"/>
      <c r="K419" s="144"/>
      <c r="L419" s="144"/>
      <c r="M419" s="144"/>
      <c r="N419" s="144"/>
      <c r="O419" s="144"/>
      <c r="P419" s="144"/>
      <c r="Q419" s="144"/>
      <c r="R419" s="144"/>
      <c r="S419" s="144"/>
      <c r="T419" s="144"/>
      <c r="U419" s="144"/>
      <c r="V419" s="144"/>
      <c r="W419" s="144"/>
      <c r="X419" s="144"/>
      <c r="Y419" s="144"/>
      <c r="Z419" s="144"/>
    </row>
    <row r="420" spans="1:26" ht="24.75">
      <c r="A420" s="144"/>
      <c r="B420" s="141"/>
      <c r="C420" s="142"/>
      <c r="D420" s="154"/>
      <c r="E420" s="143"/>
      <c r="F420" s="144"/>
      <c r="G420" s="151"/>
      <c r="H420" s="151"/>
      <c r="I420" s="144"/>
      <c r="J420" s="144"/>
      <c r="K420" s="144"/>
      <c r="L420" s="144"/>
      <c r="M420" s="144"/>
      <c r="N420" s="144"/>
      <c r="O420" s="144"/>
      <c r="P420" s="144"/>
      <c r="Q420" s="144"/>
      <c r="R420" s="144"/>
      <c r="S420" s="144"/>
      <c r="T420" s="144"/>
      <c r="U420" s="144"/>
      <c r="V420" s="144"/>
      <c r="W420" s="144"/>
      <c r="X420" s="144"/>
      <c r="Y420" s="144"/>
      <c r="Z420" s="144"/>
    </row>
    <row r="421" spans="1:26" ht="24.75">
      <c r="A421" s="144"/>
      <c r="B421" s="141"/>
      <c r="C421" s="142"/>
      <c r="D421" s="154"/>
      <c r="E421" s="143"/>
      <c r="F421" s="144"/>
      <c r="G421" s="153"/>
      <c r="H421" s="153"/>
      <c r="I421" s="144"/>
      <c r="J421" s="144"/>
      <c r="K421" s="144"/>
      <c r="L421" s="144"/>
      <c r="M421" s="144"/>
      <c r="N421" s="144"/>
      <c r="O421" s="144"/>
      <c r="P421" s="144"/>
      <c r="Q421" s="144"/>
      <c r="R421" s="144"/>
      <c r="S421" s="144"/>
      <c r="T421" s="144"/>
      <c r="U421" s="144"/>
      <c r="V421" s="144"/>
      <c r="W421" s="144"/>
      <c r="X421" s="144"/>
      <c r="Y421" s="144"/>
      <c r="Z421" s="144"/>
    </row>
    <row r="422" spans="1:26" ht="24.75">
      <c r="A422" s="144"/>
      <c r="B422" s="141"/>
      <c r="C422" s="142"/>
      <c r="D422" s="154"/>
      <c r="E422" s="143"/>
      <c r="F422" s="144"/>
      <c r="G422" s="151"/>
      <c r="H422" s="151"/>
      <c r="I422" s="144"/>
      <c r="J422" s="144"/>
      <c r="K422" s="144"/>
      <c r="L422" s="144"/>
      <c r="M422" s="144"/>
      <c r="N422" s="144"/>
      <c r="O422" s="144"/>
      <c r="P422" s="144"/>
      <c r="Q422" s="144"/>
      <c r="R422" s="144"/>
      <c r="S422" s="144"/>
      <c r="T422" s="144"/>
      <c r="U422" s="144"/>
      <c r="V422" s="144"/>
      <c r="W422" s="144"/>
      <c r="X422" s="144"/>
      <c r="Y422" s="144"/>
      <c r="Z422" s="144"/>
    </row>
    <row r="423" spans="1:26" ht="24.75">
      <c r="A423" s="144"/>
      <c r="B423" s="141"/>
      <c r="C423" s="142"/>
      <c r="D423" s="154"/>
      <c r="E423" s="143"/>
      <c r="F423" s="144"/>
      <c r="G423" s="153"/>
      <c r="H423" s="153"/>
      <c r="I423" s="144"/>
      <c r="J423" s="144"/>
      <c r="K423" s="144"/>
      <c r="L423" s="144"/>
      <c r="M423" s="144"/>
      <c r="N423" s="144"/>
      <c r="O423" s="144"/>
      <c r="P423" s="144"/>
      <c r="Q423" s="144"/>
      <c r="R423" s="144"/>
      <c r="S423" s="144"/>
      <c r="T423" s="144"/>
      <c r="U423" s="144"/>
      <c r="V423" s="144"/>
      <c r="W423" s="144"/>
      <c r="X423" s="144"/>
      <c r="Y423" s="144"/>
      <c r="Z423" s="144"/>
    </row>
    <row r="424" spans="1:26" ht="24.75">
      <c r="A424" s="144"/>
      <c r="B424" s="141"/>
      <c r="C424" s="142"/>
      <c r="D424" s="154"/>
      <c r="E424" s="143"/>
      <c r="F424" s="144"/>
      <c r="G424" s="151"/>
      <c r="H424" s="151"/>
      <c r="I424" s="144"/>
      <c r="J424" s="144"/>
      <c r="K424" s="144"/>
      <c r="L424" s="144"/>
      <c r="M424" s="144"/>
      <c r="N424" s="144"/>
      <c r="O424" s="144"/>
      <c r="P424" s="144"/>
      <c r="Q424" s="144"/>
      <c r="R424" s="144"/>
      <c r="S424" s="144"/>
      <c r="T424" s="144"/>
      <c r="U424" s="144"/>
      <c r="V424" s="144"/>
      <c r="W424" s="144"/>
      <c r="X424" s="144"/>
      <c r="Y424" s="144"/>
      <c r="Z424" s="144"/>
    </row>
    <row r="425" spans="1:26" ht="24.75">
      <c r="A425" s="144"/>
      <c r="B425" s="141"/>
      <c r="C425" s="142"/>
      <c r="D425" s="154"/>
      <c r="E425" s="143"/>
      <c r="F425" s="144"/>
      <c r="G425" s="153"/>
      <c r="H425" s="153"/>
      <c r="I425" s="144"/>
      <c r="J425" s="144"/>
      <c r="K425" s="144"/>
      <c r="L425" s="144"/>
      <c r="M425" s="144"/>
      <c r="N425" s="144"/>
      <c r="O425" s="144"/>
      <c r="P425" s="144"/>
      <c r="Q425" s="144"/>
      <c r="R425" s="144"/>
      <c r="S425" s="144"/>
      <c r="T425" s="144"/>
      <c r="U425" s="144"/>
      <c r="V425" s="144"/>
      <c r="W425" s="144"/>
      <c r="X425" s="144"/>
      <c r="Y425" s="144"/>
      <c r="Z425" s="144"/>
    </row>
    <row r="426" spans="1:26" ht="24.75">
      <c r="A426" s="144"/>
      <c r="B426" s="141"/>
      <c r="C426" s="142"/>
      <c r="D426" s="154"/>
      <c r="E426" s="143"/>
      <c r="F426" s="144"/>
      <c r="G426" s="151"/>
      <c r="H426" s="151"/>
      <c r="I426" s="144"/>
      <c r="J426" s="144"/>
      <c r="K426" s="144"/>
      <c r="L426" s="144"/>
      <c r="M426" s="144"/>
      <c r="N426" s="144"/>
      <c r="O426" s="144"/>
      <c r="P426" s="144"/>
      <c r="Q426" s="144"/>
      <c r="R426" s="144"/>
      <c r="S426" s="144"/>
      <c r="T426" s="144"/>
      <c r="U426" s="144"/>
      <c r="V426" s="144"/>
      <c r="W426" s="144"/>
      <c r="X426" s="144"/>
      <c r="Y426" s="144"/>
      <c r="Z426" s="144"/>
    </row>
    <row r="427" spans="1:26" ht="24.75">
      <c r="A427" s="144"/>
      <c r="B427" s="141"/>
      <c r="C427" s="142"/>
      <c r="D427" s="154"/>
      <c r="E427" s="143"/>
      <c r="F427" s="144"/>
      <c r="G427" s="153"/>
      <c r="H427" s="153"/>
      <c r="I427" s="144"/>
      <c r="J427" s="144"/>
      <c r="K427" s="144"/>
      <c r="L427" s="144"/>
      <c r="M427" s="144"/>
      <c r="N427" s="144"/>
      <c r="O427" s="144"/>
      <c r="P427" s="144"/>
      <c r="Q427" s="144"/>
      <c r="R427" s="144"/>
      <c r="S427" s="144"/>
      <c r="T427" s="144"/>
      <c r="U427" s="144"/>
      <c r="V427" s="144"/>
      <c r="W427" s="144"/>
      <c r="X427" s="144"/>
      <c r="Y427" s="144"/>
      <c r="Z427" s="144"/>
    </row>
    <row r="428" spans="1:26" ht="24.75">
      <c r="A428" s="144"/>
      <c r="B428" s="141"/>
      <c r="C428" s="142"/>
      <c r="D428" s="154"/>
      <c r="E428" s="143"/>
      <c r="F428" s="144"/>
      <c r="G428" s="151"/>
      <c r="H428" s="151"/>
      <c r="I428" s="144"/>
      <c r="J428" s="144"/>
      <c r="K428" s="144"/>
      <c r="L428" s="144"/>
      <c r="M428" s="144"/>
      <c r="N428" s="144"/>
      <c r="O428" s="144"/>
      <c r="P428" s="144"/>
      <c r="Q428" s="144"/>
      <c r="R428" s="144"/>
      <c r="S428" s="144"/>
      <c r="T428" s="144"/>
      <c r="U428" s="144"/>
      <c r="V428" s="144"/>
      <c r="W428" s="144"/>
      <c r="X428" s="144"/>
      <c r="Y428" s="144"/>
      <c r="Z428" s="144"/>
    </row>
    <row r="429" spans="1:26" ht="24.75">
      <c r="A429" s="144"/>
      <c r="B429" s="141"/>
      <c r="C429" s="142"/>
      <c r="D429" s="154"/>
      <c r="E429" s="143"/>
      <c r="F429" s="144"/>
      <c r="G429" s="153"/>
      <c r="H429" s="153"/>
      <c r="I429" s="144"/>
      <c r="J429" s="144"/>
      <c r="K429" s="144"/>
      <c r="L429" s="144"/>
      <c r="M429" s="144"/>
      <c r="N429" s="144"/>
      <c r="O429" s="144"/>
      <c r="P429" s="144"/>
      <c r="Q429" s="144"/>
      <c r="R429" s="144"/>
      <c r="S429" s="144"/>
      <c r="T429" s="144"/>
      <c r="U429" s="144"/>
      <c r="V429" s="144"/>
      <c r="W429" s="144"/>
      <c r="X429" s="144"/>
      <c r="Y429" s="144"/>
      <c r="Z429" s="144"/>
    </row>
    <row r="430" spans="1:26" ht="24.75">
      <c r="A430" s="144"/>
      <c r="B430" s="141"/>
      <c r="C430" s="142"/>
      <c r="D430" s="154"/>
      <c r="E430" s="143"/>
      <c r="F430" s="144"/>
      <c r="G430" s="151"/>
      <c r="H430" s="151"/>
      <c r="I430" s="144"/>
      <c r="J430" s="144"/>
      <c r="K430" s="144"/>
      <c r="L430" s="144"/>
      <c r="M430" s="144"/>
      <c r="N430" s="144"/>
      <c r="O430" s="144"/>
      <c r="P430" s="144"/>
      <c r="Q430" s="144"/>
      <c r="R430" s="144"/>
      <c r="S430" s="144"/>
      <c r="T430" s="144"/>
      <c r="U430" s="144"/>
      <c r="V430" s="144"/>
      <c r="W430" s="144"/>
      <c r="X430" s="144"/>
      <c r="Y430" s="144"/>
      <c r="Z430" s="144"/>
    </row>
    <row r="431" spans="1:26" ht="24.75">
      <c r="A431" s="144"/>
      <c r="B431" s="141"/>
      <c r="C431" s="142"/>
      <c r="D431" s="154"/>
      <c r="E431" s="143"/>
      <c r="F431" s="144"/>
      <c r="G431" s="153"/>
      <c r="H431" s="153"/>
      <c r="I431" s="144"/>
      <c r="J431" s="144"/>
      <c r="K431" s="144"/>
      <c r="L431" s="144"/>
      <c r="M431" s="144"/>
      <c r="N431" s="144"/>
      <c r="O431" s="144"/>
      <c r="P431" s="144"/>
      <c r="Q431" s="144"/>
      <c r="R431" s="144"/>
      <c r="S431" s="144"/>
      <c r="T431" s="144"/>
      <c r="U431" s="144"/>
      <c r="V431" s="144"/>
      <c r="W431" s="144"/>
      <c r="X431" s="144"/>
      <c r="Y431" s="144"/>
      <c r="Z431" s="144"/>
    </row>
    <row r="432" spans="1:26" ht="24.75">
      <c r="A432" s="144"/>
      <c r="B432" s="141"/>
      <c r="C432" s="142"/>
      <c r="D432" s="154"/>
      <c r="E432" s="143"/>
      <c r="F432" s="144"/>
      <c r="G432" s="151"/>
      <c r="H432" s="151"/>
      <c r="I432" s="144"/>
      <c r="J432" s="144"/>
      <c r="K432" s="144"/>
      <c r="L432" s="144"/>
      <c r="M432" s="144"/>
      <c r="N432" s="144"/>
      <c r="O432" s="144"/>
      <c r="P432" s="144"/>
      <c r="Q432" s="144"/>
      <c r="R432" s="144"/>
      <c r="S432" s="144"/>
      <c r="T432" s="144"/>
      <c r="U432" s="144"/>
      <c r="V432" s="144"/>
      <c r="W432" s="144"/>
      <c r="X432" s="144"/>
      <c r="Y432" s="144"/>
      <c r="Z432" s="144"/>
    </row>
    <row r="433" spans="1:26" ht="24.75">
      <c r="A433" s="144"/>
      <c r="B433" s="141"/>
      <c r="C433" s="142"/>
      <c r="D433" s="154"/>
      <c r="E433" s="143"/>
      <c r="F433" s="144"/>
      <c r="G433" s="153"/>
      <c r="H433" s="153"/>
      <c r="I433" s="144"/>
      <c r="J433" s="144"/>
      <c r="K433" s="144"/>
      <c r="L433" s="144"/>
      <c r="M433" s="144"/>
      <c r="N433" s="144"/>
      <c r="O433" s="144"/>
      <c r="P433" s="144"/>
      <c r="Q433" s="144"/>
      <c r="R433" s="144"/>
      <c r="S433" s="144"/>
      <c r="T433" s="144"/>
      <c r="U433" s="144"/>
      <c r="V433" s="144"/>
      <c r="W433" s="144"/>
      <c r="X433" s="144"/>
      <c r="Y433" s="144"/>
      <c r="Z433" s="144"/>
    </row>
    <row r="434" spans="1:26" ht="24.75">
      <c r="A434" s="144"/>
      <c r="B434" s="141"/>
      <c r="C434" s="142"/>
      <c r="D434" s="154"/>
      <c r="E434" s="143"/>
      <c r="F434" s="144"/>
      <c r="G434" s="151"/>
      <c r="H434" s="151"/>
      <c r="I434" s="144"/>
      <c r="J434" s="144"/>
      <c r="K434" s="144"/>
      <c r="L434" s="144"/>
      <c r="M434" s="144"/>
      <c r="N434" s="144"/>
      <c r="O434" s="144"/>
      <c r="P434" s="144"/>
      <c r="Q434" s="144"/>
      <c r="R434" s="144"/>
      <c r="S434" s="144"/>
      <c r="T434" s="144"/>
      <c r="U434" s="144"/>
      <c r="V434" s="144"/>
      <c r="W434" s="144"/>
      <c r="X434" s="144"/>
      <c r="Y434" s="144"/>
      <c r="Z434" s="144"/>
    </row>
    <row r="435" spans="1:26" ht="24.75">
      <c r="A435" s="144"/>
      <c r="B435" s="141"/>
      <c r="C435" s="142"/>
      <c r="D435" s="154"/>
      <c r="E435" s="143"/>
      <c r="F435" s="144"/>
      <c r="G435" s="153"/>
      <c r="H435" s="153"/>
      <c r="I435" s="144"/>
      <c r="J435" s="144"/>
      <c r="K435" s="144"/>
      <c r="L435" s="144"/>
      <c r="M435" s="144"/>
      <c r="N435" s="144"/>
      <c r="O435" s="144"/>
      <c r="P435" s="144"/>
      <c r="Q435" s="144"/>
      <c r="R435" s="144"/>
      <c r="S435" s="144"/>
      <c r="T435" s="144"/>
      <c r="U435" s="144"/>
      <c r="V435" s="144"/>
      <c r="W435" s="144"/>
      <c r="X435" s="144"/>
      <c r="Y435" s="144"/>
      <c r="Z435" s="144"/>
    </row>
    <row r="436" spans="1:26" ht="24.75">
      <c r="A436" s="144"/>
      <c r="B436" s="141"/>
      <c r="C436" s="142"/>
      <c r="D436" s="154"/>
      <c r="E436" s="143"/>
      <c r="F436" s="144"/>
      <c r="G436" s="151"/>
      <c r="H436" s="151"/>
      <c r="I436" s="144"/>
      <c r="J436" s="144"/>
      <c r="K436" s="144"/>
      <c r="L436" s="144"/>
      <c r="M436" s="144"/>
      <c r="N436" s="144"/>
      <c r="O436" s="144"/>
      <c r="P436" s="144"/>
      <c r="Q436" s="144"/>
      <c r="R436" s="144"/>
      <c r="S436" s="144"/>
      <c r="T436" s="144"/>
      <c r="U436" s="144"/>
      <c r="V436" s="144"/>
      <c r="W436" s="144"/>
      <c r="X436" s="144"/>
      <c r="Y436" s="144"/>
      <c r="Z436" s="144"/>
    </row>
    <row r="437" spans="1:26" ht="24.75">
      <c r="A437" s="144"/>
      <c r="B437" s="141"/>
      <c r="C437" s="142"/>
      <c r="D437" s="154"/>
      <c r="E437" s="143"/>
      <c r="F437" s="144"/>
      <c r="G437" s="153"/>
      <c r="H437" s="153"/>
      <c r="I437" s="144"/>
      <c r="J437" s="144"/>
      <c r="K437" s="144"/>
      <c r="L437" s="144"/>
      <c r="M437" s="144"/>
      <c r="N437" s="144"/>
      <c r="O437" s="144"/>
      <c r="P437" s="144"/>
      <c r="Q437" s="144"/>
      <c r="R437" s="144"/>
      <c r="S437" s="144"/>
      <c r="T437" s="144"/>
      <c r="U437" s="144"/>
      <c r="V437" s="144"/>
      <c r="W437" s="144"/>
      <c r="X437" s="144"/>
      <c r="Y437" s="144"/>
      <c r="Z437" s="144"/>
    </row>
    <row r="438" spans="1:26" ht="24.75">
      <c r="A438" s="144"/>
      <c r="B438" s="141"/>
      <c r="C438" s="142"/>
      <c r="D438" s="154"/>
      <c r="E438" s="143"/>
      <c r="F438" s="144"/>
      <c r="G438" s="151"/>
      <c r="H438" s="151"/>
      <c r="I438" s="144"/>
      <c r="J438" s="144"/>
      <c r="K438" s="144"/>
      <c r="L438" s="144"/>
      <c r="M438" s="144"/>
      <c r="N438" s="144"/>
      <c r="O438" s="144"/>
      <c r="P438" s="144"/>
      <c r="Q438" s="144"/>
      <c r="R438" s="144"/>
      <c r="S438" s="144"/>
      <c r="T438" s="144"/>
      <c r="U438" s="144"/>
      <c r="V438" s="144"/>
      <c r="W438" s="144"/>
      <c r="X438" s="144"/>
      <c r="Y438" s="144"/>
      <c r="Z438" s="144"/>
    </row>
    <row r="439" spans="1:26" ht="24.75">
      <c r="A439" s="144"/>
      <c r="B439" s="141"/>
      <c r="C439" s="142"/>
      <c r="D439" s="154"/>
      <c r="E439" s="143"/>
      <c r="F439" s="144"/>
      <c r="G439" s="153"/>
      <c r="H439" s="153"/>
      <c r="I439" s="144"/>
      <c r="J439" s="144"/>
      <c r="K439" s="144"/>
      <c r="L439" s="144"/>
      <c r="M439" s="144"/>
      <c r="N439" s="144"/>
      <c r="O439" s="144"/>
      <c r="P439" s="144"/>
      <c r="Q439" s="144"/>
      <c r="R439" s="144"/>
      <c r="S439" s="144"/>
      <c r="T439" s="144"/>
      <c r="U439" s="144"/>
      <c r="V439" s="144"/>
      <c r="W439" s="144"/>
      <c r="X439" s="144"/>
      <c r="Y439" s="144"/>
      <c r="Z439" s="144"/>
    </row>
    <row r="440" spans="1:26" ht="24.75">
      <c r="A440" s="144"/>
      <c r="B440" s="141"/>
      <c r="C440" s="142"/>
      <c r="D440" s="154"/>
      <c r="E440" s="143"/>
      <c r="F440" s="144"/>
      <c r="G440" s="151"/>
      <c r="H440" s="151"/>
      <c r="I440" s="144"/>
      <c r="J440" s="144"/>
      <c r="K440" s="144"/>
      <c r="L440" s="144"/>
      <c r="M440" s="144"/>
      <c r="N440" s="144"/>
      <c r="O440" s="144"/>
      <c r="P440" s="144"/>
      <c r="Q440" s="144"/>
      <c r="R440" s="144"/>
      <c r="S440" s="144"/>
      <c r="T440" s="144"/>
      <c r="U440" s="144"/>
      <c r="V440" s="144"/>
      <c r="W440" s="144"/>
      <c r="X440" s="144"/>
      <c r="Y440" s="144"/>
      <c r="Z440" s="144"/>
    </row>
    <row r="441" spans="1:26" ht="24.75">
      <c r="A441" s="144"/>
      <c r="B441" s="141"/>
      <c r="C441" s="142"/>
      <c r="D441" s="154"/>
      <c r="E441" s="143"/>
      <c r="F441" s="144"/>
      <c r="G441" s="153"/>
      <c r="H441" s="153"/>
      <c r="I441" s="144"/>
      <c r="J441" s="144"/>
      <c r="K441" s="144"/>
      <c r="L441" s="144"/>
      <c r="M441" s="144"/>
      <c r="N441" s="144"/>
      <c r="O441" s="144"/>
      <c r="P441" s="144"/>
      <c r="Q441" s="144"/>
      <c r="R441" s="144"/>
      <c r="S441" s="144"/>
      <c r="T441" s="144"/>
      <c r="U441" s="144"/>
      <c r="V441" s="144"/>
      <c r="W441" s="144"/>
      <c r="X441" s="144"/>
      <c r="Y441" s="144"/>
      <c r="Z441" s="144"/>
    </row>
    <row r="442" spans="1:26" ht="24.75">
      <c r="A442" s="144"/>
      <c r="B442" s="141"/>
      <c r="C442" s="142"/>
      <c r="D442" s="154"/>
      <c r="E442" s="143"/>
      <c r="F442" s="144"/>
      <c r="G442" s="151"/>
      <c r="H442" s="151"/>
      <c r="I442" s="144"/>
      <c r="J442" s="144"/>
      <c r="K442" s="144"/>
      <c r="L442" s="144"/>
      <c r="M442" s="144"/>
      <c r="N442" s="144"/>
      <c r="O442" s="144"/>
      <c r="P442" s="144"/>
      <c r="Q442" s="144"/>
      <c r="R442" s="144"/>
      <c r="S442" s="144"/>
      <c r="T442" s="144"/>
      <c r="U442" s="144"/>
      <c r="V442" s="144"/>
      <c r="W442" s="144"/>
      <c r="X442" s="144"/>
      <c r="Y442" s="144"/>
      <c r="Z442" s="144"/>
    </row>
    <row r="443" spans="1:26" ht="24.75">
      <c r="A443" s="144"/>
      <c r="B443" s="141"/>
      <c r="C443" s="142"/>
      <c r="D443" s="154"/>
      <c r="E443" s="143"/>
      <c r="F443" s="144"/>
      <c r="G443" s="153"/>
      <c r="H443" s="153"/>
      <c r="I443" s="144"/>
      <c r="J443" s="144"/>
      <c r="K443" s="144"/>
      <c r="L443" s="144"/>
      <c r="M443" s="144"/>
      <c r="N443" s="144"/>
      <c r="O443" s="144"/>
      <c r="P443" s="144"/>
      <c r="Q443" s="144"/>
      <c r="R443" s="144"/>
      <c r="S443" s="144"/>
      <c r="T443" s="144"/>
      <c r="U443" s="144"/>
      <c r="V443" s="144"/>
      <c r="W443" s="144"/>
      <c r="X443" s="144"/>
      <c r="Y443" s="144"/>
      <c r="Z443" s="144"/>
    </row>
    <row r="444" spans="1:26" ht="24.75">
      <c r="A444" s="144"/>
      <c r="B444" s="141"/>
      <c r="C444" s="142"/>
      <c r="D444" s="154"/>
      <c r="E444" s="143"/>
      <c r="F444" s="144"/>
      <c r="G444" s="151"/>
      <c r="H444" s="151"/>
      <c r="I444" s="144"/>
      <c r="J444" s="144"/>
      <c r="K444" s="144"/>
      <c r="L444" s="144"/>
      <c r="M444" s="144"/>
      <c r="N444" s="144"/>
      <c r="O444" s="144"/>
      <c r="P444" s="144"/>
      <c r="Q444" s="144"/>
      <c r="R444" s="144"/>
      <c r="S444" s="144"/>
      <c r="T444" s="144"/>
      <c r="U444" s="144"/>
      <c r="V444" s="144"/>
      <c r="W444" s="144"/>
      <c r="X444" s="144"/>
      <c r="Y444" s="144"/>
      <c r="Z444" s="144"/>
    </row>
    <row r="445" spans="1:26" ht="24.75">
      <c r="A445" s="144"/>
      <c r="B445" s="141"/>
      <c r="C445" s="142"/>
      <c r="D445" s="154"/>
      <c r="E445" s="143"/>
      <c r="F445" s="144"/>
      <c r="G445" s="153"/>
      <c r="H445" s="153"/>
      <c r="I445" s="144"/>
      <c r="J445" s="144"/>
      <c r="K445" s="144"/>
      <c r="L445" s="144"/>
      <c r="M445" s="144"/>
      <c r="N445" s="144"/>
      <c r="O445" s="144"/>
      <c r="P445" s="144"/>
      <c r="Q445" s="144"/>
      <c r="R445" s="144"/>
      <c r="S445" s="144"/>
      <c r="T445" s="144"/>
      <c r="U445" s="144"/>
      <c r="V445" s="144"/>
      <c r="W445" s="144"/>
      <c r="X445" s="144"/>
      <c r="Y445" s="144"/>
      <c r="Z445" s="144"/>
    </row>
    <row r="446" spans="1:26" ht="24.75">
      <c r="A446" s="144"/>
      <c r="B446" s="141"/>
      <c r="C446" s="142"/>
      <c r="D446" s="154"/>
      <c r="E446" s="143"/>
      <c r="F446" s="144"/>
      <c r="G446" s="151"/>
      <c r="H446" s="151"/>
      <c r="I446" s="144"/>
      <c r="J446" s="144"/>
      <c r="K446" s="144"/>
      <c r="L446" s="144"/>
      <c r="M446" s="144"/>
      <c r="N446" s="144"/>
      <c r="O446" s="144"/>
      <c r="P446" s="144"/>
      <c r="Q446" s="144"/>
      <c r="R446" s="144"/>
      <c r="S446" s="144"/>
      <c r="T446" s="144"/>
      <c r="U446" s="144"/>
      <c r="V446" s="144"/>
      <c r="W446" s="144"/>
      <c r="X446" s="144"/>
      <c r="Y446" s="144"/>
      <c r="Z446" s="144"/>
    </row>
    <row r="447" spans="1:26" ht="24.75">
      <c r="A447" s="144"/>
      <c r="B447" s="141"/>
      <c r="C447" s="142"/>
      <c r="D447" s="154"/>
      <c r="E447" s="143"/>
      <c r="F447" s="144"/>
      <c r="G447" s="153"/>
      <c r="H447" s="153"/>
      <c r="I447" s="144"/>
      <c r="J447" s="144"/>
      <c r="K447" s="144"/>
      <c r="L447" s="144"/>
      <c r="M447" s="144"/>
      <c r="N447" s="144"/>
      <c r="O447" s="144"/>
      <c r="P447" s="144"/>
      <c r="Q447" s="144"/>
      <c r="R447" s="144"/>
      <c r="S447" s="144"/>
      <c r="T447" s="144"/>
      <c r="U447" s="144"/>
      <c r="V447" s="144"/>
      <c r="W447" s="144"/>
      <c r="X447" s="144"/>
      <c r="Y447" s="144"/>
      <c r="Z447" s="144"/>
    </row>
    <row r="448" spans="1:26" ht="24.75">
      <c r="A448" s="144"/>
      <c r="B448" s="141"/>
      <c r="C448" s="142"/>
      <c r="D448" s="154"/>
      <c r="E448" s="143"/>
      <c r="F448" s="144"/>
      <c r="G448" s="151"/>
      <c r="H448" s="151"/>
      <c r="I448" s="144"/>
      <c r="J448" s="144"/>
      <c r="K448" s="144"/>
      <c r="L448" s="144"/>
      <c r="M448" s="144"/>
      <c r="N448" s="144"/>
      <c r="O448" s="144"/>
      <c r="P448" s="144"/>
      <c r="Q448" s="144"/>
      <c r="R448" s="144"/>
      <c r="S448" s="144"/>
      <c r="T448" s="144"/>
      <c r="U448" s="144"/>
      <c r="V448" s="144"/>
      <c r="W448" s="144"/>
      <c r="X448" s="144"/>
      <c r="Y448" s="144"/>
      <c r="Z448" s="144"/>
    </row>
    <row r="449" spans="1:26" ht="24.75">
      <c r="A449" s="144"/>
      <c r="B449" s="141"/>
      <c r="C449" s="142"/>
      <c r="D449" s="154"/>
      <c r="E449" s="143"/>
      <c r="F449" s="144"/>
      <c r="G449" s="153"/>
      <c r="H449" s="153"/>
      <c r="I449" s="144"/>
      <c r="J449" s="144"/>
      <c r="K449" s="144"/>
      <c r="L449" s="144"/>
      <c r="M449" s="144"/>
      <c r="N449" s="144"/>
      <c r="O449" s="144"/>
      <c r="P449" s="144"/>
      <c r="Q449" s="144"/>
      <c r="R449" s="144"/>
      <c r="S449" s="144"/>
      <c r="T449" s="144"/>
      <c r="U449" s="144"/>
      <c r="V449" s="144"/>
      <c r="W449" s="144"/>
      <c r="X449" s="144"/>
      <c r="Y449" s="144"/>
      <c r="Z449" s="144"/>
    </row>
    <row r="450" spans="1:26" ht="24.75">
      <c r="A450" s="144"/>
      <c r="B450" s="141"/>
      <c r="C450" s="142"/>
      <c r="D450" s="154"/>
      <c r="E450" s="143"/>
      <c r="F450" s="144"/>
      <c r="G450" s="151"/>
      <c r="H450" s="151"/>
      <c r="I450" s="144"/>
      <c r="J450" s="144"/>
      <c r="K450" s="144"/>
      <c r="L450" s="144"/>
      <c r="M450" s="144"/>
      <c r="N450" s="144"/>
      <c r="O450" s="144"/>
      <c r="P450" s="144"/>
      <c r="Q450" s="144"/>
      <c r="R450" s="144"/>
      <c r="S450" s="144"/>
      <c r="T450" s="144"/>
      <c r="U450" s="144"/>
      <c r="V450" s="144"/>
      <c r="W450" s="144"/>
      <c r="X450" s="144"/>
      <c r="Y450" s="144"/>
      <c r="Z450" s="144"/>
    </row>
    <row r="451" spans="1:26" ht="24.75">
      <c r="A451" s="144"/>
      <c r="B451" s="141"/>
      <c r="C451" s="142"/>
      <c r="D451" s="154"/>
      <c r="E451" s="143"/>
      <c r="F451" s="144"/>
      <c r="G451" s="153"/>
      <c r="H451" s="153"/>
      <c r="I451" s="144"/>
      <c r="J451" s="144"/>
      <c r="K451" s="144"/>
      <c r="L451" s="144"/>
      <c r="M451" s="144"/>
      <c r="N451" s="144"/>
      <c r="O451" s="144"/>
      <c r="P451" s="144"/>
      <c r="Q451" s="144"/>
      <c r="R451" s="144"/>
      <c r="S451" s="144"/>
      <c r="T451" s="144"/>
      <c r="U451" s="144"/>
      <c r="V451" s="144"/>
      <c r="W451" s="144"/>
      <c r="X451" s="144"/>
      <c r="Y451" s="144"/>
      <c r="Z451" s="144"/>
    </row>
    <row r="452" spans="1:26" ht="24.75">
      <c r="A452" s="144"/>
      <c r="B452" s="141"/>
      <c r="C452" s="142"/>
      <c r="D452" s="154"/>
      <c r="E452" s="143"/>
      <c r="F452" s="144"/>
      <c r="G452" s="151"/>
      <c r="H452" s="151"/>
      <c r="I452" s="144"/>
      <c r="J452" s="144"/>
      <c r="K452" s="144"/>
      <c r="L452" s="144"/>
      <c r="M452" s="144"/>
      <c r="N452" s="144"/>
      <c r="O452" s="144"/>
      <c r="P452" s="144"/>
      <c r="Q452" s="144"/>
      <c r="R452" s="144"/>
      <c r="S452" s="144"/>
      <c r="T452" s="144"/>
      <c r="U452" s="144"/>
      <c r="V452" s="144"/>
      <c r="W452" s="144"/>
      <c r="X452" s="144"/>
      <c r="Y452" s="144"/>
      <c r="Z452" s="144"/>
    </row>
    <row r="453" spans="1:26" ht="24.75">
      <c r="A453" s="144"/>
      <c r="B453" s="141"/>
      <c r="C453" s="142"/>
      <c r="D453" s="154"/>
      <c r="E453" s="143"/>
      <c r="F453" s="144"/>
      <c r="G453" s="153"/>
      <c r="H453" s="153"/>
      <c r="I453" s="144"/>
      <c r="J453" s="144"/>
      <c r="K453" s="144"/>
      <c r="L453" s="144"/>
      <c r="M453" s="144"/>
      <c r="N453" s="144"/>
      <c r="O453" s="144"/>
      <c r="P453" s="144"/>
      <c r="Q453" s="144"/>
      <c r="R453" s="144"/>
      <c r="S453" s="144"/>
      <c r="T453" s="144"/>
      <c r="U453" s="144"/>
      <c r="V453" s="144"/>
      <c r="W453" s="144"/>
      <c r="X453" s="144"/>
      <c r="Y453" s="144"/>
      <c r="Z453" s="144"/>
    </row>
    <row r="454" spans="1:26" ht="24.75">
      <c r="A454" s="144"/>
      <c r="B454" s="141"/>
      <c r="C454" s="142"/>
      <c r="D454" s="154"/>
      <c r="E454" s="143"/>
      <c r="F454" s="144"/>
      <c r="G454" s="151"/>
      <c r="H454" s="151"/>
      <c r="I454" s="144"/>
      <c r="J454" s="144"/>
      <c r="K454" s="144"/>
      <c r="L454" s="144"/>
      <c r="M454" s="144"/>
      <c r="N454" s="144"/>
      <c r="O454" s="144"/>
      <c r="P454" s="144"/>
      <c r="Q454" s="144"/>
      <c r="R454" s="144"/>
      <c r="S454" s="144"/>
      <c r="T454" s="144"/>
      <c r="U454" s="144"/>
      <c r="V454" s="144"/>
      <c r="W454" s="144"/>
      <c r="X454" s="144"/>
      <c r="Y454" s="144"/>
      <c r="Z454" s="144"/>
    </row>
    <row r="455" spans="1:26" ht="24.75">
      <c r="A455" s="144"/>
      <c r="B455" s="141"/>
      <c r="C455" s="142"/>
      <c r="D455" s="154"/>
      <c r="E455" s="143"/>
      <c r="F455" s="144"/>
      <c r="G455" s="153"/>
      <c r="H455" s="153"/>
      <c r="I455" s="144"/>
      <c r="J455" s="144"/>
      <c r="K455" s="144"/>
      <c r="L455" s="144"/>
      <c r="M455" s="144"/>
      <c r="N455" s="144"/>
      <c r="O455" s="144"/>
      <c r="P455" s="144"/>
      <c r="Q455" s="144"/>
      <c r="R455" s="144"/>
      <c r="S455" s="144"/>
      <c r="T455" s="144"/>
      <c r="U455" s="144"/>
      <c r="V455" s="144"/>
      <c r="W455" s="144"/>
      <c r="X455" s="144"/>
      <c r="Y455" s="144"/>
      <c r="Z455" s="144"/>
    </row>
    <row r="456" spans="1:26" ht="24.75">
      <c r="A456" s="144"/>
      <c r="B456" s="141"/>
      <c r="C456" s="142"/>
      <c r="D456" s="154"/>
      <c r="E456" s="143"/>
      <c r="F456" s="144"/>
      <c r="G456" s="151"/>
      <c r="H456" s="151"/>
      <c r="I456" s="144"/>
      <c r="J456" s="144"/>
      <c r="K456" s="144"/>
      <c r="L456" s="144"/>
      <c r="M456" s="144"/>
      <c r="N456" s="144"/>
      <c r="O456" s="144"/>
      <c r="P456" s="144"/>
      <c r="Q456" s="144"/>
      <c r="R456" s="144"/>
      <c r="S456" s="144"/>
      <c r="T456" s="144"/>
      <c r="U456" s="144"/>
      <c r="V456" s="144"/>
      <c r="W456" s="144"/>
      <c r="X456" s="144"/>
      <c r="Y456" s="144"/>
      <c r="Z456" s="144"/>
    </row>
    <row r="457" spans="1:26" ht="24.75">
      <c r="A457" s="144"/>
      <c r="B457" s="141"/>
      <c r="C457" s="142"/>
      <c r="D457" s="154"/>
      <c r="E457" s="143"/>
      <c r="F457" s="144"/>
      <c r="G457" s="153"/>
      <c r="H457" s="153"/>
      <c r="I457" s="144"/>
      <c r="J457" s="144"/>
      <c r="K457" s="144"/>
      <c r="L457" s="144"/>
      <c r="M457" s="144"/>
      <c r="N457" s="144"/>
      <c r="O457" s="144"/>
      <c r="P457" s="144"/>
      <c r="Q457" s="144"/>
      <c r="R457" s="144"/>
      <c r="S457" s="144"/>
      <c r="T457" s="144"/>
      <c r="U457" s="144"/>
      <c r="V457" s="144"/>
      <c r="W457" s="144"/>
      <c r="X457" s="144"/>
      <c r="Y457" s="144"/>
      <c r="Z457" s="144"/>
    </row>
    <row r="458" spans="1:26" ht="24.75">
      <c r="A458" s="144"/>
      <c r="B458" s="141"/>
      <c r="C458" s="142"/>
      <c r="D458" s="154"/>
      <c r="E458" s="143"/>
      <c r="F458" s="144"/>
      <c r="G458" s="151"/>
      <c r="H458" s="151"/>
      <c r="I458" s="144"/>
      <c r="J458" s="144"/>
      <c r="K458" s="144"/>
      <c r="L458" s="144"/>
      <c r="M458" s="144"/>
      <c r="N458" s="144"/>
      <c r="O458" s="144"/>
      <c r="P458" s="144"/>
      <c r="Q458" s="144"/>
      <c r="R458" s="144"/>
      <c r="S458" s="144"/>
      <c r="T458" s="144"/>
      <c r="U458" s="144"/>
      <c r="V458" s="144"/>
      <c r="W458" s="144"/>
      <c r="X458" s="144"/>
      <c r="Y458" s="144"/>
      <c r="Z458" s="144"/>
    </row>
    <row r="459" spans="1:26" ht="24.75">
      <c r="A459" s="144"/>
      <c r="B459" s="141"/>
      <c r="C459" s="142"/>
      <c r="D459" s="154"/>
      <c r="E459" s="143"/>
      <c r="F459" s="144"/>
      <c r="G459" s="153"/>
      <c r="H459" s="153"/>
      <c r="I459" s="144"/>
      <c r="J459" s="144"/>
      <c r="K459" s="144"/>
      <c r="L459" s="144"/>
      <c r="M459" s="144"/>
      <c r="N459" s="144"/>
      <c r="O459" s="144"/>
      <c r="P459" s="144"/>
      <c r="Q459" s="144"/>
      <c r="R459" s="144"/>
      <c r="S459" s="144"/>
      <c r="T459" s="144"/>
      <c r="U459" s="144"/>
      <c r="V459" s="144"/>
      <c r="W459" s="144"/>
      <c r="X459" s="144"/>
      <c r="Y459" s="144"/>
      <c r="Z459" s="144"/>
    </row>
    <row r="460" spans="1:26" ht="24.75">
      <c r="A460" s="144"/>
      <c r="B460" s="141"/>
      <c r="C460" s="142"/>
      <c r="D460" s="154"/>
      <c r="E460" s="143"/>
      <c r="F460" s="144"/>
      <c r="G460" s="151"/>
      <c r="H460" s="151"/>
      <c r="I460" s="144"/>
      <c r="J460" s="144"/>
      <c r="K460" s="144"/>
      <c r="L460" s="144"/>
      <c r="M460" s="144"/>
      <c r="N460" s="144"/>
      <c r="O460" s="144"/>
      <c r="P460" s="144"/>
      <c r="Q460" s="144"/>
      <c r="R460" s="144"/>
      <c r="S460" s="144"/>
      <c r="T460" s="144"/>
      <c r="U460" s="144"/>
      <c r="V460" s="144"/>
      <c r="W460" s="144"/>
      <c r="X460" s="144"/>
      <c r="Y460" s="144"/>
      <c r="Z460" s="144"/>
    </row>
    <row r="461" spans="1:26" ht="24.75">
      <c r="A461" s="144"/>
      <c r="B461" s="141"/>
      <c r="C461" s="142"/>
      <c r="D461" s="154"/>
      <c r="E461" s="143"/>
      <c r="F461" s="144"/>
      <c r="G461" s="153"/>
      <c r="H461" s="153"/>
      <c r="I461" s="144"/>
      <c r="J461" s="144"/>
      <c r="K461" s="144"/>
      <c r="L461" s="144"/>
      <c r="M461" s="144"/>
      <c r="N461" s="144"/>
      <c r="O461" s="144"/>
      <c r="P461" s="144"/>
      <c r="Q461" s="144"/>
      <c r="R461" s="144"/>
      <c r="S461" s="144"/>
      <c r="T461" s="144"/>
      <c r="U461" s="144"/>
      <c r="V461" s="144"/>
      <c r="W461" s="144"/>
      <c r="X461" s="144"/>
      <c r="Y461" s="144"/>
      <c r="Z461" s="144"/>
    </row>
    <row r="462" spans="1:26" ht="24.75">
      <c r="A462" s="144"/>
      <c r="B462" s="141"/>
      <c r="C462" s="142"/>
      <c r="D462" s="154"/>
      <c r="E462" s="143"/>
      <c r="F462" s="144"/>
      <c r="G462" s="151"/>
      <c r="H462" s="151"/>
      <c r="I462" s="144"/>
      <c r="J462" s="144"/>
      <c r="K462" s="144"/>
      <c r="L462" s="144"/>
      <c r="M462" s="144"/>
      <c r="N462" s="144"/>
      <c r="O462" s="144"/>
      <c r="P462" s="144"/>
      <c r="Q462" s="144"/>
      <c r="R462" s="144"/>
      <c r="S462" s="144"/>
      <c r="T462" s="144"/>
      <c r="U462" s="144"/>
      <c r="V462" s="144"/>
      <c r="W462" s="144"/>
      <c r="X462" s="144"/>
      <c r="Y462" s="144"/>
      <c r="Z462" s="144"/>
    </row>
    <row r="463" spans="1:26" ht="24.75">
      <c r="A463" s="144"/>
      <c r="B463" s="141"/>
      <c r="C463" s="142"/>
      <c r="D463" s="154"/>
      <c r="E463" s="143"/>
      <c r="F463" s="144"/>
      <c r="G463" s="153"/>
      <c r="H463" s="153"/>
      <c r="I463" s="144"/>
      <c r="J463" s="144"/>
      <c r="K463" s="144"/>
      <c r="L463" s="144"/>
      <c r="M463" s="144"/>
      <c r="N463" s="144"/>
      <c r="O463" s="144"/>
      <c r="P463" s="144"/>
      <c r="Q463" s="144"/>
      <c r="R463" s="144"/>
      <c r="S463" s="144"/>
      <c r="T463" s="144"/>
      <c r="U463" s="144"/>
      <c r="V463" s="144"/>
      <c r="W463" s="144"/>
      <c r="X463" s="144"/>
      <c r="Y463" s="144"/>
      <c r="Z463" s="144"/>
    </row>
    <row r="464" spans="1:26" ht="24.75">
      <c r="A464" s="144"/>
      <c r="B464" s="141"/>
      <c r="C464" s="142"/>
      <c r="D464" s="154"/>
      <c r="E464" s="143"/>
      <c r="F464" s="144"/>
      <c r="G464" s="151"/>
      <c r="H464" s="151"/>
      <c r="I464" s="144"/>
      <c r="J464" s="144"/>
      <c r="K464" s="144"/>
      <c r="L464" s="144"/>
      <c r="M464" s="144"/>
      <c r="N464" s="144"/>
      <c r="O464" s="144"/>
      <c r="P464" s="144"/>
      <c r="Q464" s="144"/>
      <c r="R464" s="144"/>
      <c r="S464" s="144"/>
      <c r="T464" s="144"/>
      <c r="U464" s="144"/>
      <c r="V464" s="144"/>
      <c r="W464" s="144"/>
      <c r="X464" s="144"/>
      <c r="Y464" s="144"/>
      <c r="Z464" s="144"/>
    </row>
    <row r="465" spans="1:26" ht="24.75">
      <c r="A465" s="144"/>
      <c r="B465" s="141"/>
      <c r="C465" s="142"/>
      <c r="D465" s="154"/>
      <c r="E465" s="143"/>
      <c r="F465" s="144"/>
      <c r="G465" s="153"/>
      <c r="H465" s="153"/>
      <c r="I465" s="144"/>
      <c r="J465" s="144"/>
      <c r="K465" s="144"/>
      <c r="L465" s="144"/>
      <c r="M465" s="144"/>
      <c r="N465" s="144"/>
      <c r="O465" s="144"/>
      <c r="P465" s="144"/>
      <c r="Q465" s="144"/>
      <c r="R465" s="144"/>
      <c r="S465" s="144"/>
      <c r="T465" s="144"/>
      <c r="U465" s="144"/>
      <c r="V465" s="144"/>
      <c r="W465" s="144"/>
      <c r="X465" s="144"/>
      <c r="Y465" s="144"/>
      <c r="Z465" s="144"/>
    </row>
    <row r="466" spans="1:26" ht="24.75">
      <c r="A466" s="144"/>
      <c r="B466" s="141"/>
      <c r="C466" s="142"/>
      <c r="D466" s="154"/>
      <c r="E466" s="143"/>
      <c r="F466" s="144"/>
      <c r="G466" s="151"/>
      <c r="H466" s="151"/>
      <c r="I466" s="144"/>
      <c r="J466" s="144"/>
      <c r="K466" s="144"/>
      <c r="L466" s="144"/>
      <c r="M466" s="144"/>
      <c r="N466" s="144"/>
      <c r="O466" s="144"/>
      <c r="P466" s="144"/>
      <c r="Q466" s="144"/>
      <c r="R466" s="144"/>
      <c r="S466" s="144"/>
      <c r="T466" s="144"/>
      <c r="U466" s="144"/>
      <c r="V466" s="144"/>
      <c r="W466" s="144"/>
      <c r="X466" s="144"/>
      <c r="Y466" s="144"/>
      <c r="Z466" s="144"/>
    </row>
    <row r="467" spans="1:26" ht="24.75">
      <c r="A467" s="144"/>
      <c r="B467" s="141"/>
      <c r="C467" s="142"/>
      <c r="D467" s="154"/>
      <c r="E467" s="143"/>
      <c r="F467" s="144"/>
      <c r="G467" s="153"/>
      <c r="H467" s="153"/>
      <c r="I467" s="144"/>
      <c r="J467" s="144"/>
      <c r="K467" s="144"/>
      <c r="L467" s="144"/>
      <c r="M467" s="144"/>
      <c r="N467" s="144"/>
      <c r="O467" s="144"/>
      <c r="P467" s="144"/>
      <c r="Q467" s="144"/>
      <c r="R467" s="144"/>
      <c r="S467" s="144"/>
      <c r="T467" s="144"/>
      <c r="U467" s="144"/>
      <c r="V467" s="144"/>
      <c r="W467" s="144"/>
      <c r="X467" s="144"/>
      <c r="Y467" s="144"/>
      <c r="Z467" s="144"/>
    </row>
    <row r="468" spans="1:26" ht="24.75">
      <c r="A468" s="144"/>
      <c r="B468" s="141"/>
      <c r="C468" s="142"/>
      <c r="D468" s="154"/>
      <c r="E468" s="143"/>
      <c r="F468" s="144"/>
      <c r="G468" s="151"/>
      <c r="H468" s="151"/>
      <c r="I468" s="144"/>
      <c r="J468" s="144"/>
      <c r="K468" s="144"/>
      <c r="L468" s="144"/>
      <c r="M468" s="144"/>
      <c r="N468" s="144"/>
      <c r="O468" s="144"/>
      <c r="P468" s="144"/>
      <c r="Q468" s="144"/>
      <c r="R468" s="144"/>
      <c r="S468" s="144"/>
      <c r="T468" s="144"/>
      <c r="U468" s="144"/>
      <c r="V468" s="144"/>
      <c r="W468" s="144"/>
      <c r="X468" s="144"/>
      <c r="Y468" s="144"/>
      <c r="Z468" s="144"/>
    </row>
    <row r="469" spans="1:26" ht="24.75">
      <c r="A469" s="144"/>
      <c r="B469" s="141"/>
      <c r="C469" s="142"/>
      <c r="D469" s="154"/>
      <c r="E469" s="143"/>
      <c r="F469" s="144"/>
      <c r="G469" s="153"/>
      <c r="H469" s="153"/>
      <c r="I469" s="144"/>
      <c r="J469" s="144"/>
      <c r="K469" s="144"/>
      <c r="L469" s="144"/>
      <c r="M469" s="144"/>
      <c r="N469" s="144"/>
      <c r="O469" s="144"/>
      <c r="P469" s="144"/>
      <c r="Q469" s="144"/>
      <c r="R469" s="144"/>
      <c r="S469" s="144"/>
      <c r="T469" s="144"/>
      <c r="U469" s="144"/>
      <c r="V469" s="144"/>
      <c r="W469" s="144"/>
      <c r="X469" s="144"/>
      <c r="Y469" s="144"/>
      <c r="Z469" s="144"/>
    </row>
    <row r="470" spans="1:26" ht="24.75">
      <c r="A470" s="144"/>
      <c r="B470" s="141"/>
      <c r="C470" s="142"/>
      <c r="D470" s="154"/>
      <c r="E470" s="143"/>
      <c r="F470" s="144"/>
      <c r="G470" s="151"/>
      <c r="H470" s="151"/>
      <c r="I470" s="144"/>
      <c r="J470" s="144"/>
      <c r="K470" s="144"/>
      <c r="L470" s="144"/>
      <c r="M470" s="144"/>
      <c r="N470" s="144"/>
      <c r="O470" s="144"/>
      <c r="P470" s="144"/>
      <c r="Q470" s="144"/>
      <c r="R470" s="144"/>
      <c r="S470" s="144"/>
      <c r="T470" s="144"/>
      <c r="U470" s="144"/>
      <c r="V470" s="144"/>
      <c r="W470" s="144"/>
      <c r="X470" s="144"/>
      <c r="Y470" s="144"/>
      <c r="Z470" s="144"/>
    </row>
    <row r="471" spans="1:26" ht="24.75">
      <c r="A471" s="144"/>
      <c r="B471" s="141"/>
      <c r="C471" s="142"/>
      <c r="D471" s="154"/>
      <c r="E471" s="143"/>
      <c r="F471" s="144"/>
      <c r="G471" s="153"/>
      <c r="H471" s="153"/>
      <c r="I471" s="144"/>
      <c r="J471" s="144"/>
      <c r="K471" s="144"/>
      <c r="L471" s="144"/>
      <c r="M471" s="144"/>
      <c r="N471" s="144"/>
      <c r="O471" s="144"/>
      <c r="P471" s="144"/>
      <c r="Q471" s="144"/>
      <c r="R471" s="144"/>
      <c r="S471" s="144"/>
      <c r="T471" s="144"/>
      <c r="U471" s="144"/>
      <c r="V471" s="144"/>
      <c r="W471" s="144"/>
      <c r="X471" s="144"/>
      <c r="Y471" s="144"/>
      <c r="Z471" s="144"/>
    </row>
    <row r="472" spans="1:26" ht="24.75">
      <c r="A472" s="144"/>
      <c r="B472" s="141"/>
      <c r="C472" s="142"/>
      <c r="D472" s="154"/>
      <c r="E472" s="143"/>
      <c r="F472" s="144"/>
      <c r="G472" s="151"/>
      <c r="H472" s="151"/>
      <c r="I472" s="144"/>
      <c r="J472" s="144"/>
      <c r="K472" s="144"/>
      <c r="L472" s="144"/>
      <c r="M472" s="144"/>
      <c r="N472" s="144"/>
      <c r="O472" s="144"/>
      <c r="P472" s="144"/>
      <c r="Q472" s="144"/>
      <c r="R472" s="144"/>
      <c r="S472" s="144"/>
      <c r="T472" s="144"/>
      <c r="U472" s="144"/>
      <c r="V472" s="144"/>
      <c r="W472" s="144"/>
      <c r="X472" s="144"/>
      <c r="Y472" s="144"/>
      <c r="Z472" s="144"/>
    </row>
    <row r="473" spans="1:26" ht="24.75">
      <c r="A473" s="144"/>
      <c r="B473" s="141"/>
      <c r="C473" s="142"/>
      <c r="D473" s="154"/>
      <c r="E473" s="143"/>
      <c r="F473" s="144"/>
      <c r="G473" s="153"/>
      <c r="H473" s="153"/>
      <c r="I473" s="144"/>
      <c r="J473" s="144"/>
      <c r="K473" s="144"/>
      <c r="L473" s="144"/>
      <c r="M473" s="144"/>
      <c r="N473" s="144"/>
      <c r="O473" s="144"/>
      <c r="P473" s="144"/>
      <c r="Q473" s="144"/>
      <c r="R473" s="144"/>
      <c r="S473" s="144"/>
      <c r="T473" s="144"/>
      <c r="U473" s="144"/>
      <c r="V473" s="144"/>
      <c r="W473" s="144"/>
      <c r="X473" s="144"/>
      <c r="Y473" s="144"/>
      <c r="Z473" s="144"/>
    </row>
    <row r="474" spans="1:26" ht="24.75">
      <c r="A474" s="144"/>
      <c r="B474" s="141"/>
      <c r="C474" s="142"/>
      <c r="D474" s="154"/>
      <c r="E474" s="143"/>
      <c r="F474" s="144"/>
      <c r="G474" s="151"/>
      <c r="H474" s="151"/>
      <c r="I474" s="144"/>
      <c r="J474" s="144"/>
      <c r="K474" s="144"/>
      <c r="L474" s="144"/>
      <c r="M474" s="144"/>
      <c r="N474" s="144"/>
      <c r="O474" s="144"/>
      <c r="P474" s="144"/>
      <c r="Q474" s="144"/>
      <c r="R474" s="144"/>
      <c r="S474" s="144"/>
      <c r="T474" s="144"/>
      <c r="U474" s="144"/>
      <c r="V474" s="144"/>
      <c r="W474" s="144"/>
      <c r="X474" s="144"/>
      <c r="Y474" s="144"/>
      <c r="Z474" s="144"/>
    </row>
    <row r="475" spans="1:26" ht="24.75">
      <c r="A475" s="144"/>
      <c r="B475" s="141"/>
      <c r="C475" s="142"/>
      <c r="D475" s="154"/>
      <c r="E475" s="143"/>
      <c r="F475" s="144"/>
      <c r="G475" s="153"/>
      <c r="H475" s="153"/>
      <c r="I475" s="144"/>
      <c r="J475" s="144"/>
      <c r="K475" s="144"/>
      <c r="L475" s="144"/>
      <c r="M475" s="144"/>
      <c r="N475" s="144"/>
      <c r="O475" s="144"/>
      <c r="P475" s="144"/>
      <c r="Q475" s="144"/>
      <c r="R475" s="144"/>
      <c r="S475" s="144"/>
      <c r="T475" s="144"/>
      <c r="U475" s="144"/>
      <c r="V475" s="144"/>
      <c r="W475" s="144"/>
      <c r="X475" s="144"/>
      <c r="Y475" s="144"/>
      <c r="Z475" s="144"/>
    </row>
    <row r="476" spans="1:26" ht="24.75">
      <c r="A476" s="144"/>
      <c r="B476" s="141"/>
      <c r="C476" s="142"/>
      <c r="D476" s="154"/>
      <c r="E476" s="143"/>
      <c r="F476" s="144"/>
      <c r="G476" s="151"/>
      <c r="H476" s="151"/>
      <c r="I476" s="144"/>
      <c r="J476" s="144"/>
      <c r="K476" s="144"/>
      <c r="L476" s="144"/>
      <c r="M476" s="144"/>
      <c r="N476" s="144"/>
      <c r="O476" s="144"/>
      <c r="P476" s="144"/>
      <c r="Q476" s="144"/>
      <c r="R476" s="144"/>
      <c r="S476" s="144"/>
      <c r="T476" s="144"/>
      <c r="U476" s="144"/>
      <c r="V476" s="144"/>
      <c r="W476" s="144"/>
      <c r="X476" s="144"/>
      <c r="Y476" s="144"/>
      <c r="Z476" s="144"/>
    </row>
    <row r="477" spans="1:26" ht="24.75">
      <c r="A477" s="144"/>
      <c r="B477" s="141"/>
      <c r="C477" s="142"/>
      <c r="D477" s="154"/>
      <c r="E477" s="143"/>
      <c r="F477" s="144"/>
      <c r="G477" s="153"/>
      <c r="H477" s="153"/>
      <c r="I477" s="144"/>
      <c r="J477" s="144"/>
      <c r="K477" s="144"/>
      <c r="L477" s="144"/>
      <c r="M477" s="144"/>
      <c r="N477" s="144"/>
      <c r="O477" s="144"/>
      <c r="P477" s="144"/>
      <c r="Q477" s="144"/>
      <c r="R477" s="144"/>
      <c r="S477" s="144"/>
      <c r="T477" s="144"/>
      <c r="U477" s="144"/>
      <c r="V477" s="144"/>
      <c r="W477" s="144"/>
      <c r="X477" s="144"/>
      <c r="Y477" s="144"/>
      <c r="Z477" s="144"/>
    </row>
    <row r="478" spans="1:26" ht="24.75">
      <c r="A478" s="144"/>
      <c r="B478" s="141"/>
      <c r="C478" s="142"/>
      <c r="D478" s="154"/>
      <c r="E478" s="143"/>
      <c r="F478" s="144"/>
      <c r="G478" s="151"/>
      <c r="H478" s="151"/>
      <c r="I478" s="144"/>
      <c r="J478" s="144"/>
      <c r="K478" s="144"/>
      <c r="L478" s="144"/>
      <c r="M478" s="144"/>
      <c r="N478" s="144"/>
      <c r="O478" s="144"/>
      <c r="P478" s="144"/>
      <c r="Q478" s="144"/>
      <c r="R478" s="144"/>
      <c r="S478" s="144"/>
      <c r="T478" s="144"/>
      <c r="U478" s="144"/>
      <c r="V478" s="144"/>
      <c r="W478" s="144"/>
      <c r="X478" s="144"/>
      <c r="Y478" s="144"/>
      <c r="Z478" s="144"/>
    </row>
    <row r="479" spans="1:26" ht="24.75">
      <c r="A479" s="144"/>
      <c r="B479" s="141"/>
      <c r="C479" s="142"/>
      <c r="D479" s="154"/>
      <c r="E479" s="143"/>
      <c r="F479" s="144"/>
      <c r="G479" s="153"/>
      <c r="H479" s="153"/>
      <c r="I479" s="144"/>
      <c r="J479" s="144"/>
      <c r="K479" s="144"/>
      <c r="L479" s="144"/>
      <c r="M479" s="144"/>
      <c r="N479" s="144"/>
      <c r="O479" s="144"/>
      <c r="P479" s="144"/>
      <c r="Q479" s="144"/>
      <c r="R479" s="144"/>
      <c r="S479" s="144"/>
      <c r="T479" s="144"/>
      <c r="U479" s="144"/>
      <c r="V479" s="144"/>
      <c r="W479" s="144"/>
      <c r="X479" s="144"/>
      <c r="Y479" s="144"/>
      <c r="Z479" s="144"/>
    </row>
    <row r="480" spans="1:26" ht="24.75">
      <c r="A480" s="144"/>
      <c r="B480" s="141"/>
      <c r="C480" s="142"/>
      <c r="D480" s="154"/>
      <c r="E480" s="143"/>
      <c r="F480" s="144"/>
      <c r="G480" s="151"/>
      <c r="H480" s="151"/>
      <c r="I480" s="144"/>
      <c r="J480" s="144"/>
      <c r="K480" s="144"/>
      <c r="L480" s="144"/>
      <c r="M480" s="144"/>
      <c r="N480" s="144"/>
      <c r="O480" s="144"/>
      <c r="P480" s="144"/>
      <c r="Q480" s="144"/>
      <c r="R480" s="144"/>
      <c r="S480" s="144"/>
      <c r="T480" s="144"/>
      <c r="U480" s="144"/>
      <c r="V480" s="144"/>
      <c r="W480" s="144"/>
      <c r="X480" s="144"/>
      <c r="Y480" s="144"/>
      <c r="Z480" s="144"/>
    </row>
    <row r="481" spans="1:26" ht="24.75">
      <c r="A481" s="144"/>
      <c r="B481" s="141"/>
      <c r="C481" s="142"/>
      <c r="D481" s="154"/>
      <c r="E481" s="143"/>
      <c r="F481" s="144"/>
      <c r="G481" s="153"/>
      <c r="H481" s="153"/>
      <c r="I481" s="144"/>
      <c r="J481" s="144"/>
      <c r="K481" s="144"/>
      <c r="L481" s="144"/>
      <c r="M481" s="144"/>
      <c r="N481" s="144"/>
      <c r="O481" s="144"/>
      <c r="P481" s="144"/>
      <c r="Q481" s="144"/>
      <c r="R481" s="144"/>
      <c r="S481" s="144"/>
      <c r="T481" s="144"/>
      <c r="U481" s="144"/>
      <c r="V481" s="144"/>
      <c r="W481" s="144"/>
      <c r="X481" s="144"/>
      <c r="Y481" s="144"/>
      <c r="Z481" s="144"/>
    </row>
    <row r="482" spans="1:26" ht="24.75">
      <c r="A482" s="144"/>
      <c r="B482" s="141"/>
      <c r="C482" s="142"/>
      <c r="D482" s="154"/>
      <c r="E482" s="143"/>
      <c r="F482" s="144"/>
      <c r="G482" s="151"/>
      <c r="H482" s="151"/>
      <c r="I482" s="144"/>
      <c r="J482" s="144"/>
      <c r="K482" s="144"/>
      <c r="L482" s="144"/>
      <c r="M482" s="144"/>
      <c r="N482" s="144"/>
      <c r="O482" s="144"/>
      <c r="P482" s="144"/>
      <c r="Q482" s="144"/>
      <c r="R482" s="144"/>
      <c r="S482" s="144"/>
      <c r="T482" s="144"/>
      <c r="U482" s="144"/>
      <c r="V482" s="144"/>
      <c r="W482" s="144"/>
      <c r="X482" s="144"/>
      <c r="Y482" s="144"/>
      <c r="Z482" s="144"/>
    </row>
    <row r="483" spans="1:26" ht="24.75">
      <c r="A483" s="144"/>
      <c r="B483" s="141"/>
      <c r="C483" s="142"/>
      <c r="D483" s="154"/>
      <c r="E483" s="143"/>
      <c r="F483" s="144"/>
      <c r="G483" s="153"/>
      <c r="H483" s="153"/>
      <c r="I483" s="144"/>
      <c r="J483" s="144"/>
      <c r="K483" s="144"/>
      <c r="L483" s="144"/>
      <c r="M483" s="144"/>
      <c r="N483" s="144"/>
      <c r="O483" s="144"/>
      <c r="P483" s="144"/>
      <c r="Q483" s="144"/>
      <c r="R483" s="144"/>
      <c r="S483" s="144"/>
      <c r="T483" s="144"/>
      <c r="U483" s="144"/>
      <c r="V483" s="144"/>
      <c r="W483" s="144"/>
      <c r="X483" s="144"/>
      <c r="Y483" s="144"/>
      <c r="Z483" s="144"/>
    </row>
    <row r="484" spans="1:26" ht="24.75">
      <c r="A484" s="144"/>
      <c r="B484" s="141"/>
      <c r="C484" s="142"/>
      <c r="D484" s="154"/>
      <c r="E484" s="143"/>
      <c r="F484" s="144"/>
      <c r="G484" s="151"/>
      <c r="H484" s="151"/>
      <c r="I484" s="144"/>
      <c r="J484" s="144"/>
      <c r="K484" s="144"/>
      <c r="L484" s="144"/>
      <c r="M484" s="144"/>
      <c r="N484" s="144"/>
      <c r="O484" s="144"/>
      <c r="P484" s="144"/>
      <c r="Q484" s="144"/>
      <c r="R484" s="144"/>
      <c r="S484" s="144"/>
      <c r="T484" s="144"/>
      <c r="U484" s="144"/>
      <c r="V484" s="144"/>
      <c r="W484" s="144"/>
      <c r="X484" s="144"/>
      <c r="Y484" s="144"/>
      <c r="Z484" s="144"/>
    </row>
    <row r="485" spans="1:26" ht="24.75">
      <c r="A485" s="144"/>
      <c r="B485" s="141"/>
      <c r="C485" s="142"/>
      <c r="D485" s="154"/>
      <c r="E485" s="143"/>
      <c r="F485" s="144"/>
      <c r="G485" s="153"/>
      <c r="H485" s="153"/>
      <c r="I485" s="144"/>
      <c r="J485" s="144"/>
      <c r="K485" s="144"/>
      <c r="L485" s="144"/>
      <c r="M485" s="144"/>
      <c r="N485" s="144"/>
      <c r="O485" s="144"/>
      <c r="P485" s="144"/>
      <c r="Q485" s="144"/>
      <c r="R485" s="144"/>
      <c r="S485" s="144"/>
      <c r="T485" s="144"/>
      <c r="U485" s="144"/>
      <c r="V485" s="144"/>
      <c r="W485" s="144"/>
      <c r="X485" s="144"/>
      <c r="Y485" s="144"/>
      <c r="Z485" s="144"/>
    </row>
    <row r="486" spans="1:26" ht="24.75">
      <c r="A486" s="144"/>
      <c r="B486" s="141"/>
      <c r="C486" s="142"/>
      <c r="D486" s="154"/>
      <c r="E486" s="143"/>
      <c r="F486" s="144"/>
      <c r="G486" s="151"/>
      <c r="H486" s="151"/>
      <c r="I486" s="144"/>
      <c r="J486" s="144"/>
      <c r="K486" s="144"/>
      <c r="L486" s="144"/>
      <c r="M486" s="144"/>
      <c r="N486" s="144"/>
      <c r="O486" s="144"/>
      <c r="P486" s="144"/>
      <c r="Q486" s="144"/>
      <c r="R486" s="144"/>
      <c r="S486" s="144"/>
      <c r="T486" s="144"/>
      <c r="U486" s="144"/>
      <c r="V486" s="144"/>
      <c r="W486" s="144"/>
      <c r="X486" s="144"/>
      <c r="Y486" s="144"/>
      <c r="Z486" s="144"/>
    </row>
    <row r="487" spans="1:26" ht="24.75">
      <c r="A487" s="144"/>
      <c r="B487" s="141"/>
      <c r="C487" s="142"/>
      <c r="D487" s="154"/>
      <c r="E487" s="143"/>
      <c r="F487" s="144"/>
      <c r="G487" s="153"/>
      <c r="H487" s="153"/>
      <c r="I487" s="144"/>
      <c r="J487" s="144"/>
      <c r="K487" s="144"/>
      <c r="L487" s="144"/>
      <c r="M487" s="144"/>
      <c r="N487" s="144"/>
      <c r="O487" s="144"/>
      <c r="P487" s="144"/>
      <c r="Q487" s="144"/>
      <c r="R487" s="144"/>
      <c r="S487" s="144"/>
      <c r="T487" s="144"/>
      <c r="U487" s="144"/>
      <c r="V487" s="144"/>
      <c r="W487" s="144"/>
      <c r="X487" s="144"/>
      <c r="Y487" s="144"/>
      <c r="Z487" s="144"/>
    </row>
    <row r="488" spans="1:26" ht="24.75">
      <c r="A488" s="144"/>
      <c r="B488" s="141"/>
      <c r="C488" s="142"/>
      <c r="D488" s="154"/>
      <c r="E488" s="143"/>
      <c r="F488" s="144"/>
      <c r="G488" s="151"/>
      <c r="H488" s="151"/>
      <c r="I488" s="144"/>
      <c r="J488" s="144"/>
      <c r="K488" s="144"/>
      <c r="L488" s="144"/>
      <c r="M488" s="144"/>
      <c r="N488" s="144"/>
      <c r="O488" s="144"/>
      <c r="P488" s="144"/>
      <c r="Q488" s="144"/>
      <c r="R488" s="144"/>
      <c r="S488" s="144"/>
      <c r="T488" s="144"/>
      <c r="U488" s="144"/>
      <c r="V488" s="144"/>
      <c r="W488" s="144"/>
      <c r="X488" s="144"/>
      <c r="Y488" s="144"/>
      <c r="Z488" s="144"/>
    </row>
    <row r="489" spans="1:26" ht="24.75">
      <c r="A489" s="144"/>
      <c r="B489" s="141"/>
      <c r="C489" s="142"/>
      <c r="D489" s="154"/>
      <c r="E489" s="143"/>
      <c r="F489" s="144"/>
      <c r="G489" s="153"/>
      <c r="H489" s="153"/>
      <c r="I489" s="144"/>
      <c r="J489" s="144"/>
      <c r="K489" s="144"/>
      <c r="L489" s="144"/>
      <c r="M489" s="144"/>
      <c r="N489" s="144"/>
      <c r="O489" s="144"/>
      <c r="P489" s="144"/>
      <c r="Q489" s="144"/>
      <c r="R489" s="144"/>
      <c r="S489" s="144"/>
      <c r="T489" s="144"/>
      <c r="U489" s="144"/>
      <c r="V489" s="144"/>
      <c r="W489" s="144"/>
      <c r="X489" s="144"/>
      <c r="Y489" s="144"/>
      <c r="Z489" s="144"/>
    </row>
    <row r="490" spans="1:26" ht="24.75">
      <c r="A490" s="144"/>
      <c r="B490" s="141"/>
      <c r="C490" s="142"/>
      <c r="D490" s="154"/>
      <c r="E490" s="143"/>
      <c r="F490" s="144"/>
      <c r="G490" s="151"/>
      <c r="H490" s="151"/>
      <c r="I490" s="144"/>
      <c r="J490" s="144"/>
      <c r="K490" s="144"/>
      <c r="L490" s="144"/>
      <c r="M490" s="144"/>
      <c r="N490" s="144"/>
      <c r="O490" s="144"/>
      <c r="P490" s="144"/>
      <c r="Q490" s="144"/>
      <c r="R490" s="144"/>
      <c r="S490" s="144"/>
      <c r="T490" s="144"/>
      <c r="U490" s="144"/>
      <c r="V490" s="144"/>
      <c r="W490" s="144"/>
      <c r="X490" s="144"/>
      <c r="Y490" s="144"/>
      <c r="Z490" s="144"/>
    </row>
    <row r="491" spans="1:26" ht="24.75">
      <c r="A491" s="144"/>
      <c r="B491" s="141"/>
      <c r="C491" s="142"/>
      <c r="D491" s="154"/>
      <c r="E491" s="143"/>
      <c r="F491" s="144"/>
      <c r="G491" s="153"/>
      <c r="H491" s="153"/>
      <c r="I491" s="144"/>
      <c r="J491" s="144"/>
      <c r="K491" s="144"/>
      <c r="L491" s="144"/>
      <c r="M491" s="144"/>
      <c r="N491" s="144"/>
      <c r="O491" s="144"/>
      <c r="P491" s="144"/>
      <c r="Q491" s="144"/>
      <c r="R491" s="144"/>
      <c r="S491" s="144"/>
      <c r="T491" s="144"/>
      <c r="U491" s="144"/>
      <c r="V491" s="144"/>
      <c r="W491" s="144"/>
      <c r="X491" s="144"/>
      <c r="Y491" s="144"/>
      <c r="Z491" s="144"/>
    </row>
    <row r="492" spans="1:26" ht="24.75">
      <c r="A492" s="144"/>
      <c r="B492" s="141"/>
      <c r="C492" s="142"/>
      <c r="D492" s="154"/>
      <c r="E492" s="143"/>
      <c r="F492" s="144"/>
      <c r="G492" s="151"/>
      <c r="H492" s="151"/>
      <c r="I492" s="144"/>
      <c r="J492" s="144"/>
      <c r="K492" s="144"/>
      <c r="L492" s="144"/>
      <c r="M492" s="144"/>
      <c r="N492" s="144"/>
      <c r="O492" s="144"/>
      <c r="P492" s="144"/>
      <c r="Q492" s="144"/>
      <c r="R492" s="144"/>
      <c r="S492" s="144"/>
      <c r="T492" s="144"/>
      <c r="U492" s="144"/>
      <c r="V492" s="144"/>
      <c r="W492" s="144"/>
      <c r="X492" s="144"/>
      <c r="Y492" s="144"/>
      <c r="Z492" s="144"/>
    </row>
    <row r="493" spans="1:26" ht="24.75">
      <c r="A493" s="144"/>
      <c r="B493" s="141"/>
      <c r="C493" s="142"/>
      <c r="D493" s="154"/>
      <c r="E493" s="143"/>
      <c r="F493" s="144"/>
      <c r="G493" s="153"/>
      <c r="H493" s="153"/>
      <c r="I493" s="144"/>
      <c r="J493" s="144"/>
      <c r="K493" s="144"/>
      <c r="L493" s="144"/>
      <c r="M493" s="144"/>
      <c r="N493" s="144"/>
      <c r="O493" s="144"/>
      <c r="P493" s="144"/>
      <c r="Q493" s="144"/>
      <c r="R493" s="144"/>
      <c r="S493" s="144"/>
      <c r="T493" s="144"/>
      <c r="U493" s="144"/>
      <c r="V493" s="144"/>
      <c r="W493" s="144"/>
      <c r="X493" s="144"/>
      <c r="Y493" s="144"/>
      <c r="Z493" s="144"/>
    </row>
    <row r="494" spans="1:26" ht="24.75">
      <c r="A494" s="144"/>
      <c r="B494" s="141"/>
      <c r="C494" s="142"/>
      <c r="D494" s="154"/>
      <c r="E494" s="143"/>
      <c r="F494" s="144"/>
      <c r="G494" s="151"/>
      <c r="H494" s="151"/>
      <c r="I494" s="144"/>
      <c r="J494" s="144"/>
      <c r="K494" s="144"/>
      <c r="L494" s="144"/>
      <c r="M494" s="144"/>
      <c r="N494" s="144"/>
      <c r="O494" s="144"/>
      <c r="P494" s="144"/>
      <c r="Q494" s="144"/>
      <c r="R494" s="144"/>
      <c r="S494" s="144"/>
      <c r="T494" s="144"/>
      <c r="U494" s="144"/>
      <c r="V494" s="144"/>
      <c r="W494" s="144"/>
      <c r="X494" s="144"/>
      <c r="Y494" s="144"/>
      <c r="Z494" s="144"/>
    </row>
    <row r="495" spans="1:26" ht="24.75">
      <c r="A495" s="144"/>
      <c r="B495" s="141"/>
      <c r="C495" s="142"/>
      <c r="D495" s="154"/>
      <c r="E495" s="143"/>
      <c r="F495" s="144"/>
      <c r="G495" s="153"/>
      <c r="H495" s="153"/>
      <c r="I495" s="144"/>
      <c r="J495" s="144"/>
      <c r="K495" s="144"/>
      <c r="L495" s="144"/>
      <c r="M495" s="144"/>
      <c r="N495" s="144"/>
      <c r="O495" s="144"/>
      <c r="P495" s="144"/>
      <c r="Q495" s="144"/>
      <c r="R495" s="144"/>
      <c r="S495" s="144"/>
      <c r="T495" s="144"/>
      <c r="U495" s="144"/>
      <c r="V495" s="144"/>
      <c r="W495" s="144"/>
      <c r="X495" s="144"/>
      <c r="Y495" s="144"/>
      <c r="Z495" s="144"/>
    </row>
    <row r="496" spans="1:26" ht="24.75">
      <c r="A496" s="144"/>
      <c r="B496" s="141"/>
      <c r="C496" s="142"/>
      <c r="D496" s="154"/>
      <c r="E496" s="143"/>
      <c r="F496" s="144"/>
      <c r="G496" s="151"/>
      <c r="H496" s="151"/>
      <c r="I496" s="144"/>
      <c r="J496" s="144"/>
      <c r="K496" s="144"/>
      <c r="L496" s="144"/>
      <c r="M496" s="144"/>
      <c r="N496" s="144"/>
      <c r="O496" s="144"/>
      <c r="P496" s="144"/>
      <c r="Q496" s="144"/>
      <c r="R496" s="144"/>
      <c r="S496" s="144"/>
      <c r="T496" s="144"/>
      <c r="U496" s="144"/>
      <c r="V496" s="144"/>
      <c r="W496" s="144"/>
      <c r="X496" s="144"/>
      <c r="Y496" s="144"/>
      <c r="Z496" s="144"/>
    </row>
    <row r="497" spans="1:26" ht="24.75">
      <c r="A497" s="144"/>
      <c r="B497" s="141"/>
      <c r="C497" s="142"/>
      <c r="D497" s="154"/>
      <c r="E497" s="143"/>
      <c r="F497" s="144"/>
      <c r="G497" s="153"/>
      <c r="H497" s="153"/>
      <c r="I497" s="144"/>
      <c r="J497" s="144"/>
      <c r="K497" s="144"/>
      <c r="L497" s="144"/>
      <c r="M497" s="144"/>
      <c r="N497" s="144"/>
      <c r="O497" s="144"/>
      <c r="P497" s="144"/>
      <c r="Q497" s="144"/>
      <c r="R497" s="144"/>
      <c r="S497" s="144"/>
      <c r="T497" s="144"/>
      <c r="U497" s="144"/>
      <c r="V497" s="144"/>
      <c r="W497" s="144"/>
      <c r="X497" s="144"/>
      <c r="Y497" s="144"/>
      <c r="Z497" s="144"/>
    </row>
    <row r="498" spans="1:26" ht="24.75">
      <c r="A498" s="144"/>
      <c r="B498" s="141"/>
      <c r="C498" s="142"/>
      <c r="D498" s="154"/>
      <c r="E498" s="143"/>
      <c r="F498" s="144"/>
      <c r="G498" s="151"/>
      <c r="H498" s="151"/>
      <c r="I498" s="144"/>
      <c r="J498" s="144"/>
      <c r="K498" s="144"/>
      <c r="L498" s="144"/>
      <c r="M498" s="144"/>
      <c r="N498" s="144"/>
      <c r="O498" s="144"/>
      <c r="P498" s="144"/>
      <c r="Q498" s="144"/>
      <c r="R498" s="144"/>
      <c r="S498" s="144"/>
      <c r="T498" s="144"/>
      <c r="U498" s="144"/>
      <c r="V498" s="144"/>
      <c r="W498" s="144"/>
      <c r="X498" s="144"/>
      <c r="Y498" s="144"/>
      <c r="Z498" s="144"/>
    </row>
    <row r="499" spans="1:26" ht="24.75">
      <c r="A499" s="144"/>
      <c r="B499" s="141"/>
      <c r="C499" s="142"/>
      <c r="D499" s="154"/>
      <c r="E499" s="143"/>
      <c r="F499" s="144"/>
      <c r="G499" s="153"/>
      <c r="H499" s="153"/>
      <c r="I499" s="144"/>
      <c r="J499" s="144"/>
      <c r="K499" s="144"/>
      <c r="L499" s="144"/>
      <c r="M499" s="144"/>
      <c r="N499" s="144"/>
      <c r="O499" s="144"/>
      <c r="P499" s="144"/>
      <c r="Q499" s="144"/>
      <c r="R499" s="144"/>
      <c r="S499" s="144"/>
      <c r="T499" s="144"/>
      <c r="U499" s="144"/>
      <c r="V499" s="144"/>
      <c r="W499" s="144"/>
      <c r="X499" s="144"/>
      <c r="Y499" s="144"/>
      <c r="Z499" s="144"/>
    </row>
    <row r="500" spans="1:26" ht="24.75">
      <c r="A500" s="144"/>
      <c r="B500" s="141"/>
      <c r="C500" s="142"/>
      <c r="D500" s="154"/>
      <c r="E500" s="143"/>
      <c r="F500" s="144"/>
      <c r="G500" s="151"/>
      <c r="H500" s="151"/>
      <c r="I500" s="144"/>
      <c r="J500" s="144"/>
      <c r="K500" s="144"/>
      <c r="L500" s="144"/>
      <c r="M500" s="144"/>
      <c r="N500" s="144"/>
      <c r="O500" s="144"/>
      <c r="P500" s="144"/>
      <c r="Q500" s="144"/>
      <c r="R500" s="144"/>
      <c r="S500" s="144"/>
      <c r="T500" s="144"/>
      <c r="U500" s="144"/>
      <c r="V500" s="144"/>
      <c r="W500" s="144"/>
      <c r="X500" s="144"/>
      <c r="Y500" s="144"/>
      <c r="Z500" s="144"/>
    </row>
    <row r="501" spans="1:26" ht="24.75">
      <c r="A501" s="144"/>
      <c r="B501" s="141"/>
      <c r="C501" s="142"/>
      <c r="D501" s="154"/>
      <c r="E501" s="143"/>
      <c r="F501" s="144"/>
      <c r="G501" s="153"/>
      <c r="H501" s="153"/>
      <c r="I501" s="144"/>
      <c r="J501" s="144"/>
      <c r="K501" s="144"/>
      <c r="L501" s="144"/>
      <c r="M501" s="144"/>
      <c r="N501" s="144"/>
      <c r="O501" s="144"/>
      <c r="P501" s="144"/>
      <c r="Q501" s="144"/>
      <c r="R501" s="144"/>
      <c r="S501" s="144"/>
      <c r="T501" s="144"/>
      <c r="U501" s="144"/>
      <c r="V501" s="144"/>
      <c r="W501" s="144"/>
      <c r="X501" s="144"/>
      <c r="Y501" s="144"/>
      <c r="Z501" s="144"/>
    </row>
    <row r="502" spans="1:26" ht="24.75">
      <c r="A502" s="144"/>
      <c r="B502" s="141"/>
      <c r="C502" s="142"/>
      <c r="D502" s="154"/>
      <c r="E502" s="143"/>
      <c r="F502" s="144"/>
      <c r="G502" s="151"/>
      <c r="H502" s="151"/>
      <c r="I502" s="144"/>
      <c r="J502" s="144"/>
      <c r="K502" s="144"/>
      <c r="L502" s="144"/>
      <c r="M502" s="144"/>
      <c r="N502" s="144"/>
      <c r="O502" s="144"/>
      <c r="P502" s="144"/>
      <c r="Q502" s="144"/>
      <c r="R502" s="144"/>
      <c r="S502" s="144"/>
      <c r="T502" s="144"/>
      <c r="U502" s="144"/>
      <c r="V502" s="144"/>
      <c r="W502" s="144"/>
      <c r="X502" s="144"/>
      <c r="Y502" s="144"/>
      <c r="Z502" s="144"/>
    </row>
    <row r="503" spans="1:26" ht="24.75">
      <c r="A503" s="144"/>
      <c r="B503" s="141"/>
      <c r="C503" s="142"/>
      <c r="D503" s="154"/>
      <c r="E503" s="143"/>
      <c r="F503" s="144"/>
      <c r="G503" s="153"/>
      <c r="H503" s="153"/>
      <c r="I503" s="144"/>
      <c r="J503" s="144"/>
      <c r="K503" s="144"/>
      <c r="L503" s="144"/>
      <c r="M503" s="144"/>
      <c r="N503" s="144"/>
      <c r="O503" s="144"/>
      <c r="P503" s="144"/>
      <c r="Q503" s="144"/>
      <c r="R503" s="144"/>
      <c r="S503" s="144"/>
      <c r="T503" s="144"/>
      <c r="U503" s="144"/>
      <c r="V503" s="144"/>
      <c r="W503" s="144"/>
      <c r="X503" s="144"/>
      <c r="Y503" s="144"/>
      <c r="Z503" s="144"/>
    </row>
    <row r="504" spans="1:26" ht="24.75">
      <c r="A504" s="144"/>
      <c r="B504" s="141"/>
      <c r="C504" s="142"/>
      <c r="D504" s="154"/>
      <c r="E504" s="143"/>
      <c r="F504" s="144"/>
      <c r="G504" s="151"/>
      <c r="H504" s="151"/>
      <c r="I504" s="144"/>
      <c r="J504" s="144"/>
      <c r="K504" s="144"/>
      <c r="L504" s="144"/>
      <c r="M504" s="144"/>
      <c r="N504" s="144"/>
      <c r="O504" s="144"/>
      <c r="P504" s="144"/>
      <c r="Q504" s="144"/>
      <c r="R504" s="144"/>
      <c r="S504" s="144"/>
      <c r="T504" s="144"/>
      <c r="U504" s="144"/>
      <c r="V504" s="144"/>
      <c r="W504" s="144"/>
      <c r="X504" s="144"/>
      <c r="Y504" s="144"/>
      <c r="Z504" s="144"/>
    </row>
    <row r="505" spans="1:26" ht="24.75">
      <c r="A505" s="144"/>
      <c r="B505" s="141"/>
      <c r="C505" s="142"/>
      <c r="D505" s="154"/>
      <c r="E505" s="143"/>
      <c r="F505" s="144"/>
      <c r="G505" s="153"/>
      <c r="H505" s="153"/>
      <c r="I505" s="144"/>
      <c r="J505" s="144"/>
      <c r="K505" s="144"/>
      <c r="L505" s="144"/>
      <c r="M505" s="144"/>
      <c r="N505" s="144"/>
      <c r="O505" s="144"/>
      <c r="P505" s="144"/>
      <c r="Q505" s="144"/>
      <c r="R505" s="144"/>
      <c r="S505" s="144"/>
      <c r="T505" s="144"/>
      <c r="U505" s="144"/>
      <c r="V505" s="144"/>
      <c r="W505" s="144"/>
      <c r="X505" s="144"/>
      <c r="Y505" s="144"/>
      <c r="Z505" s="144"/>
    </row>
    <row r="506" spans="1:26" ht="24.75">
      <c r="A506" s="144"/>
      <c r="B506" s="141"/>
      <c r="C506" s="142"/>
      <c r="D506" s="154"/>
      <c r="E506" s="143"/>
      <c r="F506" s="144"/>
      <c r="G506" s="151"/>
      <c r="H506" s="151"/>
      <c r="I506" s="144"/>
      <c r="J506" s="144"/>
      <c r="K506" s="144"/>
      <c r="L506" s="144"/>
      <c r="M506" s="144"/>
      <c r="N506" s="144"/>
      <c r="O506" s="144"/>
      <c r="P506" s="144"/>
      <c r="Q506" s="144"/>
      <c r="R506" s="144"/>
      <c r="S506" s="144"/>
      <c r="T506" s="144"/>
      <c r="U506" s="144"/>
      <c r="V506" s="144"/>
      <c r="W506" s="144"/>
      <c r="X506" s="144"/>
      <c r="Y506" s="144"/>
      <c r="Z506" s="144"/>
    </row>
    <row r="507" spans="1:26" ht="24.75">
      <c r="A507" s="144"/>
      <c r="B507" s="141"/>
      <c r="C507" s="142"/>
      <c r="D507" s="154"/>
      <c r="E507" s="143"/>
      <c r="F507" s="144"/>
      <c r="G507" s="153"/>
      <c r="H507" s="153"/>
      <c r="I507" s="144"/>
      <c r="J507" s="144"/>
      <c r="K507" s="144"/>
      <c r="L507" s="144"/>
      <c r="M507" s="144"/>
      <c r="N507" s="144"/>
      <c r="O507" s="144"/>
      <c r="P507" s="144"/>
      <c r="Q507" s="144"/>
      <c r="R507" s="144"/>
      <c r="S507" s="144"/>
      <c r="T507" s="144"/>
      <c r="U507" s="144"/>
      <c r="V507" s="144"/>
      <c r="W507" s="144"/>
      <c r="X507" s="144"/>
      <c r="Y507" s="144"/>
      <c r="Z507" s="144"/>
    </row>
    <row r="508" spans="1:26" ht="24.75">
      <c r="A508" s="144"/>
      <c r="B508" s="141"/>
      <c r="C508" s="142"/>
      <c r="D508" s="154"/>
      <c r="E508" s="143"/>
      <c r="F508" s="144"/>
      <c r="G508" s="151"/>
      <c r="H508" s="151"/>
      <c r="I508" s="144"/>
      <c r="J508" s="144"/>
      <c r="K508" s="144"/>
      <c r="L508" s="144"/>
      <c r="M508" s="144"/>
      <c r="N508" s="144"/>
      <c r="O508" s="144"/>
      <c r="P508" s="144"/>
      <c r="Q508" s="144"/>
      <c r="R508" s="144"/>
      <c r="S508" s="144"/>
      <c r="T508" s="144"/>
      <c r="U508" s="144"/>
      <c r="V508" s="144"/>
      <c r="W508" s="144"/>
      <c r="X508" s="144"/>
      <c r="Y508" s="144"/>
      <c r="Z508" s="144"/>
    </row>
    <row r="509" spans="1:26" ht="24.75">
      <c r="A509" s="144"/>
      <c r="B509" s="141"/>
      <c r="C509" s="142"/>
      <c r="D509" s="154"/>
      <c r="E509" s="143"/>
      <c r="F509" s="144"/>
      <c r="G509" s="153"/>
      <c r="H509" s="153"/>
      <c r="I509" s="144"/>
      <c r="J509" s="144"/>
      <c r="K509" s="144"/>
      <c r="L509" s="144"/>
      <c r="M509" s="144"/>
      <c r="N509" s="144"/>
      <c r="O509" s="144"/>
      <c r="P509" s="144"/>
      <c r="Q509" s="144"/>
      <c r="R509" s="144"/>
      <c r="S509" s="144"/>
      <c r="T509" s="144"/>
      <c r="U509" s="144"/>
      <c r="V509" s="144"/>
      <c r="W509" s="144"/>
      <c r="X509" s="144"/>
      <c r="Y509" s="144"/>
      <c r="Z509" s="144"/>
    </row>
    <row r="510" spans="1:26" ht="24.75">
      <c r="A510" s="144"/>
      <c r="B510" s="141"/>
      <c r="C510" s="142"/>
      <c r="D510" s="154"/>
      <c r="E510" s="143"/>
      <c r="F510" s="144"/>
      <c r="G510" s="151"/>
      <c r="H510" s="151"/>
      <c r="I510" s="144"/>
      <c r="J510" s="144"/>
      <c r="K510" s="144"/>
      <c r="L510" s="144"/>
      <c r="M510" s="144"/>
      <c r="N510" s="144"/>
      <c r="O510" s="144"/>
      <c r="P510" s="144"/>
      <c r="Q510" s="144"/>
      <c r="R510" s="144"/>
      <c r="S510" s="144"/>
      <c r="T510" s="144"/>
      <c r="U510" s="144"/>
      <c r="V510" s="144"/>
      <c r="W510" s="144"/>
      <c r="X510" s="144"/>
      <c r="Y510" s="144"/>
      <c r="Z510" s="144"/>
    </row>
    <row r="511" spans="1:26" ht="24.75">
      <c r="A511" s="144"/>
      <c r="B511" s="141"/>
      <c r="C511" s="142"/>
      <c r="D511" s="154"/>
      <c r="E511" s="143"/>
      <c r="F511" s="144"/>
      <c r="G511" s="153"/>
      <c r="H511" s="153"/>
      <c r="I511" s="144"/>
      <c r="J511" s="144"/>
      <c r="K511" s="144"/>
      <c r="L511" s="144"/>
      <c r="M511" s="144"/>
      <c r="N511" s="144"/>
      <c r="O511" s="144"/>
      <c r="P511" s="144"/>
      <c r="Q511" s="144"/>
      <c r="R511" s="144"/>
      <c r="S511" s="144"/>
      <c r="T511" s="144"/>
      <c r="U511" s="144"/>
      <c r="V511" s="144"/>
      <c r="W511" s="144"/>
      <c r="X511" s="144"/>
      <c r="Y511" s="144"/>
      <c r="Z511" s="144"/>
    </row>
    <row r="512" spans="1:26" ht="24.75">
      <c r="A512" s="144"/>
      <c r="B512" s="141"/>
      <c r="C512" s="142"/>
      <c r="D512" s="154"/>
      <c r="E512" s="143"/>
      <c r="F512" s="144"/>
      <c r="G512" s="151"/>
      <c r="H512" s="151"/>
      <c r="I512" s="144"/>
      <c r="J512" s="144"/>
      <c r="K512" s="144"/>
      <c r="L512" s="144"/>
      <c r="M512" s="144"/>
      <c r="N512" s="144"/>
      <c r="O512" s="144"/>
      <c r="P512" s="144"/>
      <c r="Q512" s="144"/>
      <c r="R512" s="144"/>
      <c r="S512" s="144"/>
      <c r="T512" s="144"/>
      <c r="U512" s="144"/>
      <c r="V512" s="144"/>
      <c r="W512" s="144"/>
      <c r="X512" s="144"/>
      <c r="Y512" s="144"/>
      <c r="Z512" s="144"/>
    </row>
    <row r="513" spans="1:26" ht="24.75">
      <c r="A513" s="144"/>
      <c r="B513" s="141"/>
      <c r="C513" s="142"/>
      <c r="D513" s="154"/>
      <c r="E513" s="143"/>
      <c r="F513" s="144"/>
      <c r="G513" s="153"/>
      <c r="H513" s="153"/>
      <c r="I513" s="144"/>
      <c r="J513" s="144"/>
      <c r="K513" s="144"/>
      <c r="L513" s="144"/>
      <c r="M513" s="144"/>
      <c r="N513" s="144"/>
      <c r="O513" s="144"/>
      <c r="P513" s="144"/>
      <c r="Q513" s="144"/>
      <c r="R513" s="144"/>
      <c r="S513" s="144"/>
      <c r="T513" s="144"/>
      <c r="U513" s="144"/>
      <c r="V513" s="144"/>
      <c r="W513" s="144"/>
      <c r="X513" s="144"/>
      <c r="Y513" s="144"/>
      <c r="Z513" s="144"/>
    </row>
    <row r="514" spans="1:26" ht="24.75">
      <c r="A514" s="144"/>
      <c r="B514" s="141"/>
      <c r="C514" s="142"/>
      <c r="D514" s="154"/>
      <c r="E514" s="143"/>
      <c r="F514" s="144"/>
      <c r="G514" s="151"/>
      <c r="H514" s="151"/>
      <c r="I514" s="144"/>
      <c r="J514" s="144"/>
      <c r="K514" s="144"/>
      <c r="L514" s="144"/>
      <c r="M514" s="144"/>
      <c r="N514" s="144"/>
      <c r="O514" s="144"/>
      <c r="P514" s="144"/>
      <c r="Q514" s="144"/>
      <c r="R514" s="144"/>
      <c r="S514" s="144"/>
      <c r="T514" s="144"/>
      <c r="U514" s="144"/>
      <c r="V514" s="144"/>
      <c r="W514" s="144"/>
      <c r="X514" s="144"/>
      <c r="Y514" s="144"/>
      <c r="Z514" s="144"/>
    </row>
    <row r="515" spans="1:26" ht="24.75">
      <c r="A515" s="144"/>
      <c r="B515" s="141"/>
      <c r="C515" s="142"/>
      <c r="D515" s="154"/>
      <c r="E515" s="143"/>
      <c r="F515" s="144"/>
      <c r="G515" s="153"/>
      <c r="H515" s="153"/>
      <c r="I515" s="144"/>
      <c r="J515" s="144"/>
      <c r="K515" s="144"/>
      <c r="L515" s="144"/>
      <c r="M515" s="144"/>
      <c r="N515" s="144"/>
      <c r="O515" s="144"/>
      <c r="P515" s="144"/>
      <c r="Q515" s="144"/>
      <c r="R515" s="144"/>
      <c r="S515" s="144"/>
      <c r="T515" s="144"/>
      <c r="U515" s="144"/>
      <c r="V515" s="144"/>
      <c r="W515" s="144"/>
      <c r="X515" s="144"/>
      <c r="Y515" s="144"/>
      <c r="Z515" s="144"/>
    </row>
    <row r="516" spans="1:26" ht="24.75">
      <c r="A516" s="144"/>
      <c r="B516" s="141"/>
      <c r="C516" s="142"/>
      <c r="D516" s="154"/>
      <c r="E516" s="143"/>
      <c r="F516" s="144"/>
      <c r="G516" s="151"/>
      <c r="H516" s="151"/>
      <c r="I516" s="144"/>
      <c r="J516" s="144"/>
      <c r="K516" s="144"/>
      <c r="L516" s="144"/>
      <c r="M516" s="144"/>
      <c r="N516" s="144"/>
      <c r="O516" s="144"/>
      <c r="P516" s="144"/>
      <c r="Q516" s="144"/>
      <c r="R516" s="144"/>
      <c r="S516" s="144"/>
      <c r="T516" s="144"/>
      <c r="U516" s="144"/>
      <c r="V516" s="144"/>
      <c r="W516" s="144"/>
      <c r="X516" s="144"/>
      <c r="Y516" s="144"/>
      <c r="Z516" s="144"/>
    </row>
    <row r="517" spans="1:26" ht="24.75">
      <c r="A517" s="144"/>
      <c r="B517" s="141"/>
      <c r="C517" s="142"/>
      <c r="D517" s="154"/>
      <c r="E517" s="143"/>
      <c r="F517" s="144"/>
      <c r="G517" s="153"/>
      <c r="H517" s="153"/>
      <c r="I517" s="144"/>
      <c r="J517" s="144"/>
      <c r="K517" s="144"/>
      <c r="L517" s="144"/>
      <c r="M517" s="144"/>
      <c r="N517" s="144"/>
      <c r="O517" s="144"/>
      <c r="P517" s="144"/>
      <c r="Q517" s="144"/>
      <c r="R517" s="144"/>
      <c r="S517" s="144"/>
      <c r="T517" s="144"/>
      <c r="U517" s="144"/>
      <c r="V517" s="144"/>
      <c r="W517" s="144"/>
      <c r="X517" s="144"/>
      <c r="Y517" s="144"/>
      <c r="Z517" s="144"/>
    </row>
    <row r="518" spans="1:26" ht="24.75">
      <c r="A518" s="144"/>
      <c r="B518" s="141"/>
      <c r="C518" s="142"/>
      <c r="D518" s="154"/>
      <c r="E518" s="143"/>
      <c r="F518" s="144"/>
      <c r="G518" s="151"/>
      <c r="H518" s="151"/>
      <c r="I518" s="144"/>
      <c r="J518" s="144"/>
      <c r="K518" s="144"/>
      <c r="L518" s="144"/>
      <c r="M518" s="144"/>
      <c r="N518" s="144"/>
      <c r="O518" s="144"/>
      <c r="P518" s="144"/>
      <c r="Q518" s="144"/>
      <c r="R518" s="144"/>
      <c r="S518" s="144"/>
      <c r="T518" s="144"/>
      <c r="U518" s="144"/>
      <c r="V518" s="144"/>
      <c r="W518" s="144"/>
      <c r="X518" s="144"/>
      <c r="Y518" s="144"/>
      <c r="Z518" s="144"/>
    </row>
    <row r="519" spans="1:26" ht="24.75">
      <c r="A519" s="144"/>
      <c r="B519" s="141"/>
      <c r="C519" s="142"/>
      <c r="D519" s="154"/>
      <c r="E519" s="143"/>
      <c r="F519" s="144"/>
      <c r="G519" s="153"/>
      <c r="H519" s="153"/>
      <c r="I519" s="144"/>
      <c r="J519" s="144"/>
      <c r="K519" s="144"/>
      <c r="L519" s="144"/>
      <c r="M519" s="144"/>
      <c r="N519" s="144"/>
      <c r="O519" s="144"/>
      <c r="P519" s="144"/>
      <c r="Q519" s="144"/>
      <c r="R519" s="144"/>
      <c r="S519" s="144"/>
      <c r="T519" s="144"/>
      <c r="U519" s="144"/>
      <c r="V519" s="144"/>
      <c r="W519" s="144"/>
      <c r="X519" s="144"/>
      <c r="Y519" s="144"/>
      <c r="Z519" s="144"/>
    </row>
    <row r="520" spans="1:26" ht="24.75">
      <c r="A520" s="144"/>
      <c r="B520" s="141"/>
      <c r="C520" s="142"/>
      <c r="D520" s="154"/>
      <c r="E520" s="143"/>
      <c r="F520" s="144"/>
      <c r="G520" s="151"/>
      <c r="H520" s="151"/>
      <c r="I520" s="144"/>
      <c r="J520" s="144"/>
      <c r="K520" s="144"/>
      <c r="L520" s="144"/>
      <c r="M520" s="144"/>
      <c r="N520" s="144"/>
      <c r="O520" s="144"/>
      <c r="P520" s="144"/>
      <c r="Q520" s="144"/>
      <c r="R520" s="144"/>
      <c r="S520" s="144"/>
      <c r="T520" s="144"/>
      <c r="U520" s="144"/>
      <c r="V520" s="144"/>
      <c r="W520" s="144"/>
      <c r="X520" s="144"/>
      <c r="Y520" s="144"/>
      <c r="Z520" s="144"/>
    </row>
    <row r="521" spans="1:26" ht="24.75">
      <c r="A521" s="144"/>
      <c r="B521" s="141"/>
      <c r="C521" s="142"/>
      <c r="D521" s="154"/>
      <c r="E521" s="143"/>
      <c r="F521" s="144"/>
      <c r="G521" s="153"/>
      <c r="H521" s="153"/>
      <c r="I521" s="144"/>
      <c r="J521" s="144"/>
      <c r="K521" s="144"/>
      <c r="L521" s="144"/>
      <c r="M521" s="144"/>
      <c r="N521" s="144"/>
      <c r="O521" s="144"/>
      <c r="P521" s="144"/>
      <c r="Q521" s="144"/>
      <c r="R521" s="144"/>
      <c r="S521" s="144"/>
      <c r="T521" s="144"/>
      <c r="U521" s="144"/>
      <c r="V521" s="144"/>
      <c r="W521" s="144"/>
      <c r="X521" s="144"/>
      <c r="Y521" s="144"/>
      <c r="Z521" s="144"/>
    </row>
    <row r="522" spans="1:26" ht="24.75">
      <c r="A522" s="144"/>
      <c r="B522" s="141"/>
      <c r="C522" s="142"/>
      <c r="D522" s="154"/>
      <c r="E522" s="143"/>
      <c r="F522" s="144"/>
      <c r="G522" s="151"/>
      <c r="H522" s="151"/>
      <c r="I522" s="144"/>
      <c r="J522" s="144"/>
      <c r="K522" s="144"/>
      <c r="L522" s="144"/>
      <c r="M522" s="144"/>
      <c r="N522" s="144"/>
      <c r="O522" s="144"/>
      <c r="P522" s="144"/>
      <c r="Q522" s="144"/>
      <c r="R522" s="144"/>
      <c r="S522" s="144"/>
      <c r="T522" s="144"/>
      <c r="U522" s="144"/>
      <c r="V522" s="144"/>
      <c r="W522" s="144"/>
      <c r="X522" s="144"/>
      <c r="Y522" s="144"/>
      <c r="Z522" s="144"/>
    </row>
    <row r="523" spans="1:26" ht="24.75">
      <c r="A523" s="144"/>
      <c r="B523" s="141"/>
      <c r="C523" s="142"/>
      <c r="D523" s="154"/>
      <c r="E523" s="143"/>
      <c r="F523" s="144"/>
      <c r="G523" s="153"/>
      <c r="H523" s="153"/>
      <c r="I523" s="144"/>
      <c r="J523" s="144"/>
      <c r="K523" s="144"/>
      <c r="L523" s="144"/>
      <c r="M523" s="144"/>
      <c r="N523" s="144"/>
      <c r="O523" s="144"/>
      <c r="P523" s="144"/>
      <c r="Q523" s="144"/>
      <c r="R523" s="144"/>
      <c r="S523" s="144"/>
      <c r="T523" s="144"/>
      <c r="U523" s="144"/>
      <c r="V523" s="144"/>
      <c r="W523" s="144"/>
      <c r="X523" s="144"/>
      <c r="Y523" s="144"/>
      <c r="Z523" s="144"/>
    </row>
    <row r="524" spans="1:26" ht="24.75">
      <c r="A524" s="144"/>
      <c r="B524" s="141"/>
      <c r="C524" s="142"/>
      <c r="D524" s="154"/>
      <c r="E524" s="143"/>
      <c r="F524" s="144"/>
      <c r="G524" s="151"/>
      <c r="H524" s="151"/>
      <c r="I524" s="144"/>
      <c r="J524" s="144"/>
      <c r="K524" s="144"/>
      <c r="L524" s="144"/>
      <c r="M524" s="144"/>
      <c r="N524" s="144"/>
      <c r="O524" s="144"/>
      <c r="P524" s="144"/>
      <c r="Q524" s="144"/>
      <c r="R524" s="144"/>
      <c r="S524" s="144"/>
      <c r="T524" s="144"/>
      <c r="U524" s="144"/>
      <c r="V524" s="144"/>
      <c r="W524" s="144"/>
      <c r="X524" s="144"/>
      <c r="Y524" s="144"/>
      <c r="Z524" s="144"/>
    </row>
    <row r="525" spans="1:26" ht="24.75">
      <c r="A525" s="144"/>
      <c r="B525" s="141"/>
      <c r="C525" s="142"/>
      <c r="D525" s="154"/>
      <c r="E525" s="143"/>
      <c r="F525" s="144"/>
      <c r="G525" s="153"/>
      <c r="H525" s="153"/>
      <c r="I525" s="144"/>
      <c r="J525" s="144"/>
      <c r="K525" s="144"/>
      <c r="L525" s="144"/>
      <c r="M525" s="144"/>
      <c r="N525" s="144"/>
      <c r="O525" s="144"/>
      <c r="P525" s="144"/>
      <c r="Q525" s="144"/>
      <c r="R525" s="144"/>
      <c r="S525" s="144"/>
      <c r="T525" s="144"/>
      <c r="U525" s="144"/>
      <c r="V525" s="144"/>
      <c r="W525" s="144"/>
      <c r="X525" s="144"/>
      <c r="Y525" s="144"/>
      <c r="Z525" s="144"/>
    </row>
    <row r="526" spans="1:26" ht="24.75">
      <c r="A526" s="144"/>
      <c r="B526" s="141"/>
      <c r="C526" s="142"/>
      <c r="D526" s="154"/>
      <c r="E526" s="143"/>
      <c r="F526" s="144"/>
      <c r="G526" s="151"/>
      <c r="H526" s="151"/>
      <c r="I526" s="144"/>
      <c r="J526" s="144"/>
      <c r="K526" s="144"/>
      <c r="L526" s="144"/>
      <c r="M526" s="144"/>
      <c r="N526" s="144"/>
      <c r="O526" s="144"/>
      <c r="P526" s="144"/>
      <c r="Q526" s="144"/>
      <c r="R526" s="144"/>
      <c r="S526" s="144"/>
      <c r="T526" s="144"/>
      <c r="U526" s="144"/>
      <c r="V526" s="144"/>
      <c r="W526" s="144"/>
      <c r="X526" s="144"/>
      <c r="Y526" s="144"/>
      <c r="Z526" s="144"/>
    </row>
    <row r="527" spans="1:26" ht="24.75">
      <c r="A527" s="144"/>
      <c r="B527" s="141"/>
      <c r="C527" s="142"/>
      <c r="D527" s="154"/>
      <c r="E527" s="143"/>
      <c r="F527" s="144"/>
      <c r="G527" s="153"/>
      <c r="H527" s="153"/>
      <c r="I527" s="144"/>
      <c r="J527" s="144"/>
      <c r="K527" s="144"/>
      <c r="L527" s="144"/>
      <c r="M527" s="144"/>
      <c r="N527" s="144"/>
      <c r="O527" s="144"/>
      <c r="P527" s="144"/>
      <c r="Q527" s="144"/>
      <c r="R527" s="144"/>
      <c r="S527" s="144"/>
      <c r="T527" s="144"/>
      <c r="U527" s="144"/>
      <c r="V527" s="144"/>
      <c r="W527" s="144"/>
      <c r="X527" s="144"/>
      <c r="Y527" s="144"/>
      <c r="Z527" s="144"/>
    </row>
    <row r="528" spans="1:26" ht="24.75">
      <c r="A528" s="144"/>
      <c r="B528" s="141"/>
      <c r="C528" s="142"/>
      <c r="D528" s="154"/>
      <c r="E528" s="143"/>
      <c r="F528" s="144"/>
      <c r="G528" s="151"/>
      <c r="H528" s="151"/>
      <c r="I528" s="144"/>
      <c r="J528" s="144"/>
      <c r="K528" s="144"/>
      <c r="L528" s="144"/>
      <c r="M528" s="144"/>
      <c r="N528" s="144"/>
      <c r="O528" s="144"/>
      <c r="P528" s="144"/>
      <c r="Q528" s="144"/>
      <c r="R528" s="144"/>
      <c r="S528" s="144"/>
      <c r="T528" s="144"/>
      <c r="U528" s="144"/>
      <c r="V528" s="144"/>
      <c r="W528" s="144"/>
      <c r="X528" s="144"/>
      <c r="Y528" s="144"/>
      <c r="Z528" s="144"/>
    </row>
    <row r="529" spans="1:26" ht="24.75">
      <c r="A529" s="144"/>
      <c r="B529" s="141"/>
      <c r="C529" s="142"/>
      <c r="D529" s="154"/>
      <c r="E529" s="143"/>
      <c r="F529" s="144"/>
      <c r="G529" s="153"/>
      <c r="H529" s="153"/>
      <c r="I529" s="144"/>
      <c r="J529" s="144"/>
      <c r="K529" s="144"/>
      <c r="L529" s="144"/>
      <c r="M529" s="144"/>
      <c r="N529" s="144"/>
      <c r="O529" s="144"/>
      <c r="P529" s="144"/>
      <c r="Q529" s="144"/>
      <c r="R529" s="144"/>
      <c r="S529" s="144"/>
      <c r="T529" s="144"/>
      <c r="U529" s="144"/>
      <c r="V529" s="144"/>
      <c r="W529" s="144"/>
      <c r="X529" s="144"/>
      <c r="Y529" s="144"/>
      <c r="Z529" s="144"/>
    </row>
    <row r="530" spans="1:26" ht="24.75">
      <c r="A530" s="144"/>
      <c r="B530" s="141"/>
      <c r="C530" s="142"/>
      <c r="D530" s="154"/>
      <c r="E530" s="143"/>
      <c r="F530" s="144"/>
      <c r="G530" s="151"/>
      <c r="H530" s="151"/>
      <c r="I530" s="144"/>
      <c r="J530" s="144"/>
      <c r="K530" s="144"/>
      <c r="L530" s="144"/>
      <c r="M530" s="144"/>
      <c r="N530" s="144"/>
      <c r="O530" s="144"/>
      <c r="P530" s="144"/>
      <c r="Q530" s="144"/>
      <c r="R530" s="144"/>
      <c r="S530" s="144"/>
      <c r="T530" s="144"/>
      <c r="U530" s="144"/>
      <c r="V530" s="144"/>
      <c r="W530" s="144"/>
      <c r="X530" s="144"/>
      <c r="Y530" s="144"/>
      <c r="Z530" s="144"/>
    </row>
    <row r="531" spans="1:26" ht="24.75">
      <c r="A531" s="144"/>
      <c r="B531" s="141"/>
      <c r="C531" s="142"/>
      <c r="D531" s="154"/>
      <c r="E531" s="143"/>
      <c r="F531" s="144"/>
      <c r="G531" s="153"/>
      <c r="H531" s="153"/>
      <c r="I531" s="144"/>
      <c r="J531" s="144"/>
      <c r="K531" s="144"/>
      <c r="L531" s="144"/>
      <c r="M531" s="144"/>
      <c r="N531" s="144"/>
      <c r="O531" s="144"/>
      <c r="P531" s="144"/>
      <c r="Q531" s="144"/>
      <c r="R531" s="144"/>
      <c r="S531" s="144"/>
      <c r="T531" s="144"/>
      <c r="U531" s="144"/>
      <c r="V531" s="144"/>
      <c r="W531" s="144"/>
      <c r="X531" s="144"/>
      <c r="Y531" s="144"/>
      <c r="Z531" s="144"/>
    </row>
    <row r="532" spans="1:26" ht="24.75">
      <c r="A532" s="144"/>
      <c r="B532" s="141"/>
      <c r="C532" s="142"/>
      <c r="D532" s="154"/>
      <c r="E532" s="143"/>
      <c r="F532" s="144"/>
      <c r="G532" s="151"/>
      <c r="H532" s="151"/>
      <c r="I532" s="144"/>
      <c r="J532" s="144"/>
      <c r="K532" s="144"/>
      <c r="L532" s="144"/>
      <c r="M532" s="144"/>
      <c r="N532" s="144"/>
      <c r="O532" s="144"/>
      <c r="P532" s="144"/>
      <c r="Q532" s="144"/>
      <c r="R532" s="144"/>
      <c r="S532" s="144"/>
      <c r="T532" s="144"/>
      <c r="U532" s="144"/>
      <c r="V532" s="144"/>
      <c r="W532" s="144"/>
      <c r="X532" s="144"/>
      <c r="Y532" s="144"/>
      <c r="Z532" s="144"/>
    </row>
    <row r="533" spans="1:26" ht="24.75">
      <c r="A533" s="144"/>
      <c r="B533" s="141"/>
      <c r="C533" s="142"/>
      <c r="D533" s="154"/>
      <c r="E533" s="143"/>
      <c r="F533" s="144"/>
      <c r="G533" s="153"/>
      <c r="H533" s="153"/>
      <c r="I533" s="144"/>
      <c r="J533" s="144"/>
      <c r="K533" s="144"/>
      <c r="L533" s="144"/>
      <c r="M533" s="144"/>
      <c r="N533" s="144"/>
      <c r="O533" s="144"/>
      <c r="P533" s="144"/>
      <c r="Q533" s="144"/>
      <c r="R533" s="144"/>
      <c r="S533" s="144"/>
      <c r="T533" s="144"/>
      <c r="U533" s="144"/>
      <c r="V533" s="144"/>
      <c r="W533" s="144"/>
      <c r="X533" s="144"/>
      <c r="Y533" s="144"/>
      <c r="Z533" s="144"/>
    </row>
    <row r="534" spans="1:26" ht="24.75">
      <c r="A534" s="144"/>
      <c r="B534" s="141"/>
      <c r="C534" s="142"/>
      <c r="D534" s="154"/>
      <c r="E534" s="143"/>
      <c r="F534" s="144"/>
      <c r="G534" s="151"/>
      <c r="H534" s="151"/>
      <c r="I534" s="144"/>
      <c r="J534" s="144"/>
      <c r="K534" s="144"/>
      <c r="L534" s="144"/>
      <c r="M534" s="144"/>
      <c r="N534" s="144"/>
      <c r="O534" s="144"/>
      <c r="P534" s="144"/>
      <c r="Q534" s="144"/>
      <c r="R534" s="144"/>
      <c r="S534" s="144"/>
      <c r="T534" s="144"/>
      <c r="U534" s="144"/>
      <c r="V534" s="144"/>
      <c r="W534" s="144"/>
      <c r="X534" s="144"/>
      <c r="Y534" s="144"/>
      <c r="Z534" s="144"/>
    </row>
    <row r="535" spans="1:26" ht="24.75">
      <c r="A535" s="144"/>
      <c r="B535" s="141"/>
      <c r="C535" s="142"/>
      <c r="D535" s="154"/>
      <c r="E535" s="143"/>
      <c r="F535" s="144"/>
      <c r="G535" s="153"/>
      <c r="H535" s="153"/>
      <c r="I535" s="144"/>
      <c r="J535" s="144"/>
      <c r="K535" s="144"/>
      <c r="L535" s="144"/>
      <c r="M535" s="144"/>
      <c r="N535" s="144"/>
      <c r="O535" s="144"/>
      <c r="P535" s="144"/>
      <c r="Q535" s="144"/>
      <c r="R535" s="144"/>
      <c r="S535" s="144"/>
      <c r="T535" s="144"/>
      <c r="U535" s="144"/>
      <c r="V535" s="144"/>
      <c r="W535" s="144"/>
      <c r="X535" s="144"/>
      <c r="Y535" s="144"/>
      <c r="Z535" s="144"/>
    </row>
    <row r="536" spans="1:26" ht="24.75">
      <c r="A536" s="144"/>
      <c r="B536" s="141"/>
      <c r="C536" s="142"/>
      <c r="D536" s="154"/>
      <c r="E536" s="143"/>
      <c r="F536" s="144"/>
      <c r="G536" s="151"/>
      <c r="H536" s="151"/>
      <c r="I536" s="144"/>
      <c r="J536" s="144"/>
      <c r="K536" s="144"/>
      <c r="L536" s="144"/>
      <c r="M536" s="144"/>
      <c r="N536" s="144"/>
      <c r="O536" s="144"/>
      <c r="P536" s="144"/>
      <c r="Q536" s="144"/>
      <c r="R536" s="144"/>
      <c r="S536" s="144"/>
      <c r="T536" s="144"/>
      <c r="U536" s="144"/>
      <c r="V536" s="144"/>
      <c r="W536" s="144"/>
      <c r="X536" s="144"/>
      <c r="Y536" s="144"/>
      <c r="Z536" s="144"/>
    </row>
    <row r="537" spans="1:26" ht="24.75">
      <c r="A537" s="144"/>
      <c r="B537" s="141"/>
      <c r="C537" s="142"/>
      <c r="D537" s="154"/>
      <c r="E537" s="143"/>
      <c r="F537" s="144"/>
      <c r="G537" s="153"/>
      <c r="H537" s="153"/>
      <c r="I537" s="144"/>
      <c r="J537" s="144"/>
      <c r="K537" s="144"/>
      <c r="L537" s="144"/>
      <c r="M537" s="144"/>
      <c r="N537" s="144"/>
      <c r="O537" s="144"/>
      <c r="P537" s="144"/>
      <c r="Q537" s="144"/>
      <c r="R537" s="144"/>
      <c r="S537" s="144"/>
      <c r="T537" s="144"/>
      <c r="U537" s="144"/>
      <c r="V537" s="144"/>
      <c r="W537" s="144"/>
      <c r="X537" s="144"/>
      <c r="Y537" s="144"/>
      <c r="Z537" s="144"/>
    </row>
    <row r="538" spans="1:26" ht="24.75">
      <c r="A538" s="144"/>
      <c r="B538" s="141"/>
      <c r="C538" s="142"/>
      <c r="D538" s="154"/>
      <c r="E538" s="143"/>
      <c r="F538" s="144"/>
      <c r="G538" s="151"/>
      <c r="H538" s="151"/>
      <c r="I538" s="144"/>
      <c r="J538" s="144"/>
      <c r="K538" s="144"/>
      <c r="L538" s="144"/>
      <c r="M538" s="144"/>
      <c r="N538" s="144"/>
      <c r="O538" s="144"/>
      <c r="P538" s="144"/>
      <c r="Q538" s="144"/>
      <c r="R538" s="144"/>
      <c r="S538" s="144"/>
      <c r="T538" s="144"/>
      <c r="U538" s="144"/>
      <c r="V538" s="144"/>
      <c r="W538" s="144"/>
      <c r="X538" s="144"/>
      <c r="Y538" s="144"/>
      <c r="Z538" s="144"/>
    </row>
    <row r="539" spans="1:26" ht="24.75">
      <c r="A539" s="144"/>
      <c r="B539" s="141"/>
      <c r="C539" s="142"/>
      <c r="D539" s="154"/>
      <c r="E539" s="143"/>
      <c r="F539" s="144"/>
      <c r="G539" s="153"/>
      <c r="H539" s="153"/>
      <c r="I539" s="144"/>
      <c r="J539" s="144"/>
      <c r="K539" s="144"/>
      <c r="L539" s="144"/>
      <c r="M539" s="144"/>
      <c r="N539" s="144"/>
      <c r="O539" s="144"/>
      <c r="P539" s="144"/>
      <c r="Q539" s="144"/>
      <c r="R539" s="144"/>
      <c r="S539" s="144"/>
      <c r="T539" s="144"/>
      <c r="U539" s="144"/>
      <c r="V539" s="144"/>
      <c r="W539" s="144"/>
      <c r="X539" s="144"/>
      <c r="Y539" s="144"/>
      <c r="Z539" s="144"/>
    </row>
    <row r="540" spans="1:26" ht="24.75">
      <c r="A540" s="144"/>
      <c r="B540" s="141"/>
      <c r="C540" s="142"/>
      <c r="D540" s="154"/>
      <c r="E540" s="143"/>
      <c r="F540" s="144"/>
      <c r="G540" s="151"/>
      <c r="H540" s="151"/>
      <c r="I540" s="144"/>
      <c r="J540" s="144"/>
      <c r="K540" s="144"/>
      <c r="L540" s="144"/>
      <c r="M540" s="144"/>
      <c r="N540" s="144"/>
      <c r="O540" s="144"/>
      <c r="P540" s="144"/>
      <c r="Q540" s="144"/>
      <c r="R540" s="144"/>
      <c r="S540" s="144"/>
      <c r="T540" s="144"/>
      <c r="U540" s="144"/>
      <c r="V540" s="144"/>
      <c r="W540" s="144"/>
      <c r="X540" s="144"/>
      <c r="Y540" s="144"/>
      <c r="Z540" s="144"/>
    </row>
    <row r="541" spans="1:26" ht="24.75">
      <c r="A541" s="144"/>
      <c r="B541" s="141"/>
      <c r="C541" s="142"/>
      <c r="D541" s="154"/>
      <c r="E541" s="143"/>
      <c r="F541" s="144"/>
      <c r="G541" s="153"/>
      <c r="H541" s="153"/>
      <c r="I541" s="144"/>
      <c r="J541" s="144"/>
      <c r="K541" s="144"/>
      <c r="L541" s="144"/>
      <c r="M541" s="144"/>
      <c r="N541" s="144"/>
      <c r="O541" s="144"/>
      <c r="P541" s="144"/>
      <c r="Q541" s="144"/>
      <c r="R541" s="144"/>
      <c r="S541" s="144"/>
      <c r="T541" s="144"/>
      <c r="U541" s="144"/>
      <c r="V541" s="144"/>
      <c r="W541" s="144"/>
      <c r="X541" s="144"/>
      <c r="Y541" s="144"/>
      <c r="Z541" s="144"/>
    </row>
    <row r="542" spans="1:26" ht="24.75">
      <c r="A542" s="144"/>
      <c r="B542" s="141"/>
      <c r="C542" s="142"/>
      <c r="D542" s="154"/>
      <c r="E542" s="143"/>
      <c r="F542" s="144"/>
      <c r="G542" s="151"/>
      <c r="H542" s="151"/>
      <c r="I542" s="144"/>
      <c r="J542" s="144"/>
      <c r="K542" s="144"/>
      <c r="L542" s="144"/>
      <c r="M542" s="144"/>
      <c r="N542" s="144"/>
      <c r="O542" s="144"/>
      <c r="P542" s="144"/>
      <c r="Q542" s="144"/>
      <c r="R542" s="144"/>
      <c r="S542" s="144"/>
      <c r="T542" s="144"/>
      <c r="U542" s="144"/>
      <c r="V542" s="144"/>
      <c r="W542" s="144"/>
      <c r="X542" s="144"/>
      <c r="Y542" s="144"/>
      <c r="Z542" s="144"/>
    </row>
    <row r="543" spans="1:26" ht="24.75">
      <c r="A543" s="144"/>
      <c r="B543" s="141"/>
      <c r="C543" s="142"/>
      <c r="D543" s="154"/>
      <c r="E543" s="143"/>
      <c r="F543" s="144"/>
      <c r="G543" s="153"/>
      <c r="H543" s="153"/>
      <c r="I543" s="144"/>
      <c r="J543" s="144"/>
      <c r="K543" s="144"/>
      <c r="L543" s="144"/>
      <c r="M543" s="144"/>
      <c r="N543" s="144"/>
      <c r="O543" s="144"/>
      <c r="P543" s="144"/>
      <c r="Q543" s="144"/>
      <c r="R543" s="144"/>
      <c r="S543" s="144"/>
      <c r="T543" s="144"/>
      <c r="U543" s="144"/>
      <c r="V543" s="144"/>
      <c r="W543" s="144"/>
      <c r="X543" s="144"/>
      <c r="Y543" s="144"/>
      <c r="Z543" s="144"/>
    </row>
    <row r="544" spans="1:26" ht="24.75">
      <c r="A544" s="144"/>
      <c r="B544" s="141"/>
      <c r="C544" s="142"/>
      <c r="D544" s="154"/>
      <c r="E544" s="143"/>
      <c r="F544" s="144"/>
      <c r="G544" s="151"/>
      <c r="H544" s="151"/>
      <c r="I544" s="144"/>
      <c r="J544" s="144"/>
      <c r="K544" s="144"/>
      <c r="L544" s="144"/>
      <c r="M544" s="144"/>
      <c r="N544" s="144"/>
      <c r="O544" s="144"/>
      <c r="P544" s="144"/>
      <c r="Q544" s="144"/>
      <c r="R544" s="144"/>
      <c r="S544" s="144"/>
      <c r="T544" s="144"/>
      <c r="U544" s="144"/>
      <c r="V544" s="144"/>
      <c r="W544" s="144"/>
      <c r="X544" s="144"/>
      <c r="Y544" s="144"/>
      <c r="Z544" s="144"/>
    </row>
    <row r="545" spans="1:26" ht="24.75">
      <c r="A545" s="144"/>
      <c r="B545" s="141"/>
      <c r="C545" s="142"/>
      <c r="D545" s="154"/>
      <c r="E545" s="143"/>
      <c r="F545" s="144"/>
      <c r="G545" s="153"/>
      <c r="H545" s="153"/>
      <c r="I545" s="144"/>
      <c r="J545" s="144"/>
      <c r="K545" s="144"/>
      <c r="L545" s="144"/>
      <c r="M545" s="144"/>
      <c r="N545" s="144"/>
      <c r="O545" s="144"/>
      <c r="P545" s="144"/>
      <c r="Q545" s="144"/>
      <c r="R545" s="144"/>
      <c r="S545" s="144"/>
      <c r="T545" s="144"/>
      <c r="U545" s="144"/>
      <c r="V545" s="144"/>
      <c r="W545" s="144"/>
      <c r="X545" s="144"/>
      <c r="Y545" s="144"/>
      <c r="Z545" s="144"/>
    </row>
    <row r="546" spans="1:26" ht="24.75">
      <c r="A546" s="144"/>
      <c r="B546" s="141"/>
      <c r="C546" s="142"/>
      <c r="D546" s="154"/>
      <c r="E546" s="143"/>
      <c r="F546" s="144"/>
      <c r="G546" s="151"/>
      <c r="H546" s="151"/>
      <c r="I546" s="144"/>
      <c r="J546" s="144"/>
      <c r="K546" s="144"/>
      <c r="L546" s="144"/>
      <c r="M546" s="144"/>
      <c r="N546" s="144"/>
      <c r="O546" s="144"/>
      <c r="P546" s="144"/>
      <c r="Q546" s="144"/>
      <c r="R546" s="144"/>
      <c r="S546" s="144"/>
      <c r="T546" s="144"/>
      <c r="U546" s="144"/>
      <c r="V546" s="144"/>
      <c r="W546" s="144"/>
      <c r="X546" s="144"/>
      <c r="Y546" s="144"/>
      <c r="Z546" s="144"/>
    </row>
    <row r="547" spans="1:26" ht="24.75">
      <c r="A547" s="144"/>
      <c r="B547" s="141"/>
      <c r="C547" s="142"/>
      <c r="D547" s="154"/>
      <c r="E547" s="143"/>
      <c r="F547" s="144"/>
      <c r="G547" s="153"/>
      <c r="H547" s="153"/>
      <c r="I547" s="144"/>
      <c r="J547" s="144"/>
      <c r="K547" s="144"/>
      <c r="L547" s="144"/>
      <c r="M547" s="144"/>
      <c r="N547" s="144"/>
      <c r="O547" s="144"/>
      <c r="P547" s="144"/>
      <c r="Q547" s="144"/>
      <c r="R547" s="144"/>
      <c r="S547" s="144"/>
      <c r="T547" s="144"/>
      <c r="U547" s="144"/>
      <c r="V547" s="144"/>
      <c r="W547" s="144"/>
      <c r="X547" s="144"/>
      <c r="Y547" s="144"/>
      <c r="Z547" s="144"/>
    </row>
    <row r="548" spans="1:26" ht="24.75">
      <c r="A548" s="144"/>
      <c r="B548" s="141"/>
      <c r="C548" s="142"/>
      <c r="D548" s="154"/>
      <c r="E548" s="143"/>
      <c r="F548" s="144"/>
      <c r="G548" s="151"/>
      <c r="H548" s="151"/>
      <c r="I548" s="144"/>
      <c r="J548" s="144"/>
      <c r="K548" s="144"/>
      <c r="L548" s="144"/>
      <c r="M548" s="144"/>
      <c r="N548" s="144"/>
      <c r="O548" s="144"/>
      <c r="P548" s="144"/>
      <c r="Q548" s="144"/>
      <c r="R548" s="144"/>
      <c r="S548" s="144"/>
      <c r="T548" s="144"/>
      <c r="U548" s="144"/>
      <c r="V548" s="144"/>
      <c r="W548" s="144"/>
      <c r="X548" s="144"/>
      <c r="Y548" s="144"/>
      <c r="Z548" s="144"/>
    </row>
    <row r="549" spans="1:26" ht="24.75">
      <c r="A549" s="144"/>
      <c r="B549" s="141"/>
      <c r="C549" s="142"/>
      <c r="D549" s="154"/>
      <c r="E549" s="143"/>
      <c r="F549" s="144"/>
      <c r="G549" s="153"/>
      <c r="H549" s="153"/>
      <c r="I549" s="144"/>
      <c r="J549" s="144"/>
      <c r="K549" s="144"/>
      <c r="L549" s="144"/>
      <c r="M549" s="144"/>
      <c r="N549" s="144"/>
      <c r="O549" s="144"/>
      <c r="P549" s="144"/>
      <c r="Q549" s="144"/>
      <c r="R549" s="144"/>
      <c r="S549" s="144"/>
      <c r="T549" s="144"/>
      <c r="U549" s="144"/>
      <c r="V549" s="144"/>
      <c r="W549" s="144"/>
      <c r="X549" s="144"/>
      <c r="Y549" s="144"/>
      <c r="Z549" s="144"/>
    </row>
    <row r="550" spans="1:26" ht="24.75">
      <c r="A550" s="144"/>
      <c r="B550" s="141"/>
      <c r="C550" s="142"/>
      <c r="D550" s="154"/>
      <c r="E550" s="143"/>
      <c r="F550" s="144"/>
      <c r="G550" s="151"/>
      <c r="H550" s="151"/>
      <c r="I550" s="144"/>
      <c r="J550" s="144"/>
      <c r="K550" s="144"/>
      <c r="L550" s="144"/>
      <c r="M550" s="144"/>
      <c r="N550" s="144"/>
      <c r="O550" s="144"/>
      <c r="P550" s="144"/>
      <c r="Q550" s="144"/>
      <c r="R550" s="144"/>
      <c r="S550" s="144"/>
      <c r="T550" s="144"/>
      <c r="U550" s="144"/>
      <c r="V550" s="144"/>
      <c r="W550" s="144"/>
      <c r="X550" s="144"/>
      <c r="Y550" s="144"/>
      <c r="Z550" s="144"/>
    </row>
    <row r="551" spans="1:26" ht="24.75">
      <c r="A551" s="144"/>
      <c r="B551" s="141"/>
      <c r="C551" s="142"/>
      <c r="D551" s="154"/>
      <c r="E551" s="143"/>
      <c r="F551" s="144"/>
      <c r="G551" s="153"/>
      <c r="H551" s="153"/>
      <c r="I551" s="144"/>
      <c r="J551" s="144"/>
      <c r="K551" s="144"/>
      <c r="L551" s="144"/>
      <c r="M551" s="144"/>
      <c r="N551" s="144"/>
      <c r="O551" s="144"/>
      <c r="P551" s="144"/>
      <c r="Q551" s="144"/>
      <c r="R551" s="144"/>
      <c r="S551" s="144"/>
      <c r="T551" s="144"/>
      <c r="U551" s="144"/>
      <c r="V551" s="144"/>
      <c r="W551" s="144"/>
      <c r="X551" s="144"/>
      <c r="Y551" s="144"/>
      <c r="Z551" s="144"/>
    </row>
    <row r="552" spans="1:26" ht="24.75">
      <c r="A552" s="144"/>
      <c r="B552" s="141"/>
      <c r="C552" s="142"/>
      <c r="D552" s="154"/>
      <c r="E552" s="143"/>
      <c r="F552" s="144"/>
      <c r="G552" s="151"/>
      <c r="H552" s="151"/>
      <c r="I552" s="144"/>
      <c r="J552" s="144"/>
      <c r="K552" s="144"/>
      <c r="L552" s="144"/>
      <c r="M552" s="144"/>
      <c r="N552" s="144"/>
      <c r="O552" s="144"/>
      <c r="P552" s="144"/>
      <c r="Q552" s="144"/>
      <c r="R552" s="144"/>
      <c r="S552" s="144"/>
      <c r="T552" s="144"/>
      <c r="U552" s="144"/>
      <c r="V552" s="144"/>
      <c r="W552" s="144"/>
      <c r="X552" s="144"/>
      <c r="Y552" s="144"/>
      <c r="Z552" s="144"/>
    </row>
    <row r="553" spans="1:26" ht="24.75">
      <c r="A553" s="144"/>
      <c r="B553" s="141"/>
      <c r="C553" s="142"/>
      <c r="D553" s="154"/>
      <c r="E553" s="143"/>
      <c r="F553" s="144"/>
      <c r="G553" s="153"/>
      <c r="H553" s="153"/>
      <c r="I553" s="144"/>
      <c r="J553" s="144"/>
      <c r="K553" s="144"/>
      <c r="L553" s="144"/>
      <c r="M553" s="144"/>
      <c r="N553" s="144"/>
      <c r="O553" s="144"/>
      <c r="P553" s="144"/>
      <c r="Q553" s="144"/>
      <c r="R553" s="144"/>
      <c r="S553" s="144"/>
      <c r="T553" s="144"/>
      <c r="U553" s="144"/>
      <c r="V553" s="144"/>
      <c r="W553" s="144"/>
      <c r="X553" s="144"/>
      <c r="Y553" s="144"/>
      <c r="Z553" s="144"/>
    </row>
    <row r="554" spans="1:26" ht="24.75">
      <c r="A554" s="144"/>
      <c r="B554" s="141"/>
      <c r="C554" s="142"/>
      <c r="D554" s="154"/>
      <c r="E554" s="143"/>
      <c r="F554" s="144"/>
      <c r="G554" s="151"/>
      <c r="H554" s="151"/>
      <c r="I554" s="144"/>
      <c r="J554" s="144"/>
      <c r="K554" s="144"/>
      <c r="L554" s="144"/>
      <c r="M554" s="144"/>
      <c r="N554" s="144"/>
      <c r="O554" s="144"/>
      <c r="P554" s="144"/>
      <c r="Q554" s="144"/>
      <c r="R554" s="144"/>
      <c r="S554" s="144"/>
      <c r="T554" s="144"/>
      <c r="U554" s="144"/>
      <c r="V554" s="144"/>
      <c r="W554" s="144"/>
      <c r="X554" s="144"/>
      <c r="Y554" s="144"/>
      <c r="Z554" s="144"/>
    </row>
    <row r="555" spans="1:26" ht="24.75">
      <c r="A555" s="144"/>
      <c r="B555" s="141"/>
      <c r="C555" s="142"/>
      <c r="D555" s="154"/>
      <c r="E555" s="143"/>
      <c r="F555" s="144"/>
      <c r="G555" s="153"/>
      <c r="H555" s="153"/>
      <c r="I555" s="144"/>
      <c r="J555" s="144"/>
      <c r="K555" s="144"/>
      <c r="L555" s="144"/>
      <c r="M555" s="144"/>
      <c r="N555" s="144"/>
      <c r="O555" s="144"/>
      <c r="P555" s="144"/>
      <c r="Q555" s="144"/>
      <c r="R555" s="144"/>
      <c r="S555" s="144"/>
      <c r="T555" s="144"/>
      <c r="U555" s="144"/>
      <c r="V555" s="144"/>
      <c r="W555" s="144"/>
      <c r="X555" s="144"/>
      <c r="Y555" s="144"/>
      <c r="Z555" s="144"/>
    </row>
    <row r="556" spans="1:26" ht="24.75">
      <c r="A556" s="144"/>
      <c r="B556" s="141"/>
      <c r="C556" s="142"/>
      <c r="D556" s="154"/>
      <c r="E556" s="143"/>
      <c r="F556" s="144"/>
      <c r="G556" s="151"/>
      <c r="H556" s="151"/>
      <c r="I556" s="144"/>
      <c r="J556" s="144"/>
      <c r="K556" s="144"/>
      <c r="L556" s="144"/>
      <c r="M556" s="144"/>
      <c r="N556" s="144"/>
      <c r="O556" s="144"/>
      <c r="P556" s="144"/>
      <c r="Q556" s="144"/>
      <c r="R556" s="144"/>
      <c r="S556" s="144"/>
      <c r="T556" s="144"/>
      <c r="U556" s="144"/>
      <c r="V556" s="144"/>
      <c r="W556" s="144"/>
      <c r="X556" s="144"/>
      <c r="Y556" s="144"/>
      <c r="Z556" s="144"/>
    </row>
    <row r="557" spans="1:26" ht="24.75">
      <c r="A557" s="144"/>
      <c r="B557" s="141"/>
      <c r="C557" s="142"/>
      <c r="D557" s="154"/>
      <c r="E557" s="143"/>
      <c r="F557" s="144"/>
      <c r="G557" s="153"/>
      <c r="H557" s="153"/>
      <c r="I557" s="144"/>
      <c r="J557" s="144"/>
      <c r="K557" s="144"/>
      <c r="L557" s="144"/>
      <c r="M557" s="144"/>
      <c r="N557" s="144"/>
      <c r="O557" s="144"/>
      <c r="P557" s="144"/>
      <c r="Q557" s="144"/>
      <c r="R557" s="144"/>
      <c r="S557" s="144"/>
      <c r="T557" s="144"/>
      <c r="U557" s="144"/>
      <c r="V557" s="144"/>
      <c r="W557" s="144"/>
      <c r="X557" s="144"/>
      <c r="Y557" s="144"/>
      <c r="Z557" s="144"/>
    </row>
    <row r="558" spans="1:26" ht="24.75">
      <c r="A558" s="144"/>
      <c r="B558" s="141"/>
      <c r="C558" s="142"/>
      <c r="D558" s="154"/>
      <c r="E558" s="143"/>
      <c r="F558" s="144"/>
      <c r="G558" s="151"/>
      <c r="H558" s="151"/>
      <c r="I558" s="144"/>
      <c r="J558" s="144"/>
      <c r="K558" s="144"/>
      <c r="L558" s="144"/>
      <c r="M558" s="144"/>
      <c r="N558" s="144"/>
      <c r="O558" s="144"/>
      <c r="P558" s="144"/>
      <c r="Q558" s="144"/>
      <c r="R558" s="144"/>
      <c r="S558" s="144"/>
      <c r="T558" s="144"/>
      <c r="U558" s="144"/>
      <c r="V558" s="144"/>
      <c r="W558" s="144"/>
      <c r="X558" s="144"/>
      <c r="Y558" s="144"/>
      <c r="Z558" s="144"/>
    </row>
    <row r="559" spans="1:26" ht="24.75">
      <c r="A559" s="144"/>
      <c r="B559" s="141"/>
      <c r="C559" s="142"/>
      <c r="D559" s="154"/>
      <c r="E559" s="143"/>
      <c r="F559" s="144"/>
      <c r="G559" s="153"/>
      <c r="H559" s="153"/>
      <c r="I559" s="144"/>
      <c r="J559" s="144"/>
      <c r="K559" s="144"/>
      <c r="L559" s="144"/>
      <c r="M559" s="144"/>
      <c r="N559" s="144"/>
      <c r="O559" s="144"/>
      <c r="P559" s="144"/>
      <c r="Q559" s="144"/>
      <c r="R559" s="144"/>
      <c r="S559" s="144"/>
      <c r="T559" s="144"/>
      <c r="U559" s="144"/>
      <c r="V559" s="144"/>
      <c r="W559" s="144"/>
      <c r="X559" s="144"/>
      <c r="Y559" s="144"/>
      <c r="Z559" s="144"/>
    </row>
    <row r="560" spans="1:26" ht="24.75">
      <c r="A560" s="144"/>
      <c r="B560" s="141"/>
      <c r="C560" s="142"/>
      <c r="D560" s="154"/>
      <c r="E560" s="143"/>
      <c r="F560" s="144"/>
      <c r="G560" s="151"/>
      <c r="H560" s="151"/>
      <c r="I560" s="144"/>
      <c r="J560" s="144"/>
      <c r="K560" s="144"/>
      <c r="L560" s="144"/>
      <c r="M560" s="144"/>
      <c r="N560" s="144"/>
      <c r="O560" s="144"/>
      <c r="P560" s="144"/>
      <c r="Q560" s="144"/>
      <c r="R560" s="144"/>
      <c r="S560" s="144"/>
      <c r="T560" s="144"/>
      <c r="U560" s="144"/>
      <c r="V560" s="144"/>
      <c r="W560" s="144"/>
      <c r="X560" s="144"/>
      <c r="Y560" s="144"/>
      <c r="Z560" s="144"/>
    </row>
    <row r="561" spans="1:26" ht="24.75">
      <c r="A561" s="144"/>
      <c r="B561" s="141"/>
      <c r="C561" s="142"/>
      <c r="D561" s="154"/>
      <c r="E561" s="143"/>
      <c r="F561" s="144"/>
      <c r="G561" s="153"/>
      <c r="H561" s="153"/>
      <c r="I561" s="144"/>
      <c r="J561" s="144"/>
      <c r="K561" s="144"/>
      <c r="L561" s="144"/>
      <c r="M561" s="144"/>
      <c r="N561" s="144"/>
      <c r="O561" s="144"/>
      <c r="P561" s="144"/>
      <c r="Q561" s="144"/>
      <c r="R561" s="144"/>
      <c r="S561" s="144"/>
      <c r="T561" s="144"/>
      <c r="U561" s="144"/>
      <c r="V561" s="144"/>
      <c r="W561" s="144"/>
      <c r="X561" s="144"/>
      <c r="Y561" s="144"/>
      <c r="Z561" s="144"/>
    </row>
    <row r="562" spans="1:26" ht="24.75">
      <c r="A562" s="144"/>
      <c r="B562" s="141"/>
      <c r="C562" s="142"/>
      <c r="D562" s="154"/>
      <c r="E562" s="143"/>
      <c r="F562" s="144"/>
      <c r="G562" s="151"/>
      <c r="H562" s="151"/>
      <c r="I562" s="144"/>
      <c r="J562" s="144"/>
      <c r="K562" s="144"/>
      <c r="L562" s="144"/>
      <c r="M562" s="144"/>
      <c r="N562" s="144"/>
      <c r="O562" s="144"/>
      <c r="P562" s="144"/>
      <c r="Q562" s="144"/>
      <c r="R562" s="144"/>
      <c r="S562" s="144"/>
      <c r="T562" s="144"/>
      <c r="U562" s="144"/>
      <c r="V562" s="144"/>
      <c r="W562" s="144"/>
      <c r="X562" s="144"/>
      <c r="Y562" s="144"/>
      <c r="Z562" s="144"/>
    </row>
    <row r="563" spans="1:26" ht="24.75">
      <c r="A563" s="144"/>
      <c r="B563" s="141"/>
      <c r="C563" s="142"/>
      <c r="D563" s="154"/>
      <c r="E563" s="143"/>
      <c r="F563" s="144"/>
      <c r="G563" s="153"/>
      <c r="H563" s="153"/>
      <c r="I563" s="144"/>
      <c r="J563" s="144"/>
      <c r="K563" s="144"/>
      <c r="L563" s="144"/>
      <c r="M563" s="144"/>
      <c r="N563" s="144"/>
      <c r="O563" s="144"/>
      <c r="P563" s="144"/>
      <c r="Q563" s="144"/>
      <c r="R563" s="144"/>
      <c r="S563" s="144"/>
      <c r="T563" s="144"/>
      <c r="U563" s="144"/>
      <c r="V563" s="144"/>
      <c r="W563" s="144"/>
      <c r="X563" s="144"/>
      <c r="Y563" s="144"/>
      <c r="Z563" s="144"/>
    </row>
    <row r="564" spans="1:26" ht="24.75">
      <c r="A564" s="144"/>
      <c r="B564" s="141"/>
      <c r="C564" s="142"/>
      <c r="D564" s="154"/>
      <c r="E564" s="143"/>
      <c r="F564" s="144"/>
      <c r="G564" s="151"/>
      <c r="H564" s="151"/>
      <c r="I564" s="144"/>
      <c r="J564" s="144"/>
      <c r="K564" s="144"/>
      <c r="L564" s="144"/>
      <c r="M564" s="144"/>
      <c r="N564" s="144"/>
      <c r="O564" s="144"/>
      <c r="P564" s="144"/>
      <c r="Q564" s="144"/>
      <c r="R564" s="144"/>
      <c r="S564" s="144"/>
      <c r="T564" s="144"/>
      <c r="U564" s="144"/>
      <c r="V564" s="144"/>
      <c r="W564" s="144"/>
      <c r="X564" s="144"/>
      <c r="Y564" s="144"/>
      <c r="Z564" s="144"/>
    </row>
    <row r="565" spans="1:26" ht="24.75">
      <c r="A565" s="144"/>
      <c r="B565" s="141"/>
      <c r="C565" s="142"/>
      <c r="D565" s="154"/>
      <c r="E565" s="143"/>
      <c r="F565" s="144"/>
      <c r="G565" s="153"/>
      <c r="H565" s="153"/>
      <c r="I565" s="144"/>
      <c r="J565" s="144"/>
      <c r="K565" s="144"/>
      <c r="L565" s="144"/>
      <c r="M565" s="144"/>
      <c r="N565" s="144"/>
      <c r="O565" s="144"/>
      <c r="P565" s="144"/>
      <c r="Q565" s="144"/>
      <c r="R565" s="144"/>
      <c r="S565" s="144"/>
      <c r="T565" s="144"/>
      <c r="U565" s="144"/>
      <c r="V565" s="144"/>
      <c r="W565" s="144"/>
      <c r="X565" s="144"/>
      <c r="Y565" s="144"/>
      <c r="Z565" s="144"/>
    </row>
    <row r="566" spans="1:26" ht="24.75">
      <c r="A566" s="144"/>
      <c r="B566" s="141"/>
      <c r="C566" s="142"/>
      <c r="D566" s="154"/>
      <c r="E566" s="143"/>
      <c r="F566" s="144"/>
      <c r="G566" s="151"/>
      <c r="H566" s="151"/>
      <c r="I566" s="144"/>
      <c r="J566" s="144"/>
      <c r="K566" s="144"/>
      <c r="L566" s="144"/>
      <c r="M566" s="144"/>
      <c r="N566" s="144"/>
      <c r="O566" s="144"/>
      <c r="P566" s="144"/>
      <c r="Q566" s="144"/>
      <c r="R566" s="144"/>
      <c r="S566" s="144"/>
      <c r="T566" s="144"/>
      <c r="U566" s="144"/>
      <c r="V566" s="144"/>
      <c r="W566" s="144"/>
      <c r="X566" s="144"/>
      <c r="Y566" s="144"/>
      <c r="Z566" s="144"/>
    </row>
    <row r="567" spans="1:26" ht="24.75">
      <c r="A567" s="144"/>
      <c r="B567" s="141"/>
      <c r="C567" s="142"/>
      <c r="D567" s="154"/>
      <c r="E567" s="143"/>
      <c r="F567" s="144"/>
      <c r="G567" s="153"/>
      <c r="H567" s="153"/>
      <c r="I567" s="144"/>
      <c r="J567" s="144"/>
      <c r="K567" s="144"/>
      <c r="L567" s="144"/>
      <c r="M567" s="144"/>
      <c r="N567" s="144"/>
      <c r="O567" s="144"/>
      <c r="P567" s="144"/>
      <c r="Q567" s="144"/>
      <c r="R567" s="144"/>
      <c r="S567" s="144"/>
      <c r="T567" s="144"/>
      <c r="U567" s="144"/>
      <c r="V567" s="144"/>
      <c r="W567" s="144"/>
      <c r="X567" s="144"/>
      <c r="Y567" s="144"/>
      <c r="Z567" s="144"/>
    </row>
    <row r="568" spans="1:26" ht="24.75">
      <c r="A568" s="144"/>
      <c r="B568" s="141"/>
      <c r="C568" s="142"/>
      <c r="D568" s="154"/>
      <c r="E568" s="143"/>
      <c r="F568" s="144"/>
      <c r="G568" s="151"/>
      <c r="H568" s="151"/>
      <c r="I568" s="144"/>
      <c r="J568" s="144"/>
      <c r="K568" s="144"/>
      <c r="L568" s="144"/>
      <c r="M568" s="144"/>
      <c r="N568" s="144"/>
      <c r="O568" s="144"/>
      <c r="P568" s="144"/>
      <c r="Q568" s="144"/>
      <c r="R568" s="144"/>
      <c r="S568" s="144"/>
      <c r="T568" s="144"/>
      <c r="U568" s="144"/>
      <c r="V568" s="144"/>
      <c r="W568" s="144"/>
      <c r="X568" s="144"/>
      <c r="Y568" s="144"/>
      <c r="Z568" s="144"/>
    </row>
    <row r="569" spans="1:26" ht="24.75">
      <c r="A569" s="144"/>
      <c r="B569" s="141"/>
      <c r="C569" s="142"/>
      <c r="D569" s="154"/>
      <c r="E569" s="143"/>
      <c r="F569" s="144"/>
      <c r="G569" s="153"/>
      <c r="H569" s="153"/>
      <c r="I569" s="144"/>
      <c r="J569" s="144"/>
      <c r="K569" s="144"/>
      <c r="L569" s="144"/>
      <c r="M569" s="144"/>
      <c r="N569" s="144"/>
      <c r="O569" s="144"/>
      <c r="P569" s="144"/>
      <c r="Q569" s="144"/>
      <c r="R569" s="144"/>
      <c r="S569" s="144"/>
      <c r="T569" s="144"/>
      <c r="U569" s="144"/>
      <c r="V569" s="144"/>
      <c r="W569" s="144"/>
      <c r="X569" s="144"/>
      <c r="Y569" s="144"/>
      <c r="Z569" s="144"/>
    </row>
    <row r="570" spans="1:26" ht="24.75">
      <c r="A570" s="144"/>
      <c r="B570" s="141"/>
      <c r="C570" s="142"/>
      <c r="D570" s="154"/>
      <c r="E570" s="143"/>
      <c r="F570" s="144"/>
      <c r="G570" s="151"/>
      <c r="H570" s="151"/>
      <c r="I570" s="144"/>
      <c r="J570" s="144"/>
      <c r="K570" s="144"/>
      <c r="L570" s="144"/>
      <c r="M570" s="144"/>
      <c r="N570" s="144"/>
      <c r="O570" s="144"/>
      <c r="P570" s="144"/>
      <c r="Q570" s="144"/>
      <c r="R570" s="144"/>
      <c r="S570" s="144"/>
      <c r="T570" s="144"/>
      <c r="U570" s="144"/>
      <c r="V570" s="144"/>
      <c r="W570" s="144"/>
      <c r="X570" s="144"/>
      <c r="Y570" s="144"/>
      <c r="Z570" s="144"/>
    </row>
    <row r="571" spans="1:26" ht="24.75">
      <c r="A571" s="144"/>
      <c r="B571" s="141"/>
      <c r="C571" s="142"/>
      <c r="D571" s="154"/>
      <c r="E571" s="143"/>
      <c r="F571" s="144"/>
      <c r="G571" s="153"/>
      <c r="H571" s="153"/>
      <c r="I571" s="144"/>
      <c r="J571" s="144"/>
      <c r="K571" s="144"/>
      <c r="L571" s="144"/>
      <c r="M571" s="144"/>
      <c r="N571" s="144"/>
      <c r="O571" s="144"/>
      <c r="P571" s="144"/>
      <c r="Q571" s="144"/>
      <c r="R571" s="144"/>
      <c r="S571" s="144"/>
      <c r="T571" s="144"/>
      <c r="U571" s="144"/>
      <c r="V571" s="144"/>
      <c r="W571" s="144"/>
      <c r="X571" s="144"/>
      <c r="Y571" s="144"/>
      <c r="Z571" s="144"/>
    </row>
    <row r="572" spans="1:26" ht="24.75">
      <c r="A572" s="144"/>
      <c r="B572" s="141"/>
      <c r="C572" s="142"/>
      <c r="D572" s="154"/>
      <c r="E572" s="143"/>
      <c r="F572" s="144"/>
      <c r="G572" s="151"/>
      <c r="H572" s="151"/>
      <c r="I572" s="144"/>
      <c r="J572" s="144"/>
      <c r="K572" s="144"/>
      <c r="L572" s="144"/>
      <c r="M572" s="144"/>
      <c r="N572" s="144"/>
      <c r="O572" s="144"/>
      <c r="P572" s="144"/>
      <c r="Q572" s="144"/>
      <c r="R572" s="144"/>
      <c r="S572" s="144"/>
      <c r="T572" s="144"/>
      <c r="U572" s="144"/>
      <c r="V572" s="144"/>
      <c r="W572" s="144"/>
      <c r="X572" s="144"/>
      <c r="Y572" s="144"/>
      <c r="Z572" s="144"/>
    </row>
    <row r="573" spans="1:26" ht="24.75">
      <c r="A573" s="144"/>
      <c r="B573" s="141"/>
      <c r="C573" s="142"/>
      <c r="D573" s="154"/>
      <c r="E573" s="143"/>
      <c r="F573" s="144"/>
      <c r="G573" s="153"/>
      <c r="H573" s="153"/>
      <c r="I573" s="144"/>
      <c r="J573" s="144"/>
      <c r="K573" s="144"/>
      <c r="L573" s="144"/>
      <c r="M573" s="144"/>
      <c r="N573" s="144"/>
      <c r="O573" s="144"/>
      <c r="P573" s="144"/>
      <c r="Q573" s="144"/>
      <c r="R573" s="144"/>
      <c r="S573" s="144"/>
      <c r="T573" s="144"/>
      <c r="U573" s="144"/>
      <c r="V573" s="144"/>
      <c r="W573" s="144"/>
      <c r="X573" s="144"/>
      <c r="Y573" s="144"/>
      <c r="Z573" s="144"/>
    </row>
    <row r="574" spans="1:26" ht="24.75">
      <c r="A574" s="144"/>
      <c r="B574" s="141"/>
      <c r="C574" s="142"/>
      <c r="D574" s="154"/>
      <c r="E574" s="143"/>
      <c r="F574" s="144"/>
      <c r="G574" s="151"/>
      <c r="H574" s="151"/>
      <c r="I574" s="144"/>
      <c r="J574" s="144"/>
      <c r="K574" s="144"/>
      <c r="L574" s="144"/>
      <c r="M574" s="144"/>
      <c r="N574" s="144"/>
      <c r="O574" s="144"/>
      <c r="P574" s="144"/>
      <c r="Q574" s="144"/>
      <c r="R574" s="144"/>
      <c r="S574" s="144"/>
      <c r="T574" s="144"/>
      <c r="U574" s="144"/>
      <c r="V574" s="144"/>
      <c r="W574" s="144"/>
      <c r="X574" s="144"/>
      <c r="Y574" s="144"/>
      <c r="Z574" s="144"/>
    </row>
    <row r="575" spans="1:26" ht="24.75">
      <c r="A575" s="144"/>
      <c r="B575" s="141"/>
      <c r="C575" s="142"/>
      <c r="D575" s="154"/>
      <c r="E575" s="143"/>
      <c r="F575" s="144"/>
      <c r="G575" s="153"/>
      <c r="H575" s="153"/>
      <c r="I575" s="144"/>
      <c r="J575" s="144"/>
      <c r="K575" s="144"/>
      <c r="L575" s="144"/>
      <c r="M575" s="144"/>
      <c r="N575" s="144"/>
      <c r="O575" s="144"/>
      <c r="P575" s="144"/>
      <c r="Q575" s="144"/>
      <c r="R575" s="144"/>
      <c r="S575" s="144"/>
      <c r="T575" s="144"/>
      <c r="U575" s="144"/>
      <c r="V575" s="144"/>
      <c r="W575" s="144"/>
      <c r="X575" s="144"/>
      <c r="Y575" s="144"/>
      <c r="Z575" s="144"/>
    </row>
    <row r="576" spans="1:26" ht="24.75">
      <c r="A576" s="144"/>
      <c r="B576" s="141"/>
      <c r="C576" s="142"/>
      <c r="D576" s="154"/>
      <c r="E576" s="143"/>
      <c r="F576" s="144"/>
      <c r="G576" s="151"/>
      <c r="H576" s="151"/>
      <c r="I576" s="144"/>
      <c r="J576" s="144"/>
      <c r="K576" s="144"/>
      <c r="L576" s="144"/>
      <c r="M576" s="144"/>
      <c r="N576" s="144"/>
      <c r="O576" s="144"/>
      <c r="P576" s="144"/>
      <c r="Q576" s="144"/>
      <c r="R576" s="144"/>
      <c r="S576" s="144"/>
      <c r="T576" s="144"/>
      <c r="U576" s="144"/>
      <c r="V576" s="144"/>
      <c r="W576" s="144"/>
      <c r="X576" s="144"/>
      <c r="Y576" s="144"/>
      <c r="Z576" s="144"/>
    </row>
    <row r="577" spans="1:26" ht="24.75">
      <c r="A577" s="144"/>
      <c r="B577" s="141"/>
      <c r="C577" s="142"/>
      <c r="D577" s="154"/>
      <c r="E577" s="143"/>
      <c r="F577" s="144"/>
      <c r="G577" s="153"/>
      <c r="H577" s="153"/>
      <c r="I577" s="144"/>
      <c r="J577" s="144"/>
      <c r="K577" s="144"/>
      <c r="L577" s="144"/>
      <c r="M577" s="144"/>
      <c r="N577" s="144"/>
      <c r="O577" s="144"/>
      <c r="P577" s="144"/>
      <c r="Q577" s="144"/>
      <c r="R577" s="144"/>
      <c r="S577" s="144"/>
      <c r="T577" s="144"/>
      <c r="U577" s="144"/>
      <c r="V577" s="144"/>
      <c r="W577" s="144"/>
      <c r="X577" s="144"/>
      <c r="Y577" s="144"/>
      <c r="Z577" s="144"/>
    </row>
    <row r="578" spans="1:26" ht="24.75">
      <c r="A578" s="144"/>
      <c r="B578" s="141"/>
      <c r="C578" s="142"/>
      <c r="D578" s="154"/>
      <c r="E578" s="143"/>
      <c r="F578" s="144"/>
      <c r="G578" s="151"/>
      <c r="H578" s="151"/>
      <c r="I578" s="144"/>
      <c r="J578" s="144"/>
      <c r="K578" s="144"/>
      <c r="L578" s="144"/>
      <c r="M578" s="144"/>
      <c r="N578" s="144"/>
      <c r="O578" s="144"/>
      <c r="P578" s="144"/>
      <c r="Q578" s="144"/>
      <c r="R578" s="144"/>
      <c r="S578" s="144"/>
      <c r="T578" s="144"/>
      <c r="U578" s="144"/>
      <c r="V578" s="144"/>
      <c r="W578" s="144"/>
      <c r="X578" s="144"/>
      <c r="Y578" s="144"/>
      <c r="Z578" s="144"/>
    </row>
    <row r="579" spans="1:26" ht="24.75">
      <c r="A579" s="144"/>
      <c r="B579" s="141"/>
      <c r="C579" s="142"/>
      <c r="D579" s="154"/>
      <c r="E579" s="143"/>
      <c r="F579" s="144"/>
      <c r="G579" s="153"/>
      <c r="H579" s="153"/>
      <c r="I579" s="144"/>
      <c r="J579" s="144"/>
      <c r="K579" s="144"/>
      <c r="L579" s="144"/>
      <c r="M579" s="144"/>
      <c r="N579" s="144"/>
      <c r="O579" s="144"/>
      <c r="P579" s="144"/>
      <c r="Q579" s="144"/>
      <c r="R579" s="144"/>
      <c r="S579" s="144"/>
      <c r="T579" s="144"/>
      <c r="U579" s="144"/>
      <c r="V579" s="144"/>
      <c r="W579" s="144"/>
      <c r="X579" s="144"/>
      <c r="Y579" s="144"/>
      <c r="Z579" s="144"/>
    </row>
    <row r="580" spans="1:26" ht="24.75">
      <c r="A580" s="144"/>
      <c r="B580" s="141"/>
      <c r="C580" s="142"/>
      <c r="D580" s="154"/>
      <c r="E580" s="143"/>
      <c r="F580" s="144"/>
      <c r="G580" s="151"/>
      <c r="H580" s="151"/>
      <c r="I580" s="144"/>
      <c r="J580" s="144"/>
      <c r="K580" s="144"/>
      <c r="L580" s="144"/>
      <c r="M580" s="144"/>
      <c r="N580" s="144"/>
      <c r="O580" s="144"/>
      <c r="P580" s="144"/>
      <c r="Q580" s="144"/>
      <c r="R580" s="144"/>
      <c r="S580" s="144"/>
      <c r="T580" s="144"/>
      <c r="U580" s="144"/>
      <c r="V580" s="144"/>
      <c r="W580" s="144"/>
      <c r="X580" s="144"/>
      <c r="Y580" s="144"/>
      <c r="Z580" s="144"/>
    </row>
    <row r="581" spans="1:26" ht="24.75">
      <c r="A581" s="144"/>
      <c r="B581" s="141"/>
      <c r="C581" s="142"/>
      <c r="D581" s="154"/>
      <c r="E581" s="143"/>
      <c r="F581" s="144"/>
      <c r="G581" s="153"/>
      <c r="H581" s="153"/>
      <c r="I581" s="144"/>
      <c r="J581" s="144"/>
      <c r="K581" s="144"/>
      <c r="L581" s="144"/>
      <c r="M581" s="144"/>
      <c r="N581" s="144"/>
      <c r="O581" s="144"/>
      <c r="P581" s="144"/>
      <c r="Q581" s="144"/>
      <c r="R581" s="144"/>
      <c r="S581" s="144"/>
      <c r="T581" s="144"/>
      <c r="U581" s="144"/>
      <c r="V581" s="144"/>
      <c r="W581" s="144"/>
      <c r="X581" s="144"/>
      <c r="Y581" s="144"/>
      <c r="Z581" s="144"/>
    </row>
    <row r="582" spans="1:26" ht="24.75">
      <c r="A582" s="144"/>
      <c r="B582" s="141"/>
      <c r="C582" s="142"/>
      <c r="D582" s="154"/>
      <c r="E582" s="143"/>
      <c r="F582" s="144"/>
      <c r="G582" s="151"/>
      <c r="H582" s="151"/>
      <c r="I582" s="144"/>
      <c r="J582" s="144"/>
      <c r="K582" s="144"/>
      <c r="L582" s="144"/>
      <c r="M582" s="144"/>
      <c r="N582" s="144"/>
      <c r="O582" s="144"/>
      <c r="P582" s="144"/>
      <c r="Q582" s="144"/>
      <c r="R582" s="144"/>
      <c r="S582" s="144"/>
      <c r="T582" s="144"/>
      <c r="U582" s="144"/>
      <c r="V582" s="144"/>
      <c r="W582" s="144"/>
      <c r="X582" s="144"/>
      <c r="Y582" s="144"/>
      <c r="Z582" s="144"/>
    </row>
    <row r="583" spans="1:26" ht="24.75">
      <c r="A583" s="144"/>
      <c r="B583" s="141"/>
      <c r="C583" s="142"/>
      <c r="D583" s="154"/>
      <c r="E583" s="143"/>
      <c r="F583" s="144"/>
      <c r="G583" s="153"/>
      <c r="H583" s="153"/>
      <c r="I583" s="144"/>
      <c r="J583" s="144"/>
      <c r="K583" s="144"/>
      <c r="L583" s="144"/>
      <c r="M583" s="144"/>
      <c r="N583" s="144"/>
      <c r="O583" s="144"/>
      <c r="P583" s="144"/>
      <c r="Q583" s="144"/>
      <c r="R583" s="144"/>
      <c r="S583" s="144"/>
      <c r="T583" s="144"/>
      <c r="U583" s="144"/>
      <c r="V583" s="144"/>
      <c r="W583" s="144"/>
      <c r="X583" s="144"/>
      <c r="Y583" s="144"/>
      <c r="Z583" s="144"/>
    </row>
    <row r="584" spans="1:26" ht="24.75">
      <c r="A584" s="144"/>
      <c r="B584" s="141"/>
      <c r="C584" s="142"/>
      <c r="D584" s="154"/>
      <c r="E584" s="143"/>
      <c r="F584" s="144"/>
      <c r="G584" s="151"/>
      <c r="H584" s="151"/>
      <c r="I584" s="144"/>
      <c r="J584" s="144"/>
      <c r="K584" s="144"/>
      <c r="L584" s="144"/>
      <c r="M584" s="144"/>
      <c r="N584" s="144"/>
      <c r="O584" s="144"/>
      <c r="P584" s="144"/>
      <c r="Q584" s="144"/>
      <c r="R584" s="144"/>
      <c r="S584" s="144"/>
      <c r="T584" s="144"/>
      <c r="U584" s="144"/>
      <c r="V584" s="144"/>
      <c r="W584" s="144"/>
      <c r="X584" s="144"/>
      <c r="Y584" s="144"/>
      <c r="Z584" s="144"/>
    </row>
    <row r="585" spans="1:26" ht="24.75">
      <c r="A585" s="144"/>
      <c r="B585" s="141"/>
      <c r="C585" s="142"/>
      <c r="D585" s="154"/>
      <c r="E585" s="143"/>
      <c r="F585" s="144"/>
      <c r="G585" s="153"/>
      <c r="H585" s="153"/>
      <c r="I585" s="144"/>
      <c r="J585" s="144"/>
      <c r="K585" s="144"/>
      <c r="L585" s="144"/>
      <c r="M585" s="144"/>
      <c r="N585" s="144"/>
      <c r="O585" s="144"/>
      <c r="P585" s="144"/>
      <c r="Q585" s="144"/>
      <c r="R585" s="144"/>
      <c r="S585" s="144"/>
      <c r="T585" s="144"/>
      <c r="U585" s="144"/>
      <c r="V585" s="144"/>
      <c r="W585" s="144"/>
      <c r="X585" s="144"/>
      <c r="Y585" s="144"/>
      <c r="Z585" s="144"/>
    </row>
    <row r="586" spans="1:26" ht="24.75">
      <c r="A586" s="144"/>
      <c r="B586" s="141"/>
      <c r="C586" s="142"/>
      <c r="D586" s="154"/>
      <c r="E586" s="143"/>
      <c r="F586" s="144"/>
      <c r="G586" s="151"/>
      <c r="H586" s="151"/>
      <c r="I586" s="144"/>
      <c r="J586" s="144"/>
      <c r="K586" s="144"/>
      <c r="L586" s="144"/>
      <c r="M586" s="144"/>
      <c r="N586" s="144"/>
      <c r="O586" s="144"/>
      <c r="P586" s="144"/>
      <c r="Q586" s="144"/>
      <c r="R586" s="144"/>
      <c r="S586" s="144"/>
      <c r="T586" s="144"/>
      <c r="U586" s="144"/>
      <c r="V586" s="144"/>
      <c r="W586" s="144"/>
      <c r="X586" s="144"/>
      <c r="Y586" s="144"/>
      <c r="Z586" s="144"/>
    </row>
    <row r="587" spans="1:26" ht="24.75">
      <c r="A587" s="144"/>
      <c r="B587" s="141"/>
      <c r="C587" s="142"/>
      <c r="D587" s="154"/>
      <c r="E587" s="143"/>
      <c r="F587" s="144"/>
      <c r="G587" s="153"/>
      <c r="H587" s="153"/>
      <c r="I587" s="144"/>
      <c r="J587" s="144"/>
      <c r="K587" s="144"/>
      <c r="L587" s="144"/>
      <c r="M587" s="144"/>
      <c r="N587" s="144"/>
      <c r="O587" s="144"/>
      <c r="P587" s="144"/>
      <c r="Q587" s="144"/>
      <c r="R587" s="144"/>
      <c r="S587" s="144"/>
      <c r="T587" s="144"/>
      <c r="U587" s="144"/>
      <c r="V587" s="144"/>
      <c r="W587" s="144"/>
      <c r="X587" s="144"/>
      <c r="Y587" s="144"/>
      <c r="Z587" s="144"/>
    </row>
    <row r="588" spans="1:26" ht="24.75">
      <c r="A588" s="144"/>
      <c r="B588" s="141"/>
      <c r="C588" s="142"/>
      <c r="D588" s="154"/>
      <c r="E588" s="143"/>
      <c r="F588" s="144"/>
      <c r="G588" s="151"/>
      <c r="H588" s="151"/>
      <c r="I588" s="144"/>
      <c r="J588" s="144"/>
      <c r="K588" s="144"/>
      <c r="L588" s="144"/>
      <c r="M588" s="144"/>
      <c r="N588" s="144"/>
      <c r="O588" s="144"/>
      <c r="P588" s="144"/>
      <c r="Q588" s="144"/>
      <c r="R588" s="144"/>
      <c r="S588" s="144"/>
      <c r="T588" s="144"/>
      <c r="U588" s="144"/>
      <c r="V588" s="144"/>
      <c r="W588" s="144"/>
      <c r="X588" s="144"/>
      <c r="Y588" s="144"/>
      <c r="Z588" s="144"/>
    </row>
    <row r="589" spans="1:26" ht="24.75">
      <c r="A589" s="144"/>
      <c r="B589" s="141"/>
      <c r="C589" s="142"/>
      <c r="D589" s="154"/>
      <c r="E589" s="143"/>
      <c r="F589" s="144"/>
      <c r="G589" s="153"/>
      <c r="H589" s="153"/>
      <c r="I589" s="144"/>
      <c r="J589" s="144"/>
      <c r="K589" s="144"/>
      <c r="L589" s="144"/>
      <c r="M589" s="144"/>
      <c r="N589" s="144"/>
      <c r="O589" s="144"/>
      <c r="P589" s="144"/>
      <c r="Q589" s="144"/>
      <c r="R589" s="144"/>
      <c r="S589" s="144"/>
      <c r="T589" s="144"/>
      <c r="U589" s="144"/>
      <c r="V589" s="144"/>
      <c r="W589" s="144"/>
      <c r="X589" s="144"/>
      <c r="Y589" s="144"/>
      <c r="Z589" s="144"/>
    </row>
    <row r="590" spans="1:26" ht="24.75">
      <c r="A590" s="144"/>
      <c r="B590" s="141"/>
      <c r="C590" s="142"/>
      <c r="D590" s="154"/>
      <c r="E590" s="143"/>
      <c r="F590" s="144"/>
      <c r="G590" s="151"/>
      <c r="H590" s="151"/>
      <c r="I590" s="144"/>
      <c r="J590" s="144"/>
      <c r="K590" s="144"/>
      <c r="L590" s="144"/>
      <c r="M590" s="144"/>
      <c r="N590" s="144"/>
      <c r="O590" s="144"/>
      <c r="P590" s="144"/>
      <c r="Q590" s="144"/>
      <c r="R590" s="144"/>
      <c r="S590" s="144"/>
      <c r="T590" s="144"/>
      <c r="U590" s="144"/>
      <c r="V590" s="144"/>
      <c r="W590" s="144"/>
      <c r="X590" s="144"/>
      <c r="Y590" s="144"/>
      <c r="Z590" s="144"/>
    </row>
    <row r="591" spans="1:26" ht="24.75">
      <c r="A591" s="144"/>
      <c r="B591" s="141"/>
      <c r="C591" s="142"/>
      <c r="D591" s="154"/>
      <c r="E591" s="143"/>
      <c r="F591" s="144"/>
      <c r="G591" s="153"/>
      <c r="H591" s="153"/>
      <c r="I591" s="144"/>
      <c r="J591" s="144"/>
      <c r="K591" s="144"/>
      <c r="L591" s="144"/>
      <c r="M591" s="144"/>
      <c r="N591" s="144"/>
      <c r="O591" s="144"/>
      <c r="P591" s="144"/>
      <c r="Q591" s="144"/>
      <c r="R591" s="144"/>
      <c r="S591" s="144"/>
      <c r="T591" s="144"/>
      <c r="U591" s="144"/>
      <c r="V591" s="144"/>
      <c r="W591" s="144"/>
      <c r="X591" s="144"/>
      <c r="Y591" s="144"/>
      <c r="Z591" s="144"/>
    </row>
    <row r="592" spans="1:26" ht="24.75">
      <c r="A592" s="144"/>
      <c r="B592" s="141"/>
      <c r="C592" s="142"/>
      <c r="D592" s="154"/>
      <c r="E592" s="143"/>
      <c r="F592" s="144"/>
      <c r="G592" s="151"/>
      <c r="H592" s="151"/>
      <c r="I592" s="144"/>
      <c r="J592" s="144"/>
      <c r="K592" s="144"/>
      <c r="L592" s="144"/>
      <c r="M592" s="144"/>
      <c r="N592" s="144"/>
      <c r="O592" s="144"/>
      <c r="P592" s="144"/>
      <c r="Q592" s="144"/>
      <c r="R592" s="144"/>
      <c r="S592" s="144"/>
      <c r="T592" s="144"/>
      <c r="U592" s="144"/>
      <c r="V592" s="144"/>
      <c r="W592" s="144"/>
      <c r="X592" s="144"/>
      <c r="Y592" s="144"/>
      <c r="Z592" s="144"/>
    </row>
    <row r="593" spans="1:26" ht="24.75">
      <c r="A593" s="144"/>
      <c r="B593" s="141"/>
      <c r="C593" s="142"/>
      <c r="D593" s="154"/>
      <c r="E593" s="143"/>
      <c r="F593" s="144"/>
      <c r="G593" s="153"/>
      <c r="H593" s="153"/>
      <c r="I593" s="144"/>
      <c r="J593" s="144"/>
      <c r="K593" s="144"/>
      <c r="L593" s="144"/>
      <c r="M593" s="144"/>
      <c r="N593" s="144"/>
      <c r="O593" s="144"/>
      <c r="P593" s="144"/>
      <c r="Q593" s="144"/>
      <c r="R593" s="144"/>
      <c r="S593" s="144"/>
      <c r="T593" s="144"/>
      <c r="U593" s="144"/>
      <c r="V593" s="144"/>
      <c r="W593" s="144"/>
      <c r="X593" s="144"/>
      <c r="Y593" s="144"/>
      <c r="Z593" s="144"/>
    </row>
    <row r="594" spans="1:26" ht="24.75">
      <c r="A594" s="144"/>
      <c r="B594" s="141"/>
      <c r="C594" s="142"/>
      <c r="D594" s="154"/>
      <c r="E594" s="143"/>
      <c r="F594" s="144"/>
      <c r="G594" s="151"/>
      <c r="H594" s="151"/>
      <c r="I594" s="144"/>
      <c r="J594" s="144"/>
      <c r="K594" s="144"/>
      <c r="L594" s="144"/>
      <c r="M594" s="144"/>
      <c r="N594" s="144"/>
      <c r="O594" s="144"/>
      <c r="P594" s="144"/>
      <c r="Q594" s="144"/>
      <c r="R594" s="144"/>
      <c r="S594" s="144"/>
      <c r="T594" s="144"/>
      <c r="U594" s="144"/>
      <c r="V594" s="144"/>
      <c r="W594" s="144"/>
      <c r="X594" s="144"/>
      <c r="Y594" s="144"/>
      <c r="Z594" s="144"/>
    </row>
    <row r="595" spans="1:26" ht="24.75">
      <c r="A595" s="144"/>
      <c r="B595" s="141"/>
      <c r="C595" s="142"/>
      <c r="D595" s="154"/>
      <c r="E595" s="143"/>
      <c r="F595" s="144"/>
      <c r="G595" s="153"/>
      <c r="H595" s="153"/>
      <c r="I595" s="144"/>
      <c r="J595" s="144"/>
      <c r="K595" s="144"/>
      <c r="L595" s="144"/>
      <c r="M595" s="144"/>
      <c r="N595" s="144"/>
      <c r="O595" s="144"/>
      <c r="P595" s="144"/>
      <c r="Q595" s="144"/>
      <c r="R595" s="144"/>
      <c r="S595" s="144"/>
      <c r="T595" s="144"/>
      <c r="U595" s="144"/>
      <c r="V595" s="144"/>
      <c r="W595" s="144"/>
      <c r="X595" s="144"/>
      <c r="Y595" s="144"/>
      <c r="Z595" s="144"/>
    </row>
    <row r="596" spans="1:26" ht="24.75">
      <c r="A596" s="144"/>
      <c r="B596" s="141"/>
      <c r="C596" s="142"/>
      <c r="D596" s="154"/>
      <c r="E596" s="143"/>
      <c r="F596" s="144"/>
      <c r="G596" s="151"/>
      <c r="H596" s="151"/>
      <c r="I596" s="144"/>
      <c r="J596" s="144"/>
      <c r="K596" s="144"/>
      <c r="L596" s="144"/>
      <c r="M596" s="144"/>
      <c r="N596" s="144"/>
      <c r="O596" s="144"/>
      <c r="P596" s="144"/>
      <c r="Q596" s="144"/>
      <c r="R596" s="144"/>
      <c r="S596" s="144"/>
      <c r="T596" s="144"/>
      <c r="U596" s="144"/>
      <c r="V596" s="144"/>
      <c r="W596" s="144"/>
      <c r="X596" s="144"/>
      <c r="Y596" s="144"/>
      <c r="Z596" s="144"/>
    </row>
    <row r="597" spans="1:26" ht="24.75">
      <c r="A597" s="144"/>
      <c r="B597" s="141"/>
      <c r="C597" s="142"/>
      <c r="D597" s="154"/>
      <c r="E597" s="143"/>
      <c r="F597" s="144"/>
      <c r="G597" s="153"/>
      <c r="H597" s="153"/>
      <c r="I597" s="144"/>
      <c r="J597" s="144"/>
      <c r="K597" s="144"/>
      <c r="L597" s="144"/>
      <c r="M597" s="144"/>
      <c r="N597" s="144"/>
      <c r="O597" s="144"/>
      <c r="P597" s="144"/>
      <c r="Q597" s="144"/>
      <c r="R597" s="144"/>
      <c r="S597" s="144"/>
      <c r="T597" s="144"/>
      <c r="U597" s="144"/>
      <c r="V597" s="144"/>
      <c r="W597" s="144"/>
      <c r="X597" s="144"/>
      <c r="Y597" s="144"/>
      <c r="Z597" s="144"/>
    </row>
    <row r="598" spans="1:26" ht="24.75">
      <c r="A598" s="144"/>
      <c r="B598" s="141"/>
      <c r="C598" s="142"/>
      <c r="D598" s="154"/>
      <c r="E598" s="143"/>
      <c r="F598" s="144"/>
      <c r="G598" s="151"/>
      <c r="H598" s="151"/>
      <c r="I598" s="144"/>
      <c r="J598" s="144"/>
      <c r="K598" s="144"/>
      <c r="L598" s="144"/>
      <c r="M598" s="144"/>
      <c r="N598" s="144"/>
      <c r="O598" s="144"/>
      <c r="P598" s="144"/>
      <c r="Q598" s="144"/>
      <c r="R598" s="144"/>
      <c r="S598" s="144"/>
      <c r="T598" s="144"/>
      <c r="U598" s="144"/>
      <c r="V598" s="144"/>
      <c r="W598" s="144"/>
      <c r="X598" s="144"/>
      <c r="Y598" s="144"/>
      <c r="Z598" s="144"/>
    </row>
    <row r="599" spans="1:26" ht="24.75">
      <c r="A599" s="144"/>
      <c r="B599" s="141"/>
      <c r="C599" s="142"/>
      <c r="D599" s="154"/>
      <c r="E599" s="143"/>
      <c r="F599" s="144"/>
      <c r="G599" s="153"/>
      <c r="H599" s="153"/>
      <c r="I599" s="144"/>
      <c r="J599" s="144"/>
      <c r="K599" s="144"/>
      <c r="L599" s="144"/>
      <c r="M599" s="144"/>
      <c r="N599" s="144"/>
      <c r="O599" s="144"/>
      <c r="P599" s="144"/>
      <c r="Q599" s="144"/>
      <c r="R599" s="144"/>
      <c r="S599" s="144"/>
      <c r="T599" s="144"/>
      <c r="U599" s="144"/>
      <c r="V599" s="144"/>
      <c r="W599" s="144"/>
      <c r="X599" s="144"/>
      <c r="Y599" s="144"/>
      <c r="Z599" s="144"/>
    </row>
    <row r="600" spans="1:26" ht="24.75">
      <c r="A600" s="144"/>
      <c r="B600" s="141"/>
      <c r="C600" s="142"/>
      <c r="D600" s="154"/>
      <c r="E600" s="143"/>
      <c r="F600" s="144"/>
      <c r="G600" s="151"/>
      <c r="H600" s="151"/>
      <c r="I600" s="144"/>
      <c r="J600" s="144"/>
      <c r="K600" s="144"/>
      <c r="L600" s="144"/>
      <c r="M600" s="144"/>
      <c r="N600" s="144"/>
      <c r="O600" s="144"/>
      <c r="P600" s="144"/>
      <c r="Q600" s="144"/>
      <c r="R600" s="144"/>
      <c r="S600" s="144"/>
      <c r="T600" s="144"/>
      <c r="U600" s="144"/>
      <c r="V600" s="144"/>
      <c r="W600" s="144"/>
      <c r="X600" s="144"/>
      <c r="Y600" s="144"/>
      <c r="Z600" s="144"/>
    </row>
    <row r="601" spans="1:26" ht="24.75">
      <c r="A601" s="144"/>
      <c r="B601" s="141"/>
      <c r="C601" s="142"/>
      <c r="D601" s="154"/>
      <c r="E601" s="143"/>
      <c r="F601" s="144"/>
      <c r="G601" s="153"/>
      <c r="H601" s="153"/>
      <c r="I601" s="144"/>
      <c r="J601" s="144"/>
      <c r="K601" s="144"/>
      <c r="L601" s="144"/>
      <c r="M601" s="144"/>
      <c r="N601" s="144"/>
      <c r="O601" s="144"/>
      <c r="P601" s="144"/>
      <c r="Q601" s="144"/>
      <c r="R601" s="144"/>
      <c r="S601" s="144"/>
      <c r="T601" s="144"/>
      <c r="U601" s="144"/>
      <c r="V601" s="144"/>
      <c r="W601" s="144"/>
      <c r="X601" s="144"/>
      <c r="Y601" s="144"/>
      <c r="Z601" s="144"/>
    </row>
    <row r="602" spans="1:26" ht="24.75">
      <c r="A602" s="144"/>
      <c r="B602" s="141"/>
      <c r="C602" s="142"/>
      <c r="D602" s="154"/>
      <c r="E602" s="143"/>
      <c r="F602" s="144"/>
      <c r="G602" s="151"/>
      <c r="H602" s="151"/>
      <c r="I602" s="144"/>
      <c r="J602" s="144"/>
      <c r="K602" s="144"/>
      <c r="L602" s="144"/>
      <c r="M602" s="144"/>
      <c r="N602" s="144"/>
      <c r="O602" s="144"/>
      <c r="P602" s="144"/>
      <c r="Q602" s="144"/>
      <c r="R602" s="144"/>
      <c r="S602" s="144"/>
      <c r="T602" s="144"/>
      <c r="U602" s="144"/>
      <c r="V602" s="144"/>
      <c r="W602" s="144"/>
      <c r="X602" s="144"/>
      <c r="Y602" s="144"/>
      <c r="Z602" s="144"/>
    </row>
    <row r="603" spans="1:26" ht="24.75">
      <c r="A603" s="144"/>
      <c r="B603" s="141"/>
      <c r="C603" s="142"/>
      <c r="D603" s="154"/>
      <c r="E603" s="143"/>
      <c r="F603" s="144"/>
      <c r="G603" s="153"/>
      <c r="H603" s="153"/>
      <c r="I603" s="144"/>
      <c r="J603" s="144"/>
      <c r="K603" s="144"/>
      <c r="L603" s="144"/>
      <c r="M603" s="144"/>
      <c r="N603" s="144"/>
      <c r="O603" s="144"/>
      <c r="P603" s="144"/>
      <c r="Q603" s="144"/>
      <c r="R603" s="144"/>
      <c r="S603" s="144"/>
      <c r="T603" s="144"/>
      <c r="U603" s="144"/>
      <c r="V603" s="144"/>
      <c r="W603" s="144"/>
      <c r="X603" s="144"/>
      <c r="Y603" s="144"/>
      <c r="Z603" s="144"/>
    </row>
    <row r="604" spans="1:26" ht="24.75">
      <c r="A604" s="144"/>
      <c r="B604" s="141"/>
      <c r="C604" s="142"/>
      <c r="D604" s="154"/>
      <c r="E604" s="143"/>
      <c r="F604" s="144"/>
      <c r="G604" s="151"/>
      <c r="H604" s="151"/>
      <c r="I604" s="144"/>
      <c r="J604" s="144"/>
      <c r="K604" s="144"/>
      <c r="L604" s="144"/>
      <c r="M604" s="144"/>
      <c r="N604" s="144"/>
      <c r="O604" s="144"/>
      <c r="P604" s="144"/>
      <c r="Q604" s="144"/>
      <c r="R604" s="144"/>
      <c r="S604" s="144"/>
      <c r="T604" s="144"/>
      <c r="U604" s="144"/>
      <c r="V604" s="144"/>
      <c r="W604" s="144"/>
      <c r="X604" s="144"/>
      <c r="Y604" s="144"/>
      <c r="Z604" s="144"/>
    </row>
    <row r="605" spans="1:26" ht="24.75">
      <c r="A605" s="144"/>
      <c r="B605" s="141"/>
      <c r="C605" s="142"/>
      <c r="D605" s="154"/>
      <c r="E605" s="143"/>
      <c r="F605" s="144"/>
      <c r="G605" s="153"/>
      <c r="H605" s="153"/>
      <c r="I605" s="144"/>
      <c r="J605" s="144"/>
      <c r="K605" s="144"/>
      <c r="L605" s="144"/>
      <c r="M605" s="144"/>
      <c r="N605" s="144"/>
      <c r="O605" s="144"/>
      <c r="P605" s="144"/>
      <c r="Q605" s="144"/>
      <c r="R605" s="144"/>
      <c r="S605" s="144"/>
      <c r="T605" s="144"/>
      <c r="U605" s="144"/>
      <c r="V605" s="144"/>
      <c r="W605" s="144"/>
      <c r="X605" s="144"/>
      <c r="Y605" s="144"/>
      <c r="Z605" s="144"/>
    </row>
    <row r="606" spans="1:26" ht="24.75">
      <c r="A606" s="144"/>
      <c r="B606" s="141"/>
      <c r="C606" s="142"/>
      <c r="D606" s="154"/>
      <c r="E606" s="143"/>
      <c r="F606" s="144"/>
      <c r="G606" s="151"/>
      <c r="H606" s="151"/>
      <c r="I606" s="144"/>
      <c r="J606" s="144"/>
      <c r="K606" s="144"/>
      <c r="L606" s="144"/>
      <c r="M606" s="144"/>
      <c r="N606" s="144"/>
      <c r="O606" s="144"/>
      <c r="P606" s="144"/>
      <c r="Q606" s="144"/>
      <c r="R606" s="144"/>
      <c r="S606" s="144"/>
      <c r="T606" s="144"/>
      <c r="U606" s="144"/>
      <c r="V606" s="144"/>
      <c r="W606" s="144"/>
      <c r="X606" s="144"/>
      <c r="Y606" s="144"/>
      <c r="Z606" s="144"/>
    </row>
    <row r="607" spans="1:26" ht="24.75">
      <c r="A607" s="144"/>
      <c r="B607" s="141"/>
      <c r="C607" s="142"/>
      <c r="D607" s="154"/>
      <c r="E607" s="143"/>
      <c r="F607" s="144"/>
      <c r="G607" s="153"/>
      <c r="H607" s="153"/>
      <c r="I607" s="144"/>
      <c r="J607" s="144"/>
      <c r="K607" s="144"/>
      <c r="L607" s="144"/>
      <c r="M607" s="144"/>
      <c r="N607" s="144"/>
      <c r="O607" s="144"/>
      <c r="P607" s="144"/>
      <c r="Q607" s="144"/>
      <c r="R607" s="144"/>
      <c r="S607" s="144"/>
      <c r="T607" s="144"/>
      <c r="U607" s="144"/>
      <c r="V607" s="144"/>
      <c r="W607" s="144"/>
      <c r="X607" s="144"/>
      <c r="Y607" s="144"/>
      <c r="Z607" s="144"/>
    </row>
    <row r="608" spans="1:26" ht="24.75">
      <c r="A608" s="144"/>
      <c r="B608" s="141"/>
      <c r="C608" s="142"/>
      <c r="D608" s="154"/>
      <c r="E608" s="143"/>
      <c r="F608" s="144"/>
      <c r="G608" s="151"/>
      <c r="H608" s="151"/>
      <c r="I608" s="144"/>
      <c r="J608" s="144"/>
      <c r="K608" s="144"/>
      <c r="L608" s="144"/>
      <c r="M608" s="144"/>
      <c r="N608" s="144"/>
      <c r="O608" s="144"/>
      <c r="P608" s="144"/>
      <c r="Q608" s="144"/>
      <c r="R608" s="144"/>
      <c r="S608" s="144"/>
      <c r="T608" s="144"/>
      <c r="U608" s="144"/>
      <c r="V608" s="144"/>
      <c r="W608" s="144"/>
      <c r="X608" s="144"/>
      <c r="Y608" s="144"/>
      <c r="Z608" s="144"/>
    </row>
    <row r="609" spans="1:26" ht="24.75">
      <c r="A609" s="144"/>
      <c r="B609" s="141"/>
      <c r="C609" s="142"/>
      <c r="D609" s="154"/>
      <c r="E609" s="143"/>
      <c r="F609" s="144"/>
      <c r="G609" s="153"/>
      <c r="H609" s="153"/>
      <c r="I609" s="144"/>
      <c r="J609" s="144"/>
      <c r="K609" s="144"/>
      <c r="L609" s="144"/>
      <c r="M609" s="144"/>
      <c r="N609" s="144"/>
      <c r="O609" s="144"/>
      <c r="P609" s="144"/>
      <c r="Q609" s="144"/>
      <c r="R609" s="144"/>
      <c r="S609" s="144"/>
      <c r="T609" s="144"/>
      <c r="U609" s="144"/>
      <c r="V609" s="144"/>
      <c r="W609" s="144"/>
      <c r="X609" s="144"/>
      <c r="Y609" s="144"/>
      <c r="Z609" s="144"/>
    </row>
    <row r="610" spans="1:26" ht="24.75">
      <c r="A610" s="144"/>
      <c r="B610" s="141"/>
      <c r="C610" s="142"/>
      <c r="D610" s="154"/>
      <c r="E610" s="143"/>
      <c r="F610" s="144"/>
      <c r="G610" s="151"/>
      <c r="H610" s="151"/>
      <c r="I610" s="144"/>
      <c r="J610" s="144"/>
      <c r="K610" s="144"/>
      <c r="L610" s="144"/>
      <c r="M610" s="144"/>
      <c r="N610" s="144"/>
      <c r="O610" s="144"/>
      <c r="P610" s="144"/>
      <c r="Q610" s="144"/>
      <c r="R610" s="144"/>
      <c r="S610" s="144"/>
      <c r="T610" s="144"/>
      <c r="U610" s="144"/>
      <c r="V610" s="144"/>
      <c r="W610" s="144"/>
      <c r="X610" s="144"/>
      <c r="Y610" s="144"/>
      <c r="Z610" s="144"/>
    </row>
    <row r="611" spans="1:26" ht="24.75">
      <c r="A611" s="144"/>
      <c r="B611" s="141"/>
      <c r="C611" s="142"/>
      <c r="D611" s="154"/>
      <c r="E611" s="143"/>
      <c r="F611" s="144"/>
      <c r="G611" s="153"/>
      <c r="H611" s="153"/>
      <c r="I611" s="144"/>
      <c r="J611" s="144"/>
      <c r="K611" s="144"/>
      <c r="L611" s="144"/>
      <c r="M611" s="144"/>
      <c r="N611" s="144"/>
      <c r="O611" s="144"/>
      <c r="P611" s="144"/>
      <c r="Q611" s="144"/>
      <c r="R611" s="144"/>
      <c r="S611" s="144"/>
      <c r="T611" s="144"/>
      <c r="U611" s="144"/>
      <c r="V611" s="144"/>
      <c r="W611" s="144"/>
      <c r="X611" s="144"/>
      <c r="Y611" s="144"/>
      <c r="Z611" s="144"/>
    </row>
    <row r="612" spans="1:26" ht="24.75">
      <c r="A612" s="144"/>
      <c r="B612" s="141"/>
      <c r="C612" s="142"/>
      <c r="D612" s="154"/>
      <c r="E612" s="143"/>
      <c r="F612" s="144"/>
      <c r="G612" s="151"/>
      <c r="H612" s="151"/>
      <c r="I612" s="144"/>
      <c r="J612" s="144"/>
      <c r="K612" s="144"/>
      <c r="L612" s="144"/>
      <c r="M612" s="144"/>
      <c r="N612" s="144"/>
      <c r="O612" s="144"/>
      <c r="P612" s="144"/>
      <c r="Q612" s="144"/>
      <c r="R612" s="144"/>
      <c r="S612" s="144"/>
      <c r="T612" s="144"/>
      <c r="U612" s="144"/>
      <c r="V612" s="144"/>
      <c r="W612" s="144"/>
      <c r="X612" s="144"/>
      <c r="Y612" s="144"/>
      <c r="Z612" s="144"/>
    </row>
    <row r="613" spans="1:26" ht="24.75">
      <c r="A613" s="144"/>
      <c r="B613" s="141"/>
      <c r="C613" s="142"/>
      <c r="D613" s="154"/>
      <c r="E613" s="143"/>
      <c r="F613" s="144"/>
      <c r="G613" s="153"/>
      <c r="H613" s="153"/>
      <c r="I613" s="144"/>
      <c r="J613" s="144"/>
      <c r="K613" s="144"/>
      <c r="L613" s="144"/>
      <c r="M613" s="144"/>
      <c r="N613" s="144"/>
      <c r="O613" s="144"/>
      <c r="P613" s="144"/>
      <c r="Q613" s="144"/>
      <c r="R613" s="144"/>
      <c r="S613" s="144"/>
      <c r="T613" s="144"/>
      <c r="U613" s="144"/>
      <c r="V613" s="144"/>
      <c r="W613" s="144"/>
      <c r="X613" s="144"/>
      <c r="Y613" s="144"/>
      <c r="Z613" s="144"/>
    </row>
    <row r="614" spans="1:26" ht="24.75">
      <c r="A614" s="144"/>
      <c r="B614" s="141"/>
      <c r="C614" s="142"/>
      <c r="D614" s="154"/>
      <c r="E614" s="143"/>
      <c r="F614" s="144"/>
      <c r="G614" s="151"/>
      <c r="H614" s="151"/>
      <c r="I614" s="144"/>
      <c r="J614" s="144"/>
      <c r="K614" s="144"/>
      <c r="L614" s="144"/>
      <c r="M614" s="144"/>
      <c r="N614" s="144"/>
      <c r="O614" s="144"/>
      <c r="P614" s="144"/>
      <c r="Q614" s="144"/>
      <c r="R614" s="144"/>
      <c r="S614" s="144"/>
      <c r="T614" s="144"/>
      <c r="U614" s="144"/>
      <c r="V614" s="144"/>
      <c r="W614" s="144"/>
      <c r="X614" s="144"/>
      <c r="Y614" s="144"/>
      <c r="Z614" s="144"/>
    </row>
    <row r="615" spans="1:26" ht="24.75">
      <c r="A615" s="144"/>
      <c r="B615" s="141"/>
      <c r="C615" s="142"/>
      <c r="D615" s="154"/>
      <c r="E615" s="143"/>
      <c r="F615" s="144"/>
      <c r="G615" s="153"/>
      <c r="H615" s="153"/>
      <c r="I615" s="144"/>
      <c r="J615" s="144"/>
      <c r="K615" s="144"/>
      <c r="L615" s="144"/>
      <c r="M615" s="144"/>
      <c r="N615" s="144"/>
      <c r="O615" s="144"/>
      <c r="P615" s="144"/>
      <c r="Q615" s="144"/>
      <c r="R615" s="144"/>
      <c r="S615" s="144"/>
      <c r="T615" s="144"/>
      <c r="U615" s="144"/>
      <c r="V615" s="144"/>
      <c r="W615" s="144"/>
      <c r="X615" s="144"/>
      <c r="Y615" s="144"/>
      <c r="Z615" s="144"/>
    </row>
    <row r="616" spans="1:26" ht="24.75">
      <c r="A616" s="144"/>
      <c r="B616" s="141"/>
      <c r="C616" s="142"/>
      <c r="D616" s="154"/>
      <c r="E616" s="143"/>
      <c r="F616" s="144"/>
      <c r="G616" s="151"/>
      <c r="H616" s="151"/>
      <c r="I616" s="144"/>
      <c r="J616" s="144"/>
      <c r="K616" s="144"/>
      <c r="L616" s="144"/>
      <c r="M616" s="144"/>
      <c r="N616" s="144"/>
      <c r="O616" s="144"/>
      <c r="P616" s="144"/>
      <c r="Q616" s="144"/>
      <c r="R616" s="144"/>
      <c r="S616" s="144"/>
      <c r="T616" s="144"/>
      <c r="U616" s="144"/>
      <c r="V616" s="144"/>
      <c r="W616" s="144"/>
      <c r="X616" s="144"/>
      <c r="Y616" s="144"/>
      <c r="Z616" s="144"/>
    </row>
    <row r="617" spans="1:26" ht="24.75">
      <c r="A617" s="144"/>
      <c r="B617" s="141"/>
      <c r="C617" s="142"/>
      <c r="D617" s="154"/>
      <c r="E617" s="143"/>
      <c r="F617" s="144"/>
      <c r="G617" s="153"/>
      <c r="H617" s="153"/>
      <c r="I617" s="144"/>
      <c r="J617" s="144"/>
      <c r="K617" s="144"/>
      <c r="L617" s="144"/>
      <c r="M617" s="144"/>
      <c r="N617" s="144"/>
      <c r="O617" s="144"/>
      <c r="P617" s="144"/>
      <c r="Q617" s="144"/>
      <c r="R617" s="144"/>
      <c r="S617" s="144"/>
      <c r="T617" s="144"/>
      <c r="U617" s="144"/>
      <c r="V617" s="144"/>
      <c r="W617" s="144"/>
      <c r="X617" s="144"/>
      <c r="Y617" s="144"/>
      <c r="Z617" s="144"/>
    </row>
    <row r="618" spans="1:26" ht="24.75">
      <c r="A618" s="144"/>
      <c r="B618" s="141"/>
      <c r="C618" s="142"/>
      <c r="D618" s="154"/>
      <c r="E618" s="143"/>
      <c r="F618" s="144"/>
      <c r="G618" s="151"/>
      <c r="H618" s="151"/>
      <c r="I618" s="144"/>
      <c r="J618" s="144"/>
      <c r="K618" s="144"/>
      <c r="L618" s="144"/>
      <c r="M618" s="144"/>
      <c r="N618" s="144"/>
      <c r="O618" s="144"/>
      <c r="P618" s="144"/>
      <c r="Q618" s="144"/>
      <c r="R618" s="144"/>
      <c r="S618" s="144"/>
      <c r="T618" s="144"/>
      <c r="U618" s="144"/>
      <c r="V618" s="144"/>
      <c r="W618" s="144"/>
      <c r="X618" s="144"/>
      <c r="Y618" s="144"/>
      <c r="Z618" s="144"/>
    </row>
    <row r="619" spans="1:26" ht="24.75">
      <c r="A619" s="144"/>
      <c r="B619" s="141"/>
      <c r="C619" s="142"/>
      <c r="D619" s="154"/>
      <c r="E619" s="143"/>
      <c r="F619" s="144"/>
      <c r="G619" s="153"/>
      <c r="H619" s="153"/>
      <c r="I619" s="144"/>
      <c r="J619" s="144"/>
      <c r="K619" s="144"/>
      <c r="L619" s="144"/>
      <c r="M619" s="144"/>
      <c r="N619" s="144"/>
      <c r="O619" s="144"/>
      <c r="P619" s="144"/>
      <c r="Q619" s="144"/>
      <c r="R619" s="144"/>
      <c r="S619" s="144"/>
      <c r="T619" s="144"/>
      <c r="U619" s="144"/>
      <c r="V619" s="144"/>
      <c r="W619" s="144"/>
      <c r="X619" s="144"/>
      <c r="Y619" s="144"/>
      <c r="Z619" s="144"/>
    </row>
    <row r="620" spans="1:26" ht="24.75">
      <c r="A620" s="144"/>
      <c r="B620" s="141"/>
      <c r="C620" s="142"/>
      <c r="D620" s="154"/>
      <c r="E620" s="143"/>
      <c r="F620" s="144"/>
      <c r="G620" s="151"/>
      <c r="H620" s="151"/>
      <c r="I620" s="144"/>
      <c r="J620" s="144"/>
      <c r="K620" s="144"/>
      <c r="L620" s="144"/>
      <c r="M620" s="144"/>
      <c r="N620" s="144"/>
      <c r="O620" s="144"/>
      <c r="P620" s="144"/>
      <c r="Q620" s="144"/>
      <c r="R620" s="144"/>
      <c r="S620" s="144"/>
      <c r="T620" s="144"/>
      <c r="U620" s="144"/>
      <c r="V620" s="144"/>
      <c r="W620" s="144"/>
      <c r="X620" s="144"/>
      <c r="Y620" s="144"/>
      <c r="Z620" s="144"/>
    </row>
    <row r="621" spans="1:26" ht="24.75">
      <c r="A621" s="144"/>
      <c r="B621" s="141"/>
      <c r="C621" s="142"/>
      <c r="D621" s="154"/>
      <c r="E621" s="143"/>
      <c r="F621" s="144"/>
      <c r="G621" s="153"/>
      <c r="H621" s="153"/>
      <c r="I621" s="144"/>
      <c r="J621" s="144"/>
      <c r="K621" s="144"/>
      <c r="L621" s="144"/>
      <c r="M621" s="144"/>
      <c r="N621" s="144"/>
      <c r="O621" s="144"/>
      <c r="P621" s="144"/>
      <c r="Q621" s="144"/>
      <c r="R621" s="144"/>
      <c r="S621" s="144"/>
      <c r="T621" s="144"/>
      <c r="U621" s="144"/>
      <c r="V621" s="144"/>
      <c r="W621" s="144"/>
      <c r="X621" s="144"/>
      <c r="Y621" s="144"/>
      <c r="Z621" s="144"/>
    </row>
    <row r="622" spans="1:26" ht="24.75">
      <c r="A622" s="144"/>
      <c r="B622" s="141"/>
      <c r="C622" s="142"/>
      <c r="D622" s="154"/>
      <c r="E622" s="143"/>
      <c r="F622" s="144"/>
      <c r="G622" s="151"/>
      <c r="H622" s="151"/>
      <c r="I622" s="144"/>
      <c r="J622" s="144"/>
      <c r="K622" s="144"/>
      <c r="L622" s="144"/>
      <c r="M622" s="144"/>
      <c r="N622" s="144"/>
      <c r="O622" s="144"/>
      <c r="P622" s="144"/>
      <c r="Q622" s="144"/>
      <c r="R622" s="144"/>
      <c r="S622" s="144"/>
      <c r="T622" s="144"/>
      <c r="U622" s="144"/>
      <c r="V622" s="144"/>
      <c r="W622" s="144"/>
      <c r="X622" s="144"/>
      <c r="Y622" s="144"/>
      <c r="Z622" s="144"/>
    </row>
    <row r="623" spans="1:26" ht="24.75">
      <c r="A623" s="144"/>
      <c r="B623" s="141"/>
      <c r="C623" s="142"/>
      <c r="D623" s="154"/>
      <c r="E623" s="143"/>
      <c r="F623" s="144"/>
      <c r="G623" s="153"/>
      <c r="H623" s="153"/>
      <c r="I623" s="144"/>
      <c r="J623" s="144"/>
      <c r="K623" s="144"/>
      <c r="L623" s="144"/>
      <c r="M623" s="144"/>
      <c r="N623" s="144"/>
      <c r="O623" s="144"/>
      <c r="P623" s="144"/>
      <c r="Q623" s="144"/>
      <c r="R623" s="144"/>
      <c r="S623" s="144"/>
      <c r="T623" s="144"/>
      <c r="U623" s="144"/>
      <c r="V623" s="144"/>
      <c r="W623" s="144"/>
      <c r="X623" s="144"/>
      <c r="Y623" s="144"/>
      <c r="Z623" s="144"/>
    </row>
    <row r="624" spans="1:26" ht="24.75">
      <c r="A624" s="144"/>
      <c r="B624" s="141"/>
      <c r="C624" s="142"/>
      <c r="D624" s="154"/>
      <c r="E624" s="143"/>
      <c r="F624" s="144"/>
      <c r="G624" s="151"/>
      <c r="H624" s="151"/>
      <c r="I624" s="144"/>
      <c r="J624" s="144"/>
      <c r="K624" s="144"/>
      <c r="L624" s="144"/>
      <c r="M624" s="144"/>
      <c r="N624" s="144"/>
      <c r="O624" s="144"/>
      <c r="P624" s="144"/>
      <c r="Q624" s="144"/>
      <c r="R624" s="144"/>
      <c r="S624" s="144"/>
      <c r="T624" s="144"/>
      <c r="U624" s="144"/>
      <c r="V624" s="144"/>
      <c r="W624" s="144"/>
      <c r="X624" s="144"/>
      <c r="Y624" s="144"/>
      <c r="Z624" s="144"/>
    </row>
    <row r="625" spans="1:26" ht="24.75">
      <c r="A625" s="144"/>
      <c r="B625" s="141"/>
      <c r="C625" s="142"/>
      <c r="D625" s="154"/>
      <c r="E625" s="143"/>
      <c r="F625" s="144"/>
      <c r="G625" s="153"/>
      <c r="H625" s="153"/>
      <c r="I625" s="144"/>
      <c r="J625" s="144"/>
      <c r="K625" s="144"/>
      <c r="L625" s="144"/>
      <c r="M625" s="144"/>
      <c r="N625" s="144"/>
      <c r="O625" s="144"/>
      <c r="P625" s="144"/>
      <c r="Q625" s="144"/>
      <c r="R625" s="144"/>
      <c r="S625" s="144"/>
      <c r="T625" s="144"/>
      <c r="U625" s="144"/>
      <c r="V625" s="144"/>
      <c r="W625" s="144"/>
      <c r="X625" s="144"/>
      <c r="Y625" s="144"/>
      <c r="Z625" s="144"/>
    </row>
    <row r="626" spans="1:26" ht="24.75">
      <c r="A626" s="144"/>
      <c r="B626" s="141"/>
      <c r="C626" s="142"/>
      <c r="D626" s="154"/>
      <c r="E626" s="143"/>
      <c r="F626" s="144"/>
      <c r="G626" s="151"/>
      <c r="H626" s="151"/>
      <c r="I626" s="144"/>
      <c r="J626" s="144"/>
      <c r="K626" s="144"/>
      <c r="L626" s="144"/>
      <c r="M626" s="144"/>
      <c r="N626" s="144"/>
      <c r="O626" s="144"/>
      <c r="P626" s="144"/>
      <c r="Q626" s="144"/>
      <c r="R626" s="144"/>
      <c r="S626" s="144"/>
      <c r="T626" s="144"/>
      <c r="U626" s="144"/>
      <c r="V626" s="144"/>
      <c r="W626" s="144"/>
      <c r="X626" s="144"/>
      <c r="Y626" s="144"/>
      <c r="Z626" s="144"/>
    </row>
    <row r="627" spans="1:26" ht="24.75">
      <c r="A627" s="144"/>
      <c r="B627" s="141"/>
      <c r="C627" s="142"/>
      <c r="D627" s="154"/>
      <c r="E627" s="143"/>
      <c r="F627" s="144"/>
      <c r="G627" s="153"/>
      <c r="H627" s="153"/>
      <c r="I627" s="144"/>
      <c r="J627" s="144"/>
      <c r="K627" s="144"/>
      <c r="L627" s="144"/>
      <c r="M627" s="144"/>
      <c r="N627" s="144"/>
      <c r="O627" s="144"/>
      <c r="P627" s="144"/>
      <c r="Q627" s="144"/>
      <c r="R627" s="144"/>
      <c r="S627" s="144"/>
      <c r="T627" s="144"/>
      <c r="U627" s="144"/>
      <c r="V627" s="144"/>
      <c r="W627" s="144"/>
      <c r="X627" s="144"/>
      <c r="Y627" s="144"/>
      <c r="Z627" s="144"/>
    </row>
    <row r="628" spans="1:26" ht="24.75">
      <c r="A628" s="144"/>
      <c r="B628" s="141"/>
      <c r="C628" s="142"/>
      <c r="D628" s="154"/>
      <c r="E628" s="143"/>
      <c r="F628" s="144"/>
      <c r="G628" s="151"/>
      <c r="H628" s="151"/>
      <c r="I628" s="144"/>
      <c r="J628" s="144"/>
      <c r="K628" s="144"/>
      <c r="L628" s="144"/>
      <c r="M628" s="144"/>
      <c r="N628" s="144"/>
      <c r="O628" s="144"/>
      <c r="P628" s="144"/>
      <c r="Q628" s="144"/>
      <c r="R628" s="144"/>
      <c r="S628" s="144"/>
      <c r="T628" s="144"/>
      <c r="U628" s="144"/>
      <c r="V628" s="144"/>
      <c r="W628" s="144"/>
      <c r="X628" s="144"/>
      <c r="Y628" s="144"/>
      <c r="Z628" s="144"/>
    </row>
    <row r="629" spans="1:26" ht="24.75">
      <c r="A629" s="144"/>
      <c r="B629" s="141"/>
      <c r="C629" s="142"/>
      <c r="D629" s="154"/>
      <c r="E629" s="143"/>
      <c r="F629" s="144"/>
      <c r="G629" s="153"/>
      <c r="H629" s="153"/>
      <c r="I629" s="144"/>
      <c r="J629" s="144"/>
      <c r="K629" s="144"/>
      <c r="L629" s="144"/>
      <c r="M629" s="144"/>
      <c r="N629" s="144"/>
      <c r="O629" s="144"/>
      <c r="P629" s="144"/>
      <c r="Q629" s="144"/>
      <c r="R629" s="144"/>
      <c r="S629" s="144"/>
      <c r="T629" s="144"/>
      <c r="U629" s="144"/>
      <c r="V629" s="144"/>
      <c r="W629" s="144"/>
      <c r="X629" s="144"/>
      <c r="Y629" s="144"/>
      <c r="Z629" s="144"/>
    </row>
    <row r="630" spans="1:26" ht="24.75">
      <c r="A630" s="144"/>
      <c r="B630" s="141"/>
      <c r="C630" s="142"/>
      <c r="D630" s="154"/>
      <c r="E630" s="143"/>
      <c r="F630" s="144"/>
      <c r="G630" s="151"/>
      <c r="H630" s="151"/>
      <c r="I630" s="144"/>
      <c r="J630" s="144"/>
      <c r="K630" s="144"/>
      <c r="L630" s="144"/>
      <c r="M630" s="144"/>
      <c r="N630" s="144"/>
      <c r="O630" s="144"/>
      <c r="P630" s="144"/>
      <c r="Q630" s="144"/>
      <c r="R630" s="144"/>
      <c r="S630" s="144"/>
      <c r="T630" s="144"/>
      <c r="U630" s="144"/>
      <c r="V630" s="144"/>
      <c r="W630" s="144"/>
      <c r="X630" s="144"/>
      <c r="Y630" s="144"/>
      <c r="Z630" s="144"/>
    </row>
    <row r="631" spans="1:26" ht="24.75">
      <c r="A631" s="144"/>
      <c r="B631" s="141"/>
      <c r="C631" s="142"/>
      <c r="D631" s="154"/>
      <c r="E631" s="143"/>
      <c r="F631" s="144"/>
      <c r="G631" s="153"/>
      <c r="H631" s="153"/>
      <c r="I631" s="144"/>
      <c r="J631" s="144"/>
      <c r="K631" s="144"/>
      <c r="L631" s="144"/>
      <c r="M631" s="144"/>
      <c r="N631" s="144"/>
      <c r="O631" s="144"/>
      <c r="P631" s="144"/>
      <c r="Q631" s="144"/>
      <c r="R631" s="144"/>
      <c r="S631" s="144"/>
      <c r="T631" s="144"/>
      <c r="U631" s="144"/>
      <c r="V631" s="144"/>
      <c r="W631" s="144"/>
      <c r="X631" s="144"/>
      <c r="Y631" s="144"/>
      <c r="Z631" s="144"/>
    </row>
    <row r="632" spans="1:26" ht="24.75">
      <c r="A632" s="144"/>
      <c r="B632" s="141"/>
      <c r="C632" s="142"/>
      <c r="D632" s="154"/>
      <c r="E632" s="143"/>
      <c r="F632" s="144"/>
      <c r="G632" s="151"/>
      <c r="H632" s="151"/>
      <c r="I632" s="144"/>
      <c r="J632" s="144"/>
      <c r="K632" s="144"/>
      <c r="L632" s="144"/>
      <c r="M632" s="144"/>
      <c r="N632" s="144"/>
      <c r="O632" s="144"/>
      <c r="P632" s="144"/>
      <c r="Q632" s="144"/>
      <c r="R632" s="144"/>
      <c r="S632" s="144"/>
      <c r="T632" s="144"/>
      <c r="U632" s="144"/>
      <c r="V632" s="144"/>
      <c r="W632" s="144"/>
      <c r="X632" s="144"/>
      <c r="Y632" s="144"/>
      <c r="Z632" s="144"/>
    </row>
    <row r="633" spans="1:26" ht="24.75">
      <c r="A633" s="144"/>
      <c r="B633" s="141"/>
      <c r="C633" s="142"/>
      <c r="D633" s="154"/>
      <c r="E633" s="143"/>
      <c r="F633" s="144"/>
      <c r="G633" s="153"/>
      <c r="H633" s="153"/>
      <c r="I633" s="144"/>
      <c r="J633" s="144"/>
      <c r="K633" s="144"/>
      <c r="L633" s="144"/>
      <c r="M633" s="144"/>
      <c r="N633" s="144"/>
      <c r="O633" s="144"/>
      <c r="P633" s="144"/>
      <c r="Q633" s="144"/>
      <c r="R633" s="144"/>
      <c r="S633" s="144"/>
      <c r="T633" s="144"/>
      <c r="U633" s="144"/>
      <c r="V633" s="144"/>
      <c r="W633" s="144"/>
      <c r="X633" s="144"/>
      <c r="Y633" s="144"/>
      <c r="Z633" s="144"/>
    </row>
    <row r="634" spans="1:26" ht="24.75">
      <c r="A634" s="144"/>
      <c r="B634" s="141"/>
      <c r="C634" s="142"/>
      <c r="D634" s="154"/>
      <c r="E634" s="143"/>
      <c r="F634" s="144"/>
      <c r="G634" s="151"/>
      <c r="H634" s="151"/>
      <c r="I634" s="144"/>
      <c r="J634" s="144"/>
      <c r="K634" s="144"/>
      <c r="L634" s="144"/>
      <c r="M634" s="144"/>
      <c r="N634" s="144"/>
      <c r="O634" s="144"/>
      <c r="P634" s="144"/>
      <c r="Q634" s="144"/>
      <c r="R634" s="144"/>
      <c r="S634" s="144"/>
      <c r="T634" s="144"/>
      <c r="U634" s="144"/>
      <c r="V634" s="144"/>
      <c r="W634" s="144"/>
      <c r="X634" s="144"/>
      <c r="Y634" s="144"/>
      <c r="Z634" s="144"/>
    </row>
    <row r="635" spans="1:26" ht="24.75">
      <c r="A635" s="144"/>
      <c r="B635" s="141"/>
      <c r="C635" s="142"/>
      <c r="D635" s="154"/>
      <c r="E635" s="143"/>
      <c r="F635" s="144"/>
      <c r="G635" s="153"/>
      <c r="H635" s="153"/>
      <c r="I635" s="144"/>
      <c r="J635" s="144"/>
      <c r="K635" s="144"/>
      <c r="L635" s="144"/>
      <c r="M635" s="144"/>
      <c r="N635" s="144"/>
      <c r="O635" s="144"/>
      <c r="P635" s="144"/>
      <c r="Q635" s="144"/>
      <c r="R635" s="144"/>
      <c r="S635" s="144"/>
      <c r="T635" s="144"/>
      <c r="U635" s="144"/>
      <c r="V635" s="144"/>
      <c r="W635" s="144"/>
      <c r="X635" s="144"/>
      <c r="Y635" s="144"/>
      <c r="Z635" s="144"/>
    </row>
    <row r="636" spans="1:26" ht="24.75">
      <c r="A636" s="144"/>
      <c r="B636" s="141"/>
      <c r="C636" s="142"/>
      <c r="D636" s="154"/>
      <c r="E636" s="143"/>
      <c r="F636" s="144"/>
      <c r="G636" s="151"/>
      <c r="H636" s="151"/>
      <c r="I636" s="144"/>
      <c r="J636" s="144"/>
      <c r="K636" s="144"/>
      <c r="L636" s="144"/>
      <c r="M636" s="144"/>
      <c r="N636" s="144"/>
      <c r="O636" s="144"/>
      <c r="P636" s="144"/>
      <c r="Q636" s="144"/>
      <c r="R636" s="144"/>
      <c r="S636" s="144"/>
      <c r="T636" s="144"/>
      <c r="U636" s="144"/>
      <c r="V636" s="144"/>
      <c r="W636" s="144"/>
      <c r="X636" s="144"/>
      <c r="Y636" s="144"/>
      <c r="Z636" s="144"/>
    </row>
    <row r="637" spans="1:26" ht="24.75">
      <c r="A637" s="144"/>
      <c r="B637" s="141"/>
      <c r="C637" s="142"/>
      <c r="D637" s="154"/>
      <c r="E637" s="143"/>
      <c r="F637" s="144"/>
      <c r="G637" s="153"/>
      <c r="H637" s="153"/>
      <c r="I637" s="144"/>
      <c r="J637" s="144"/>
      <c r="K637" s="144"/>
      <c r="L637" s="144"/>
      <c r="M637" s="144"/>
      <c r="N637" s="144"/>
      <c r="O637" s="144"/>
      <c r="P637" s="144"/>
      <c r="Q637" s="144"/>
      <c r="R637" s="144"/>
      <c r="S637" s="144"/>
      <c r="T637" s="144"/>
      <c r="U637" s="144"/>
      <c r="V637" s="144"/>
      <c r="W637" s="144"/>
      <c r="X637" s="144"/>
      <c r="Y637" s="144"/>
      <c r="Z637" s="144"/>
    </row>
    <row r="638" spans="1:26" ht="24.75">
      <c r="A638" s="144"/>
      <c r="B638" s="141"/>
      <c r="C638" s="142"/>
      <c r="D638" s="154"/>
      <c r="E638" s="143"/>
      <c r="F638" s="144"/>
      <c r="G638" s="151"/>
      <c r="H638" s="151"/>
      <c r="I638" s="144"/>
      <c r="J638" s="144"/>
      <c r="K638" s="144"/>
      <c r="L638" s="144"/>
      <c r="M638" s="144"/>
      <c r="N638" s="144"/>
      <c r="O638" s="144"/>
      <c r="P638" s="144"/>
      <c r="Q638" s="144"/>
      <c r="R638" s="144"/>
      <c r="S638" s="144"/>
      <c r="T638" s="144"/>
      <c r="U638" s="144"/>
      <c r="V638" s="144"/>
      <c r="W638" s="144"/>
      <c r="X638" s="144"/>
      <c r="Y638" s="144"/>
      <c r="Z638" s="144"/>
    </row>
    <row r="639" spans="1:26" ht="24.75">
      <c r="A639" s="144"/>
      <c r="B639" s="141"/>
      <c r="C639" s="142"/>
      <c r="D639" s="154"/>
      <c r="E639" s="143"/>
      <c r="F639" s="144"/>
      <c r="G639" s="153"/>
      <c r="H639" s="153"/>
      <c r="I639" s="144"/>
      <c r="J639" s="144"/>
      <c r="K639" s="144"/>
      <c r="L639" s="144"/>
      <c r="M639" s="144"/>
      <c r="N639" s="144"/>
      <c r="O639" s="144"/>
      <c r="P639" s="144"/>
      <c r="Q639" s="144"/>
      <c r="R639" s="144"/>
      <c r="S639" s="144"/>
      <c r="T639" s="144"/>
      <c r="U639" s="144"/>
      <c r="V639" s="144"/>
      <c r="W639" s="144"/>
      <c r="X639" s="144"/>
      <c r="Y639" s="144"/>
      <c r="Z639" s="144"/>
    </row>
    <row r="640" spans="1:26" ht="24.75">
      <c r="A640" s="144"/>
      <c r="B640" s="141"/>
      <c r="C640" s="142"/>
      <c r="D640" s="154"/>
      <c r="E640" s="143"/>
      <c r="F640" s="144"/>
      <c r="G640" s="151"/>
      <c r="H640" s="151"/>
      <c r="I640" s="144"/>
      <c r="J640" s="144"/>
      <c r="K640" s="144"/>
      <c r="L640" s="144"/>
      <c r="M640" s="144"/>
      <c r="N640" s="144"/>
      <c r="O640" s="144"/>
      <c r="P640" s="144"/>
      <c r="Q640" s="144"/>
      <c r="R640" s="144"/>
      <c r="S640" s="144"/>
      <c r="T640" s="144"/>
      <c r="U640" s="144"/>
      <c r="V640" s="144"/>
      <c r="W640" s="144"/>
      <c r="X640" s="144"/>
      <c r="Y640" s="144"/>
      <c r="Z640" s="144"/>
    </row>
    <row r="641" spans="1:26" ht="24.75">
      <c r="A641" s="144"/>
      <c r="B641" s="141"/>
      <c r="C641" s="142"/>
      <c r="D641" s="154"/>
      <c r="E641" s="143"/>
      <c r="F641" s="144"/>
      <c r="G641" s="153"/>
      <c r="H641" s="153"/>
      <c r="I641" s="144"/>
      <c r="J641" s="144"/>
      <c r="K641" s="144"/>
      <c r="L641" s="144"/>
      <c r="M641" s="144"/>
      <c r="N641" s="144"/>
      <c r="O641" s="144"/>
      <c r="P641" s="144"/>
      <c r="Q641" s="144"/>
      <c r="R641" s="144"/>
      <c r="S641" s="144"/>
      <c r="T641" s="144"/>
      <c r="U641" s="144"/>
      <c r="V641" s="144"/>
      <c r="W641" s="144"/>
      <c r="X641" s="144"/>
      <c r="Y641" s="144"/>
      <c r="Z641" s="144"/>
    </row>
    <row r="642" spans="1:26" ht="24.75">
      <c r="A642" s="144"/>
      <c r="B642" s="141"/>
      <c r="C642" s="142"/>
      <c r="D642" s="154"/>
      <c r="E642" s="143"/>
      <c r="F642" s="144"/>
      <c r="G642" s="151"/>
      <c r="H642" s="151"/>
      <c r="I642" s="144"/>
      <c r="J642" s="144"/>
      <c r="K642" s="144"/>
      <c r="L642" s="144"/>
      <c r="M642" s="144"/>
      <c r="N642" s="144"/>
      <c r="O642" s="144"/>
      <c r="P642" s="144"/>
      <c r="Q642" s="144"/>
      <c r="R642" s="144"/>
      <c r="S642" s="144"/>
      <c r="T642" s="144"/>
      <c r="U642" s="144"/>
      <c r="V642" s="144"/>
      <c r="W642" s="144"/>
      <c r="X642" s="144"/>
      <c r="Y642" s="144"/>
      <c r="Z642" s="144"/>
    </row>
    <row r="643" spans="1:26" ht="24.75">
      <c r="A643" s="144"/>
      <c r="B643" s="141"/>
      <c r="C643" s="142"/>
      <c r="D643" s="154"/>
      <c r="E643" s="143"/>
      <c r="F643" s="144"/>
      <c r="G643" s="153"/>
      <c r="H643" s="153"/>
      <c r="I643" s="144"/>
      <c r="J643" s="144"/>
      <c r="K643" s="144"/>
      <c r="L643" s="144"/>
      <c r="M643" s="144"/>
      <c r="N643" s="144"/>
      <c r="O643" s="144"/>
      <c r="P643" s="144"/>
      <c r="Q643" s="144"/>
      <c r="R643" s="144"/>
      <c r="S643" s="144"/>
      <c r="T643" s="144"/>
      <c r="U643" s="144"/>
      <c r="V643" s="144"/>
      <c r="W643" s="144"/>
      <c r="X643" s="144"/>
      <c r="Y643" s="144"/>
      <c r="Z643" s="144"/>
    </row>
    <row r="644" spans="1:26" ht="24.75">
      <c r="A644" s="144"/>
      <c r="B644" s="141"/>
      <c r="C644" s="142"/>
      <c r="D644" s="154"/>
      <c r="E644" s="143"/>
      <c r="F644" s="144"/>
      <c r="G644" s="151"/>
      <c r="H644" s="151"/>
      <c r="I644" s="144"/>
      <c r="J644" s="144"/>
      <c r="K644" s="144"/>
      <c r="L644" s="144"/>
      <c r="M644" s="144"/>
      <c r="N644" s="144"/>
      <c r="O644" s="144"/>
      <c r="P644" s="144"/>
      <c r="Q644" s="144"/>
      <c r="R644" s="144"/>
      <c r="S644" s="144"/>
      <c r="T644" s="144"/>
      <c r="U644" s="144"/>
      <c r="V644" s="144"/>
      <c r="W644" s="144"/>
      <c r="X644" s="144"/>
      <c r="Y644" s="144"/>
      <c r="Z644" s="144"/>
    </row>
    <row r="645" spans="1:26" ht="24.75">
      <c r="A645" s="144"/>
      <c r="B645" s="141"/>
      <c r="C645" s="142"/>
      <c r="D645" s="154"/>
      <c r="E645" s="143"/>
      <c r="F645" s="144"/>
      <c r="G645" s="153"/>
      <c r="H645" s="153"/>
      <c r="I645" s="144"/>
      <c r="J645" s="144"/>
      <c r="K645" s="144"/>
      <c r="L645" s="144"/>
      <c r="M645" s="144"/>
      <c r="N645" s="144"/>
      <c r="O645" s="144"/>
      <c r="P645" s="144"/>
      <c r="Q645" s="144"/>
      <c r="R645" s="144"/>
      <c r="S645" s="144"/>
      <c r="T645" s="144"/>
      <c r="U645" s="144"/>
      <c r="V645" s="144"/>
      <c r="W645" s="144"/>
      <c r="X645" s="144"/>
      <c r="Y645" s="144"/>
      <c r="Z645" s="144"/>
    </row>
    <row r="646" spans="1:26" ht="24.75">
      <c r="A646" s="144"/>
      <c r="B646" s="141"/>
      <c r="C646" s="142"/>
      <c r="D646" s="154"/>
      <c r="E646" s="143"/>
      <c r="F646" s="144"/>
      <c r="G646" s="151"/>
      <c r="H646" s="151"/>
      <c r="I646" s="144"/>
      <c r="J646" s="144"/>
      <c r="K646" s="144"/>
      <c r="L646" s="144"/>
      <c r="M646" s="144"/>
      <c r="N646" s="144"/>
      <c r="O646" s="144"/>
      <c r="P646" s="144"/>
      <c r="Q646" s="144"/>
      <c r="R646" s="144"/>
      <c r="S646" s="144"/>
      <c r="T646" s="144"/>
      <c r="U646" s="144"/>
      <c r="V646" s="144"/>
      <c r="W646" s="144"/>
      <c r="X646" s="144"/>
      <c r="Y646" s="144"/>
      <c r="Z646" s="144"/>
    </row>
    <row r="647" spans="1:26" ht="24.75">
      <c r="A647" s="144"/>
      <c r="B647" s="141"/>
      <c r="C647" s="142"/>
      <c r="D647" s="154"/>
      <c r="E647" s="143"/>
      <c r="F647" s="144"/>
      <c r="G647" s="153"/>
      <c r="H647" s="153"/>
      <c r="I647" s="144"/>
      <c r="J647" s="144"/>
      <c r="K647" s="144"/>
      <c r="L647" s="144"/>
      <c r="M647" s="144"/>
      <c r="N647" s="144"/>
      <c r="O647" s="144"/>
      <c r="P647" s="144"/>
      <c r="Q647" s="144"/>
      <c r="R647" s="144"/>
      <c r="S647" s="144"/>
      <c r="T647" s="144"/>
      <c r="U647" s="144"/>
      <c r="V647" s="144"/>
      <c r="W647" s="144"/>
      <c r="X647" s="144"/>
      <c r="Y647" s="144"/>
      <c r="Z647" s="144"/>
    </row>
    <row r="648" spans="1:26" ht="24.75">
      <c r="A648" s="144"/>
      <c r="B648" s="141"/>
      <c r="C648" s="142"/>
      <c r="D648" s="154"/>
      <c r="E648" s="143"/>
      <c r="F648" s="144"/>
      <c r="G648" s="151"/>
      <c r="H648" s="151"/>
      <c r="I648" s="144"/>
      <c r="J648" s="144"/>
      <c r="K648" s="144"/>
      <c r="L648" s="144"/>
      <c r="M648" s="144"/>
      <c r="N648" s="144"/>
      <c r="O648" s="144"/>
      <c r="P648" s="144"/>
      <c r="Q648" s="144"/>
      <c r="R648" s="144"/>
      <c r="S648" s="144"/>
      <c r="T648" s="144"/>
      <c r="U648" s="144"/>
      <c r="V648" s="144"/>
      <c r="W648" s="144"/>
      <c r="X648" s="144"/>
      <c r="Y648" s="144"/>
      <c r="Z648" s="144"/>
    </row>
    <row r="649" spans="1:26" ht="24.75">
      <c r="A649" s="144"/>
      <c r="B649" s="141"/>
      <c r="C649" s="142"/>
      <c r="D649" s="154"/>
      <c r="E649" s="143"/>
      <c r="F649" s="144"/>
      <c r="G649" s="153"/>
      <c r="H649" s="153"/>
      <c r="I649" s="144"/>
      <c r="J649" s="144"/>
      <c r="K649" s="144"/>
      <c r="L649" s="144"/>
      <c r="M649" s="144"/>
      <c r="N649" s="144"/>
      <c r="O649" s="144"/>
      <c r="P649" s="144"/>
      <c r="Q649" s="144"/>
      <c r="R649" s="144"/>
      <c r="S649" s="144"/>
      <c r="T649" s="144"/>
      <c r="U649" s="144"/>
      <c r="V649" s="144"/>
      <c r="W649" s="144"/>
      <c r="X649" s="144"/>
      <c r="Y649" s="144"/>
      <c r="Z649" s="144"/>
    </row>
    <row r="650" spans="1:26" ht="24.75">
      <c r="A650" s="144"/>
      <c r="B650" s="141"/>
      <c r="C650" s="142"/>
      <c r="D650" s="154"/>
      <c r="E650" s="143"/>
      <c r="F650" s="144"/>
      <c r="G650" s="151"/>
      <c r="H650" s="151"/>
      <c r="I650" s="144"/>
      <c r="J650" s="144"/>
      <c r="K650" s="144"/>
      <c r="L650" s="144"/>
      <c r="M650" s="144"/>
      <c r="N650" s="144"/>
      <c r="O650" s="144"/>
      <c r="P650" s="144"/>
      <c r="Q650" s="144"/>
      <c r="R650" s="144"/>
      <c r="S650" s="144"/>
      <c r="T650" s="144"/>
      <c r="U650" s="144"/>
      <c r="V650" s="144"/>
      <c r="W650" s="144"/>
      <c r="X650" s="144"/>
      <c r="Y650" s="144"/>
      <c r="Z650" s="144"/>
    </row>
    <row r="651" spans="1:26" ht="24.75">
      <c r="A651" s="144"/>
      <c r="B651" s="141"/>
      <c r="C651" s="142"/>
      <c r="D651" s="154"/>
      <c r="E651" s="143"/>
      <c r="F651" s="144"/>
      <c r="G651" s="153"/>
      <c r="H651" s="153"/>
      <c r="I651" s="144"/>
      <c r="J651" s="144"/>
      <c r="K651" s="144"/>
      <c r="L651" s="144"/>
      <c r="M651" s="144"/>
      <c r="N651" s="144"/>
      <c r="O651" s="144"/>
      <c r="P651" s="144"/>
      <c r="Q651" s="144"/>
      <c r="R651" s="144"/>
      <c r="S651" s="144"/>
      <c r="T651" s="144"/>
      <c r="U651" s="144"/>
      <c r="V651" s="144"/>
      <c r="W651" s="144"/>
      <c r="X651" s="144"/>
      <c r="Y651" s="144"/>
      <c r="Z651" s="144"/>
    </row>
    <row r="652" spans="1:26" ht="24.75">
      <c r="A652" s="144"/>
      <c r="B652" s="141"/>
      <c r="C652" s="142"/>
      <c r="D652" s="154"/>
      <c r="E652" s="143"/>
      <c r="F652" s="144"/>
      <c r="G652" s="151"/>
      <c r="H652" s="151"/>
      <c r="I652" s="144"/>
      <c r="J652" s="144"/>
      <c r="K652" s="144"/>
      <c r="L652" s="144"/>
      <c r="M652" s="144"/>
      <c r="N652" s="144"/>
      <c r="O652" s="144"/>
      <c r="P652" s="144"/>
      <c r="Q652" s="144"/>
      <c r="R652" s="144"/>
      <c r="S652" s="144"/>
      <c r="T652" s="144"/>
      <c r="U652" s="144"/>
      <c r="V652" s="144"/>
      <c r="W652" s="144"/>
      <c r="X652" s="144"/>
      <c r="Y652" s="144"/>
      <c r="Z652" s="144"/>
    </row>
    <row r="653" spans="1:26" ht="24.75">
      <c r="A653" s="144"/>
      <c r="B653" s="141"/>
      <c r="C653" s="142"/>
      <c r="D653" s="154"/>
      <c r="E653" s="143"/>
      <c r="F653" s="144"/>
      <c r="G653" s="153"/>
      <c r="H653" s="153"/>
      <c r="I653" s="144"/>
      <c r="J653" s="144"/>
      <c r="K653" s="144"/>
      <c r="L653" s="144"/>
      <c r="M653" s="144"/>
      <c r="N653" s="144"/>
      <c r="O653" s="144"/>
      <c r="P653" s="144"/>
      <c r="Q653" s="144"/>
      <c r="R653" s="144"/>
      <c r="S653" s="144"/>
      <c r="T653" s="144"/>
      <c r="U653" s="144"/>
      <c r="V653" s="144"/>
      <c r="W653" s="144"/>
      <c r="X653" s="144"/>
      <c r="Y653" s="144"/>
      <c r="Z653" s="144"/>
    </row>
    <row r="654" spans="1:26" ht="24.75">
      <c r="A654" s="144"/>
      <c r="B654" s="141"/>
      <c r="C654" s="142"/>
      <c r="D654" s="154"/>
      <c r="E654" s="143"/>
      <c r="F654" s="144"/>
      <c r="G654" s="151"/>
      <c r="H654" s="151"/>
      <c r="I654" s="144"/>
      <c r="J654" s="144"/>
      <c r="K654" s="144"/>
      <c r="L654" s="144"/>
      <c r="M654" s="144"/>
      <c r="N654" s="144"/>
      <c r="O654" s="144"/>
      <c r="P654" s="144"/>
      <c r="Q654" s="144"/>
      <c r="R654" s="144"/>
      <c r="S654" s="144"/>
      <c r="T654" s="144"/>
      <c r="U654" s="144"/>
      <c r="V654" s="144"/>
      <c r="W654" s="144"/>
      <c r="X654" s="144"/>
      <c r="Y654" s="144"/>
      <c r="Z654" s="144"/>
    </row>
    <row r="655" spans="1:26" ht="24.75">
      <c r="A655" s="144"/>
      <c r="B655" s="141"/>
      <c r="C655" s="142"/>
      <c r="D655" s="154"/>
      <c r="E655" s="143"/>
      <c r="F655" s="144"/>
      <c r="G655" s="153"/>
      <c r="H655" s="153"/>
      <c r="I655" s="144"/>
      <c r="J655" s="144"/>
      <c r="K655" s="144"/>
      <c r="L655" s="144"/>
      <c r="M655" s="144"/>
      <c r="N655" s="144"/>
      <c r="O655" s="144"/>
      <c r="P655" s="144"/>
      <c r="Q655" s="144"/>
      <c r="R655" s="144"/>
      <c r="S655" s="144"/>
      <c r="T655" s="144"/>
      <c r="U655" s="144"/>
      <c r="V655" s="144"/>
      <c r="W655" s="144"/>
      <c r="X655" s="144"/>
      <c r="Y655" s="144"/>
      <c r="Z655" s="144"/>
    </row>
    <row r="656" spans="1:26" ht="24.75">
      <c r="A656" s="144"/>
      <c r="B656" s="141"/>
      <c r="C656" s="142"/>
      <c r="D656" s="154"/>
      <c r="E656" s="143"/>
      <c r="F656" s="144"/>
      <c r="G656" s="151"/>
      <c r="H656" s="151"/>
      <c r="I656" s="144"/>
      <c r="J656" s="144"/>
      <c r="K656" s="144"/>
      <c r="L656" s="144"/>
      <c r="M656" s="144"/>
      <c r="N656" s="144"/>
      <c r="O656" s="144"/>
      <c r="P656" s="144"/>
      <c r="Q656" s="144"/>
      <c r="R656" s="144"/>
      <c r="S656" s="144"/>
      <c r="T656" s="144"/>
      <c r="U656" s="144"/>
      <c r="V656" s="144"/>
      <c r="W656" s="144"/>
      <c r="X656" s="144"/>
      <c r="Y656" s="144"/>
      <c r="Z656" s="144"/>
    </row>
    <row r="657" spans="1:26" ht="24.75">
      <c r="A657" s="144"/>
      <c r="B657" s="141"/>
      <c r="C657" s="142"/>
      <c r="D657" s="154"/>
      <c r="E657" s="143"/>
      <c r="F657" s="144"/>
      <c r="G657" s="153"/>
      <c r="H657" s="153"/>
      <c r="I657" s="144"/>
      <c r="J657" s="144"/>
      <c r="K657" s="144"/>
      <c r="L657" s="144"/>
      <c r="M657" s="144"/>
      <c r="N657" s="144"/>
      <c r="O657" s="144"/>
      <c r="P657" s="144"/>
      <c r="Q657" s="144"/>
      <c r="R657" s="144"/>
      <c r="S657" s="144"/>
      <c r="T657" s="144"/>
      <c r="U657" s="144"/>
      <c r="V657" s="144"/>
      <c r="W657" s="144"/>
      <c r="X657" s="144"/>
      <c r="Y657" s="144"/>
      <c r="Z657" s="144"/>
    </row>
    <row r="658" spans="1:26" ht="24.75">
      <c r="A658" s="144"/>
      <c r="B658" s="141"/>
      <c r="C658" s="142"/>
      <c r="D658" s="154"/>
      <c r="E658" s="143"/>
      <c r="F658" s="144"/>
      <c r="G658" s="151"/>
      <c r="H658" s="151"/>
      <c r="I658" s="144"/>
      <c r="J658" s="144"/>
      <c r="K658" s="144"/>
      <c r="L658" s="144"/>
      <c r="M658" s="144"/>
      <c r="N658" s="144"/>
      <c r="O658" s="144"/>
      <c r="P658" s="144"/>
      <c r="Q658" s="144"/>
      <c r="R658" s="144"/>
      <c r="S658" s="144"/>
      <c r="T658" s="144"/>
      <c r="U658" s="144"/>
      <c r="V658" s="144"/>
      <c r="W658" s="144"/>
      <c r="X658" s="144"/>
      <c r="Y658" s="144"/>
      <c r="Z658" s="144"/>
    </row>
    <row r="659" spans="1:26" ht="24.75">
      <c r="A659" s="144"/>
      <c r="B659" s="141"/>
      <c r="C659" s="142"/>
      <c r="D659" s="154"/>
      <c r="E659" s="143"/>
      <c r="F659" s="144"/>
      <c r="G659" s="153"/>
      <c r="H659" s="153"/>
      <c r="I659" s="144"/>
      <c r="J659" s="144"/>
      <c r="K659" s="144"/>
      <c r="L659" s="144"/>
      <c r="M659" s="144"/>
      <c r="N659" s="144"/>
      <c r="O659" s="144"/>
      <c r="P659" s="144"/>
      <c r="Q659" s="144"/>
      <c r="R659" s="144"/>
      <c r="S659" s="144"/>
      <c r="T659" s="144"/>
      <c r="U659" s="144"/>
      <c r="V659" s="144"/>
      <c r="W659" s="144"/>
      <c r="X659" s="144"/>
      <c r="Y659" s="144"/>
      <c r="Z659" s="144"/>
    </row>
    <row r="660" spans="1:26" ht="24.75">
      <c r="A660" s="144"/>
      <c r="B660" s="141"/>
      <c r="C660" s="142"/>
      <c r="D660" s="154"/>
      <c r="E660" s="143"/>
      <c r="F660" s="144"/>
      <c r="G660" s="151"/>
      <c r="H660" s="151"/>
      <c r="I660" s="144"/>
      <c r="J660" s="144"/>
      <c r="K660" s="144"/>
      <c r="L660" s="144"/>
      <c r="M660" s="144"/>
      <c r="N660" s="144"/>
      <c r="O660" s="144"/>
      <c r="P660" s="144"/>
      <c r="Q660" s="144"/>
      <c r="R660" s="144"/>
      <c r="S660" s="144"/>
      <c r="T660" s="144"/>
      <c r="U660" s="144"/>
      <c r="V660" s="144"/>
      <c r="W660" s="144"/>
      <c r="X660" s="144"/>
      <c r="Y660" s="144"/>
      <c r="Z660" s="144"/>
    </row>
    <row r="661" spans="1:26" ht="24.75">
      <c r="A661" s="144"/>
      <c r="B661" s="141"/>
      <c r="C661" s="142"/>
      <c r="D661" s="154"/>
      <c r="E661" s="143"/>
      <c r="F661" s="144"/>
      <c r="G661" s="153"/>
      <c r="H661" s="153"/>
      <c r="I661" s="144"/>
      <c r="J661" s="144"/>
      <c r="K661" s="144"/>
      <c r="L661" s="144"/>
      <c r="M661" s="144"/>
      <c r="N661" s="144"/>
      <c r="O661" s="144"/>
      <c r="P661" s="144"/>
      <c r="Q661" s="144"/>
      <c r="R661" s="144"/>
      <c r="S661" s="144"/>
      <c r="T661" s="144"/>
      <c r="U661" s="144"/>
      <c r="V661" s="144"/>
      <c r="W661" s="144"/>
      <c r="X661" s="144"/>
      <c r="Y661" s="144"/>
      <c r="Z661" s="144"/>
    </row>
    <row r="662" spans="1:26" ht="24.75">
      <c r="A662" s="144"/>
      <c r="B662" s="141"/>
      <c r="C662" s="142"/>
      <c r="D662" s="154"/>
      <c r="E662" s="143"/>
      <c r="F662" s="144"/>
      <c r="G662" s="151"/>
      <c r="H662" s="151"/>
      <c r="I662" s="144"/>
      <c r="J662" s="144"/>
      <c r="K662" s="144"/>
      <c r="L662" s="144"/>
      <c r="M662" s="144"/>
      <c r="N662" s="144"/>
      <c r="O662" s="144"/>
      <c r="P662" s="144"/>
      <c r="Q662" s="144"/>
      <c r="R662" s="144"/>
      <c r="S662" s="144"/>
      <c r="T662" s="144"/>
      <c r="U662" s="144"/>
      <c r="V662" s="144"/>
      <c r="W662" s="144"/>
      <c r="X662" s="144"/>
      <c r="Y662" s="144"/>
      <c r="Z662" s="144"/>
    </row>
    <row r="663" spans="1:26" ht="24.75">
      <c r="A663" s="144"/>
      <c r="B663" s="141"/>
      <c r="C663" s="142"/>
      <c r="D663" s="154"/>
      <c r="E663" s="143"/>
      <c r="F663" s="144"/>
      <c r="G663" s="153"/>
      <c r="H663" s="153"/>
      <c r="I663" s="144"/>
      <c r="J663" s="144"/>
      <c r="K663" s="144"/>
      <c r="L663" s="144"/>
      <c r="M663" s="144"/>
      <c r="N663" s="144"/>
      <c r="O663" s="144"/>
      <c r="P663" s="144"/>
      <c r="Q663" s="144"/>
      <c r="R663" s="144"/>
      <c r="S663" s="144"/>
      <c r="T663" s="144"/>
      <c r="U663" s="144"/>
      <c r="V663" s="144"/>
      <c r="W663" s="144"/>
      <c r="X663" s="144"/>
      <c r="Y663" s="144"/>
      <c r="Z663" s="144"/>
    </row>
    <row r="664" spans="1:26" ht="24.75">
      <c r="A664" s="144"/>
      <c r="B664" s="141"/>
      <c r="C664" s="142"/>
      <c r="D664" s="154"/>
      <c r="E664" s="143"/>
      <c r="F664" s="144"/>
      <c r="G664" s="151"/>
      <c r="H664" s="151"/>
      <c r="I664" s="144"/>
      <c r="J664" s="144"/>
      <c r="K664" s="144"/>
      <c r="L664" s="144"/>
      <c r="M664" s="144"/>
      <c r="N664" s="144"/>
      <c r="O664" s="144"/>
      <c r="P664" s="144"/>
      <c r="Q664" s="144"/>
      <c r="R664" s="144"/>
      <c r="S664" s="144"/>
      <c r="T664" s="144"/>
      <c r="U664" s="144"/>
      <c r="V664" s="144"/>
      <c r="W664" s="144"/>
      <c r="X664" s="144"/>
      <c r="Y664" s="144"/>
      <c r="Z664" s="144"/>
    </row>
    <row r="665" spans="1:26" ht="24.75">
      <c r="A665" s="144"/>
      <c r="B665" s="141"/>
      <c r="C665" s="142"/>
      <c r="D665" s="154"/>
      <c r="E665" s="143"/>
      <c r="F665" s="144"/>
      <c r="G665" s="153"/>
      <c r="H665" s="153"/>
      <c r="I665" s="144"/>
      <c r="J665" s="144"/>
      <c r="K665" s="144"/>
      <c r="L665" s="144"/>
      <c r="M665" s="144"/>
      <c r="N665" s="144"/>
      <c r="O665" s="144"/>
      <c r="P665" s="144"/>
      <c r="Q665" s="144"/>
      <c r="R665" s="144"/>
      <c r="S665" s="144"/>
      <c r="T665" s="144"/>
      <c r="U665" s="144"/>
      <c r="V665" s="144"/>
      <c r="W665" s="144"/>
      <c r="X665" s="144"/>
      <c r="Y665" s="144"/>
      <c r="Z665" s="144"/>
    </row>
    <row r="666" spans="1:26" ht="24.75">
      <c r="A666" s="144"/>
      <c r="B666" s="141"/>
      <c r="C666" s="142"/>
      <c r="D666" s="154"/>
      <c r="E666" s="143"/>
      <c r="F666" s="144"/>
      <c r="G666" s="151"/>
      <c r="H666" s="151"/>
      <c r="I666" s="144"/>
      <c r="J666" s="144"/>
      <c r="K666" s="144"/>
      <c r="L666" s="144"/>
      <c r="M666" s="144"/>
      <c r="N666" s="144"/>
      <c r="O666" s="144"/>
      <c r="P666" s="144"/>
      <c r="Q666" s="144"/>
      <c r="R666" s="144"/>
      <c r="S666" s="144"/>
      <c r="T666" s="144"/>
      <c r="U666" s="144"/>
      <c r="V666" s="144"/>
      <c r="W666" s="144"/>
      <c r="X666" s="144"/>
      <c r="Y666" s="144"/>
      <c r="Z666" s="144"/>
    </row>
    <row r="667" spans="1:26" ht="24.75">
      <c r="A667" s="144"/>
      <c r="B667" s="141"/>
      <c r="C667" s="142"/>
      <c r="D667" s="154"/>
      <c r="E667" s="143"/>
      <c r="F667" s="144"/>
      <c r="G667" s="153"/>
      <c r="H667" s="153"/>
      <c r="I667" s="144"/>
      <c r="J667" s="144"/>
      <c r="K667" s="144"/>
      <c r="L667" s="144"/>
      <c r="M667" s="144"/>
      <c r="N667" s="144"/>
      <c r="O667" s="144"/>
      <c r="P667" s="144"/>
      <c r="Q667" s="144"/>
      <c r="R667" s="144"/>
      <c r="S667" s="144"/>
      <c r="T667" s="144"/>
      <c r="U667" s="144"/>
      <c r="V667" s="144"/>
      <c r="W667" s="144"/>
      <c r="X667" s="144"/>
      <c r="Y667" s="144"/>
      <c r="Z667" s="144"/>
    </row>
    <row r="668" spans="1:26" ht="24.75">
      <c r="A668" s="144"/>
      <c r="B668" s="141"/>
      <c r="C668" s="142"/>
      <c r="D668" s="154"/>
      <c r="E668" s="143"/>
      <c r="F668" s="144"/>
      <c r="G668" s="151"/>
      <c r="H668" s="151"/>
      <c r="I668" s="144"/>
      <c r="J668" s="144"/>
      <c r="K668" s="144"/>
      <c r="L668" s="144"/>
      <c r="M668" s="144"/>
      <c r="N668" s="144"/>
      <c r="O668" s="144"/>
      <c r="P668" s="144"/>
      <c r="Q668" s="144"/>
      <c r="R668" s="144"/>
      <c r="S668" s="144"/>
      <c r="T668" s="144"/>
      <c r="U668" s="144"/>
      <c r="V668" s="144"/>
      <c r="W668" s="144"/>
      <c r="X668" s="144"/>
      <c r="Y668" s="144"/>
      <c r="Z668" s="144"/>
    </row>
    <row r="669" spans="1:26" ht="24.75">
      <c r="A669" s="144"/>
      <c r="B669" s="141"/>
      <c r="C669" s="142"/>
      <c r="D669" s="154"/>
      <c r="E669" s="143"/>
      <c r="F669" s="144"/>
      <c r="G669" s="153"/>
      <c r="H669" s="153"/>
      <c r="I669" s="144"/>
      <c r="J669" s="144"/>
      <c r="K669" s="144"/>
      <c r="L669" s="144"/>
      <c r="M669" s="144"/>
      <c r="N669" s="144"/>
      <c r="O669" s="144"/>
      <c r="P669" s="144"/>
      <c r="Q669" s="144"/>
      <c r="R669" s="144"/>
      <c r="S669" s="144"/>
      <c r="T669" s="144"/>
      <c r="U669" s="144"/>
      <c r="V669" s="144"/>
      <c r="W669" s="144"/>
      <c r="X669" s="144"/>
      <c r="Y669" s="144"/>
      <c r="Z669" s="144"/>
    </row>
    <row r="670" spans="1:26" ht="24.75">
      <c r="A670" s="144"/>
      <c r="B670" s="141"/>
      <c r="C670" s="142"/>
      <c r="D670" s="154"/>
      <c r="E670" s="143"/>
      <c r="F670" s="144"/>
      <c r="G670" s="151"/>
      <c r="H670" s="151"/>
      <c r="I670" s="144"/>
      <c r="J670" s="144"/>
      <c r="K670" s="144"/>
      <c r="L670" s="144"/>
      <c r="M670" s="144"/>
      <c r="N670" s="144"/>
      <c r="O670" s="144"/>
      <c r="P670" s="144"/>
      <c r="Q670" s="144"/>
      <c r="R670" s="144"/>
      <c r="S670" s="144"/>
      <c r="T670" s="144"/>
      <c r="U670" s="144"/>
      <c r="V670" s="144"/>
      <c r="W670" s="144"/>
      <c r="X670" s="144"/>
      <c r="Y670" s="144"/>
      <c r="Z670" s="144"/>
    </row>
    <row r="671" spans="1:26" ht="24.75">
      <c r="A671" s="144"/>
      <c r="B671" s="141"/>
      <c r="C671" s="142"/>
      <c r="D671" s="154"/>
      <c r="E671" s="143"/>
      <c r="F671" s="144"/>
      <c r="G671" s="153"/>
      <c r="H671" s="153"/>
      <c r="I671" s="144"/>
      <c r="J671" s="144"/>
      <c r="K671" s="144"/>
      <c r="L671" s="144"/>
      <c r="M671" s="144"/>
      <c r="N671" s="144"/>
      <c r="O671" s="144"/>
      <c r="P671" s="144"/>
      <c r="Q671" s="144"/>
      <c r="R671" s="144"/>
      <c r="S671" s="144"/>
      <c r="T671" s="144"/>
      <c r="U671" s="144"/>
      <c r="V671" s="144"/>
      <c r="W671" s="144"/>
      <c r="X671" s="144"/>
      <c r="Y671" s="144"/>
      <c r="Z671" s="144"/>
    </row>
    <row r="672" spans="1:26" ht="24.75">
      <c r="A672" s="144"/>
      <c r="B672" s="141"/>
      <c r="C672" s="142"/>
      <c r="D672" s="154"/>
      <c r="E672" s="143"/>
      <c r="F672" s="144"/>
      <c r="G672" s="151"/>
      <c r="H672" s="151"/>
      <c r="I672" s="144"/>
      <c r="J672" s="144"/>
      <c r="K672" s="144"/>
      <c r="L672" s="144"/>
      <c r="M672" s="144"/>
      <c r="N672" s="144"/>
      <c r="O672" s="144"/>
      <c r="P672" s="144"/>
      <c r="Q672" s="144"/>
      <c r="R672" s="144"/>
      <c r="S672" s="144"/>
      <c r="T672" s="144"/>
      <c r="U672" s="144"/>
      <c r="V672" s="144"/>
      <c r="W672" s="144"/>
      <c r="X672" s="144"/>
      <c r="Y672" s="144"/>
      <c r="Z672" s="144"/>
    </row>
    <row r="673" spans="1:26" ht="24.75">
      <c r="A673" s="144"/>
      <c r="B673" s="141"/>
      <c r="C673" s="142"/>
      <c r="D673" s="154"/>
      <c r="E673" s="143"/>
      <c r="F673" s="144"/>
      <c r="G673" s="153"/>
      <c r="H673" s="153"/>
      <c r="I673" s="144"/>
      <c r="J673" s="144"/>
      <c r="K673" s="144"/>
      <c r="L673" s="144"/>
      <c r="M673" s="144"/>
      <c r="N673" s="144"/>
      <c r="O673" s="144"/>
      <c r="P673" s="144"/>
      <c r="Q673" s="144"/>
      <c r="R673" s="144"/>
      <c r="S673" s="144"/>
      <c r="T673" s="144"/>
      <c r="U673" s="144"/>
      <c r="V673" s="144"/>
      <c r="W673" s="144"/>
      <c r="X673" s="144"/>
      <c r="Y673" s="144"/>
      <c r="Z673" s="144"/>
    </row>
    <row r="674" spans="1:26" ht="24.75">
      <c r="A674" s="144"/>
      <c r="B674" s="141"/>
      <c r="C674" s="142"/>
      <c r="D674" s="154"/>
      <c r="E674" s="143"/>
      <c r="F674" s="144"/>
      <c r="G674" s="151"/>
      <c r="H674" s="151"/>
      <c r="I674" s="144"/>
      <c r="J674" s="144"/>
      <c r="K674" s="144"/>
      <c r="L674" s="144"/>
      <c r="M674" s="144"/>
      <c r="N674" s="144"/>
      <c r="O674" s="144"/>
      <c r="P674" s="144"/>
      <c r="Q674" s="144"/>
      <c r="R674" s="144"/>
      <c r="S674" s="144"/>
      <c r="T674" s="144"/>
      <c r="U674" s="144"/>
      <c r="V674" s="144"/>
      <c r="W674" s="144"/>
      <c r="X674" s="144"/>
      <c r="Y674" s="144"/>
      <c r="Z674" s="144"/>
    </row>
    <row r="675" spans="1:26" ht="24.75">
      <c r="A675" s="144"/>
      <c r="B675" s="141"/>
      <c r="C675" s="142"/>
      <c r="D675" s="154"/>
      <c r="E675" s="143"/>
      <c r="F675" s="144"/>
      <c r="G675" s="153"/>
      <c r="H675" s="153"/>
      <c r="I675" s="144"/>
      <c r="J675" s="144"/>
      <c r="K675" s="144"/>
      <c r="L675" s="144"/>
      <c r="M675" s="144"/>
      <c r="N675" s="144"/>
      <c r="O675" s="144"/>
      <c r="P675" s="144"/>
      <c r="Q675" s="144"/>
      <c r="R675" s="144"/>
      <c r="S675" s="144"/>
      <c r="T675" s="144"/>
      <c r="U675" s="144"/>
      <c r="V675" s="144"/>
      <c r="W675" s="144"/>
      <c r="X675" s="144"/>
      <c r="Y675" s="144"/>
      <c r="Z675" s="144"/>
    </row>
    <row r="676" spans="1:26" ht="24.75">
      <c r="A676" s="144"/>
      <c r="B676" s="141"/>
      <c r="C676" s="142"/>
      <c r="D676" s="154"/>
      <c r="E676" s="143"/>
      <c r="F676" s="144"/>
      <c r="G676" s="151"/>
      <c r="H676" s="151"/>
      <c r="I676" s="144"/>
      <c r="J676" s="144"/>
      <c r="K676" s="144"/>
      <c r="L676" s="144"/>
      <c r="M676" s="144"/>
      <c r="N676" s="144"/>
      <c r="O676" s="144"/>
      <c r="P676" s="144"/>
      <c r="Q676" s="144"/>
      <c r="R676" s="144"/>
      <c r="S676" s="144"/>
      <c r="T676" s="144"/>
      <c r="U676" s="144"/>
      <c r="V676" s="144"/>
      <c r="W676" s="144"/>
      <c r="X676" s="144"/>
      <c r="Y676" s="144"/>
      <c r="Z676" s="144"/>
    </row>
    <row r="677" spans="1:26" ht="24.75">
      <c r="A677" s="144"/>
      <c r="B677" s="141"/>
      <c r="C677" s="142"/>
      <c r="D677" s="154"/>
      <c r="E677" s="143"/>
      <c r="F677" s="144"/>
      <c r="G677" s="153"/>
      <c r="H677" s="153"/>
      <c r="I677" s="144"/>
      <c r="J677" s="144"/>
      <c r="K677" s="144"/>
      <c r="L677" s="144"/>
      <c r="M677" s="144"/>
      <c r="N677" s="144"/>
      <c r="O677" s="144"/>
      <c r="P677" s="144"/>
      <c r="Q677" s="144"/>
      <c r="R677" s="144"/>
      <c r="S677" s="144"/>
      <c r="T677" s="144"/>
      <c r="U677" s="144"/>
      <c r="V677" s="144"/>
      <c r="W677" s="144"/>
      <c r="X677" s="144"/>
      <c r="Y677" s="144"/>
      <c r="Z677" s="144"/>
    </row>
    <row r="678" spans="1:26" ht="24.75">
      <c r="A678" s="144"/>
      <c r="B678" s="141"/>
      <c r="C678" s="142"/>
      <c r="D678" s="154"/>
      <c r="E678" s="143"/>
      <c r="F678" s="144"/>
      <c r="G678" s="151"/>
      <c r="H678" s="151"/>
      <c r="I678" s="144"/>
      <c r="J678" s="144"/>
      <c r="K678" s="144"/>
      <c r="L678" s="144"/>
      <c r="M678" s="144"/>
      <c r="N678" s="144"/>
      <c r="O678" s="144"/>
      <c r="P678" s="144"/>
      <c r="Q678" s="144"/>
      <c r="R678" s="144"/>
      <c r="S678" s="144"/>
      <c r="T678" s="144"/>
      <c r="U678" s="144"/>
      <c r="V678" s="144"/>
      <c r="W678" s="144"/>
      <c r="X678" s="144"/>
      <c r="Y678" s="144"/>
      <c r="Z678" s="144"/>
    </row>
    <row r="679" spans="1:26" ht="24.75">
      <c r="A679" s="144"/>
      <c r="B679" s="141"/>
      <c r="C679" s="142"/>
      <c r="D679" s="154"/>
      <c r="E679" s="143"/>
      <c r="F679" s="144"/>
      <c r="G679" s="153"/>
      <c r="H679" s="153"/>
      <c r="I679" s="144"/>
      <c r="J679" s="144"/>
      <c r="K679" s="144"/>
      <c r="L679" s="144"/>
      <c r="M679" s="144"/>
      <c r="N679" s="144"/>
      <c r="O679" s="144"/>
      <c r="P679" s="144"/>
      <c r="Q679" s="144"/>
      <c r="R679" s="144"/>
      <c r="S679" s="144"/>
      <c r="T679" s="144"/>
      <c r="U679" s="144"/>
      <c r="V679" s="144"/>
      <c r="W679" s="144"/>
      <c r="X679" s="144"/>
      <c r="Y679" s="144"/>
      <c r="Z679" s="144"/>
    </row>
    <row r="680" spans="1:26" ht="24.75">
      <c r="A680" s="144"/>
      <c r="B680" s="141"/>
      <c r="C680" s="142"/>
      <c r="D680" s="154"/>
      <c r="E680" s="143"/>
      <c r="F680" s="144"/>
      <c r="G680" s="151"/>
      <c r="H680" s="151"/>
      <c r="I680" s="144"/>
      <c r="J680" s="144"/>
      <c r="K680" s="144"/>
      <c r="L680" s="144"/>
      <c r="M680" s="144"/>
      <c r="N680" s="144"/>
      <c r="O680" s="144"/>
      <c r="P680" s="144"/>
      <c r="Q680" s="144"/>
      <c r="R680" s="144"/>
      <c r="S680" s="144"/>
      <c r="T680" s="144"/>
      <c r="U680" s="144"/>
      <c r="V680" s="144"/>
      <c r="W680" s="144"/>
      <c r="X680" s="144"/>
      <c r="Y680" s="144"/>
      <c r="Z680" s="144"/>
    </row>
    <row r="681" spans="1:26" ht="24.75">
      <c r="A681" s="144"/>
      <c r="B681" s="141"/>
      <c r="C681" s="142"/>
      <c r="D681" s="154"/>
      <c r="E681" s="143"/>
      <c r="F681" s="144"/>
      <c r="G681" s="153"/>
      <c r="H681" s="153"/>
      <c r="I681" s="144"/>
      <c r="J681" s="144"/>
      <c r="K681" s="144"/>
      <c r="L681" s="144"/>
      <c r="M681" s="144"/>
      <c r="N681" s="144"/>
      <c r="O681" s="144"/>
      <c r="P681" s="144"/>
      <c r="Q681" s="144"/>
      <c r="R681" s="144"/>
      <c r="S681" s="144"/>
      <c r="T681" s="144"/>
      <c r="U681" s="144"/>
      <c r="V681" s="144"/>
      <c r="W681" s="144"/>
      <c r="X681" s="144"/>
      <c r="Y681" s="144"/>
      <c r="Z681" s="144"/>
    </row>
    <row r="682" spans="1:26" ht="24.75">
      <c r="A682" s="144"/>
      <c r="B682" s="141"/>
      <c r="C682" s="142"/>
      <c r="D682" s="154"/>
      <c r="E682" s="143"/>
      <c r="F682" s="144"/>
      <c r="G682" s="151"/>
      <c r="H682" s="151"/>
      <c r="I682" s="144"/>
      <c r="J682" s="144"/>
      <c r="K682" s="144"/>
      <c r="L682" s="144"/>
      <c r="M682" s="144"/>
      <c r="N682" s="144"/>
      <c r="O682" s="144"/>
      <c r="P682" s="144"/>
      <c r="Q682" s="144"/>
      <c r="R682" s="144"/>
      <c r="S682" s="144"/>
      <c r="T682" s="144"/>
      <c r="U682" s="144"/>
      <c r="V682" s="144"/>
      <c r="W682" s="144"/>
      <c r="X682" s="144"/>
      <c r="Y682" s="144"/>
      <c r="Z682" s="144"/>
    </row>
    <row r="683" spans="1:26" ht="24.75">
      <c r="A683" s="144"/>
      <c r="B683" s="141"/>
      <c r="C683" s="142"/>
      <c r="D683" s="154"/>
      <c r="E683" s="143"/>
      <c r="F683" s="144"/>
      <c r="G683" s="153"/>
      <c r="H683" s="153"/>
      <c r="I683" s="144"/>
      <c r="J683" s="144"/>
      <c r="K683" s="144"/>
      <c r="L683" s="144"/>
      <c r="M683" s="144"/>
      <c r="N683" s="144"/>
      <c r="O683" s="144"/>
      <c r="P683" s="144"/>
      <c r="Q683" s="144"/>
      <c r="R683" s="144"/>
      <c r="S683" s="144"/>
      <c r="T683" s="144"/>
      <c r="U683" s="144"/>
      <c r="V683" s="144"/>
      <c r="W683" s="144"/>
      <c r="X683" s="144"/>
      <c r="Y683" s="144"/>
      <c r="Z683" s="144"/>
    </row>
    <row r="684" spans="1:26" ht="24.75">
      <c r="A684" s="144"/>
      <c r="B684" s="141"/>
      <c r="C684" s="142"/>
      <c r="D684" s="154"/>
      <c r="E684" s="143"/>
      <c r="F684" s="144"/>
      <c r="G684" s="151"/>
      <c r="H684" s="151"/>
      <c r="I684" s="144"/>
      <c r="J684" s="144"/>
      <c r="K684" s="144"/>
      <c r="L684" s="144"/>
      <c r="M684" s="144"/>
      <c r="N684" s="144"/>
      <c r="O684" s="144"/>
      <c r="P684" s="144"/>
      <c r="Q684" s="144"/>
      <c r="R684" s="144"/>
      <c r="S684" s="144"/>
      <c r="T684" s="144"/>
      <c r="U684" s="144"/>
      <c r="V684" s="144"/>
      <c r="W684" s="144"/>
      <c r="X684" s="144"/>
      <c r="Y684" s="144"/>
      <c r="Z684" s="144"/>
    </row>
    <row r="685" spans="1:26" ht="24.75">
      <c r="A685" s="144"/>
      <c r="B685" s="141"/>
      <c r="C685" s="142"/>
      <c r="D685" s="154"/>
      <c r="E685" s="143"/>
      <c r="F685" s="144"/>
      <c r="G685" s="153"/>
      <c r="H685" s="153"/>
      <c r="I685" s="144"/>
      <c r="J685" s="144"/>
      <c r="K685" s="144"/>
      <c r="L685" s="144"/>
      <c r="M685" s="144"/>
      <c r="N685" s="144"/>
      <c r="O685" s="144"/>
      <c r="P685" s="144"/>
      <c r="Q685" s="144"/>
      <c r="R685" s="144"/>
      <c r="S685" s="144"/>
      <c r="T685" s="144"/>
      <c r="U685" s="144"/>
      <c r="V685" s="144"/>
      <c r="W685" s="144"/>
      <c r="X685" s="144"/>
      <c r="Y685" s="144"/>
      <c r="Z685" s="144"/>
    </row>
    <row r="686" spans="1:26" ht="24.75">
      <c r="A686" s="144"/>
      <c r="B686" s="141"/>
      <c r="C686" s="142"/>
      <c r="D686" s="154"/>
      <c r="E686" s="143"/>
      <c r="F686" s="144"/>
      <c r="G686" s="151"/>
      <c r="H686" s="151"/>
      <c r="I686" s="144"/>
      <c r="J686" s="144"/>
      <c r="K686" s="144"/>
      <c r="L686" s="144"/>
      <c r="M686" s="144"/>
      <c r="N686" s="144"/>
      <c r="O686" s="144"/>
      <c r="P686" s="144"/>
      <c r="Q686" s="144"/>
      <c r="R686" s="144"/>
      <c r="S686" s="144"/>
      <c r="T686" s="144"/>
      <c r="U686" s="144"/>
      <c r="V686" s="144"/>
      <c r="W686" s="144"/>
      <c r="X686" s="144"/>
      <c r="Y686" s="144"/>
      <c r="Z686" s="144"/>
    </row>
    <row r="687" spans="1:26" ht="24.75">
      <c r="A687" s="144"/>
      <c r="B687" s="141"/>
      <c r="C687" s="142"/>
      <c r="D687" s="154"/>
      <c r="E687" s="143"/>
      <c r="F687" s="144"/>
      <c r="G687" s="153"/>
      <c r="H687" s="153"/>
      <c r="I687" s="144"/>
      <c r="J687" s="144"/>
      <c r="K687" s="144"/>
      <c r="L687" s="144"/>
      <c r="M687" s="144"/>
      <c r="N687" s="144"/>
      <c r="O687" s="144"/>
      <c r="P687" s="144"/>
      <c r="Q687" s="144"/>
      <c r="R687" s="144"/>
      <c r="S687" s="144"/>
      <c r="T687" s="144"/>
      <c r="U687" s="144"/>
      <c r="V687" s="144"/>
      <c r="W687" s="144"/>
      <c r="X687" s="144"/>
      <c r="Y687" s="144"/>
      <c r="Z687" s="144"/>
    </row>
    <row r="688" spans="1:26" ht="24.75">
      <c r="A688" s="144"/>
      <c r="B688" s="141"/>
      <c r="C688" s="142"/>
      <c r="D688" s="154"/>
      <c r="E688" s="143"/>
      <c r="F688" s="144"/>
      <c r="G688" s="151"/>
      <c r="H688" s="151"/>
      <c r="I688" s="144"/>
      <c r="J688" s="144"/>
      <c r="K688" s="144"/>
      <c r="L688" s="144"/>
      <c r="M688" s="144"/>
      <c r="N688" s="144"/>
      <c r="O688" s="144"/>
      <c r="P688" s="144"/>
      <c r="Q688" s="144"/>
      <c r="R688" s="144"/>
      <c r="S688" s="144"/>
      <c r="T688" s="144"/>
      <c r="U688" s="144"/>
      <c r="V688" s="144"/>
      <c r="W688" s="144"/>
      <c r="X688" s="144"/>
      <c r="Y688" s="144"/>
      <c r="Z688" s="144"/>
    </row>
    <row r="689" spans="1:26" ht="24.75">
      <c r="A689" s="144"/>
      <c r="B689" s="141"/>
      <c r="C689" s="142"/>
      <c r="D689" s="154"/>
      <c r="E689" s="143"/>
      <c r="F689" s="144"/>
      <c r="G689" s="153"/>
      <c r="H689" s="153"/>
      <c r="I689" s="144"/>
      <c r="J689" s="144"/>
      <c r="K689" s="144"/>
      <c r="L689" s="144"/>
      <c r="M689" s="144"/>
      <c r="N689" s="144"/>
      <c r="O689" s="144"/>
      <c r="P689" s="144"/>
      <c r="Q689" s="144"/>
      <c r="R689" s="144"/>
      <c r="S689" s="144"/>
      <c r="T689" s="144"/>
      <c r="U689" s="144"/>
      <c r="V689" s="144"/>
      <c r="W689" s="144"/>
      <c r="X689" s="144"/>
      <c r="Y689" s="144"/>
      <c r="Z689" s="144"/>
    </row>
    <row r="690" spans="1:26" ht="24.75">
      <c r="A690" s="144"/>
      <c r="B690" s="141"/>
      <c r="C690" s="142"/>
      <c r="D690" s="154"/>
      <c r="E690" s="143"/>
      <c r="F690" s="144"/>
      <c r="G690" s="151"/>
      <c r="H690" s="151"/>
      <c r="I690" s="144"/>
      <c r="J690" s="144"/>
      <c r="K690" s="144"/>
      <c r="L690" s="144"/>
      <c r="M690" s="144"/>
      <c r="N690" s="144"/>
      <c r="O690" s="144"/>
      <c r="P690" s="144"/>
      <c r="Q690" s="144"/>
      <c r="R690" s="144"/>
      <c r="S690" s="144"/>
      <c r="T690" s="144"/>
      <c r="U690" s="144"/>
      <c r="V690" s="144"/>
      <c r="W690" s="144"/>
      <c r="X690" s="144"/>
      <c r="Y690" s="144"/>
      <c r="Z690" s="144"/>
    </row>
    <row r="691" spans="1:26" ht="24.75">
      <c r="A691" s="144"/>
      <c r="B691" s="141"/>
      <c r="C691" s="142"/>
      <c r="D691" s="154"/>
      <c r="E691" s="143"/>
      <c r="F691" s="144"/>
      <c r="G691" s="153"/>
      <c r="H691" s="153"/>
      <c r="I691" s="144"/>
      <c r="J691" s="144"/>
      <c r="K691" s="144"/>
      <c r="L691" s="144"/>
      <c r="M691" s="144"/>
      <c r="N691" s="144"/>
      <c r="O691" s="144"/>
      <c r="P691" s="144"/>
      <c r="Q691" s="144"/>
      <c r="R691" s="144"/>
      <c r="S691" s="144"/>
      <c r="T691" s="144"/>
      <c r="U691" s="144"/>
      <c r="V691" s="144"/>
      <c r="W691" s="144"/>
      <c r="X691" s="144"/>
      <c r="Y691" s="144"/>
      <c r="Z691" s="144"/>
    </row>
    <row r="692" spans="1:26" ht="24.75">
      <c r="A692" s="144"/>
      <c r="B692" s="141"/>
      <c r="C692" s="142"/>
      <c r="D692" s="154"/>
      <c r="E692" s="143"/>
      <c r="F692" s="144"/>
      <c r="G692" s="151"/>
      <c r="H692" s="151"/>
      <c r="I692" s="144"/>
      <c r="J692" s="144"/>
      <c r="K692" s="144"/>
      <c r="L692" s="144"/>
      <c r="M692" s="144"/>
      <c r="N692" s="144"/>
      <c r="O692" s="144"/>
      <c r="P692" s="144"/>
      <c r="Q692" s="144"/>
      <c r="R692" s="144"/>
      <c r="S692" s="144"/>
      <c r="T692" s="144"/>
      <c r="U692" s="144"/>
      <c r="V692" s="144"/>
      <c r="W692" s="144"/>
      <c r="X692" s="144"/>
      <c r="Y692" s="144"/>
      <c r="Z692" s="144"/>
    </row>
    <row r="693" spans="1:26" ht="24.75">
      <c r="A693" s="144"/>
      <c r="B693" s="141"/>
      <c r="C693" s="142"/>
      <c r="D693" s="154"/>
      <c r="E693" s="143"/>
      <c r="F693" s="144"/>
      <c r="G693" s="153"/>
      <c r="H693" s="153"/>
      <c r="I693" s="144"/>
      <c r="J693" s="144"/>
      <c r="K693" s="144"/>
      <c r="L693" s="144"/>
      <c r="M693" s="144"/>
      <c r="N693" s="144"/>
      <c r="O693" s="144"/>
      <c r="P693" s="144"/>
      <c r="Q693" s="144"/>
      <c r="R693" s="144"/>
      <c r="S693" s="144"/>
      <c r="T693" s="144"/>
      <c r="U693" s="144"/>
      <c r="V693" s="144"/>
      <c r="W693" s="144"/>
      <c r="X693" s="144"/>
      <c r="Y693" s="144"/>
      <c r="Z693" s="144"/>
    </row>
    <row r="694" spans="1:26" ht="24.75">
      <c r="A694" s="144"/>
      <c r="B694" s="141"/>
      <c r="C694" s="142"/>
      <c r="D694" s="154"/>
      <c r="E694" s="143"/>
      <c r="F694" s="144"/>
      <c r="G694" s="151"/>
      <c r="H694" s="151"/>
      <c r="I694" s="144"/>
      <c r="J694" s="144"/>
      <c r="K694" s="144"/>
      <c r="L694" s="144"/>
      <c r="M694" s="144"/>
      <c r="N694" s="144"/>
      <c r="O694" s="144"/>
      <c r="P694" s="144"/>
      <c r="Q694" s="144"/>
      <c r="R694" s="144"/>
      <c r="S694" s="144"/>
      <c r="T694" s="144"/>
      <c r="U694" s="144"/>
      <c r="V694" s="144"/>
      <c r="W694" s="144"/>
      <c r="X694" s="144"/>
      <c r="Y694" s="144"/>
      <c r="Z694" s="144"/>
    </row>
    <row r="695" spans="1:26" ht="24.75">
      <c r="A695" s="144"/>
      <c r="B695" s="141"/>
      <c r="C695" s="142"/>
      <c r="D695" s="154"/>
      <c r="E695" s="143"/>
      <c r="F695" s="144"/>
      <c r="G695" s="153"/>
      <c r="H695" s="153"/>
      <c r="I695" s="144"/>
      <c r="J695" s="144"/>
      <c r="K695" s="144"/>
      <c r="L695" s="144"/>
      <c r="M695" s="144"/>
      <c r="N695" s="144"/>
      <c r="O695" s="144"/>
      <c r="P695" s="144"/>
      <c r="Q695" s="144"/>
      <c r="R695" s="144"/>
      <c r="S695" s="144"/>
      <c r="T695" s="144"/>
      <c r="U695" s="144"/>
      <c r="V695" s="144"/>
      <c r="W695" s="144"/>
      <c r="X695" s="144"/>
      <c r="Y695" s="144"/>
      <c r="Z695" s="144"/>
    </row>
    <row r="696" spans="1:26" ht="24.75">
      <c r="A696" s="144"/>
      <c r="B696" s="141"/>
      <c r="C696" s="142"/>
      <c r="D696" s="154"/>
      <c r="E696" s="143"/>
      <c r="F696" s="144"/>
      <c r="G696" s="151"/>
      <c r="H696" s="151"/>
      <c r="I696" s="144"/>
      <c r="J696" s="144"/>
      <c r="K696" s="144"/>
      <c r="L696" s="144"/>
      <c r="M696" s="144"/>
      <c r="N696" s="144"/>
      <c r="O696" s="144"/>
      <c r="P696" s="144"/>
      <c r="Q696" s="144"/>
      <c r="R696" s="144"/>
      <c r="S696" s="144"/>
      <c r="T696" s="144"/>
      <c r="U696" s="144"/>
      <c r="V696" s="144"/>
      <c r="W696" s="144"/>
      <c r="X696" s="144"/>
      <c r="Y696" s="144"/>
      <c r="Z696" s="144"/>
    </row>
    <row r="697" spans="1:26" ht="24.75">
      <c r="A697" s="144"/>
      <c r="B697" s="141"/>
      <c r="C697" s="142"/>
      <c r="D697" s="154"/>
      <c r="E697" s="143"/>
      <c r="F697" s="144"/>
      <c r="G697" s="153"/>
      <c r="H697" s="153"/>
      <c r="I697" s="144"/>
      <c r="J697" s="144"/>
      <c r="K697" s="144"/>
      <c r="L697" s="144"/>
      <c r="M697" s="144"/>
      <c r="N697" s="144"/>
      <c r="O697" s="144"/>
      <c r="P697" s="144"/>
      <c r="Q697" s="144"/>
      <c r="R697" s="144"/>
      <c r="S697" s="144"/>
      <c r="T697" s="144"/>
      <c r="U697" s="144"/>
      <c r="V697" s="144"/>
      <c r="W697" s="144"/>
      <c r="X697" s="144"/>
      <c r="Y697" s="144"/>
      <c r="Z697" s="144"/>
    </row>
    <row r="698" spans="1:26" ht="24.75">
      <c r="A698" s="144"/>
      <c r="B698" s="141"/>
      <c r="C698" s="142"/>
      <c r="D698" s="154"/>
      <c r="E698" s="143"/>
      <c r="F698" s="144"/>
      <c r="G698" s="151"/>
      <c r="H698" s="151"/>
      <c r="I698" s="144"/>
      <c r="J698" s="144"/>
      <c r="K698" s="144"/>
      <c r="L698" s="144"/>
      <c r="M698" s="144"/>
      <c r="N698" s="144"/>
      <c r="O698" s="144"/>
      <c r="P698" s="144"/>
      <c r="Q698" s="144"/>
      <c r="R698" s="144"/>
      <c r="S698" s="144"/>
      <c r="T698" s="144"/>
      <c r="U698" s="144"/>
      <c r="V698" s="144"/>
      <c r="W698" s="144"/>
      <c r="X698" s="144"/>
      <c r="Y698" s="144"/>
      <c r="Z698" s="144"/>
    </row>
    <row r="699" spans="1:26" ht="24.75">
      <c r="A699" s="144"/>
      <c r="B699" s="141"/>
      <c r="C699" s="142"/>
      <c r="D699" s="154"/>
      <c r="E699" s="143"/>
      <c r="F699" s="144"/>
      <c r="G699" s="153"/>
      <c r="H699" s="153"/>
      <c r="I699" s="144"/>
      <c r="J699" s="144"/>
      <c r="K699" s="144"/>
      <c r="L699" s="144"/>
      <c r="M699" s="144"/>
      <c r="N699" s="144"/>
      <c r="O699" s="144"/>
      <c r="P699" s="144"/>
      <c r="Q699" s="144"/>
      <c r="R699" s="144"/>
      <c r="S699" s="144"/>
      <c r="T699" s="144"/>
      <c r="U699" s="144"/>
      <c r="V699" s="144"/>
      <c r="W699" s="144"/>
      <c r="X699" s="144"/>
      <c r="Y699" s="144"/>
      <c r="Z699" s="144"/>
    </row>
    <row r="700" spans="1:26" ht="24.75">
      <c r="A700" s="144"/>
      <c r="B700" s="141"/>
      <c r="C700" s="142"/>
      <c r="D700" s="154"/>
      <c r="E700" s="143"/>
      <c r="F700" s="144"/>
      <c r="G700" s="151"/>
      <c r="H700" s="151"/>
      <c r="I700" s="144"/>
      <c r="J700" s="144"/>
      <c r="K700" s="144"/>
      <c r="L700" s="144"/>
      <c r="M700" s="144"/>
      <c r="N700" s="144"/>
      <c r="O700" s="144"/>
      <c r="P700" s="144"/>
      <c r="Q700" s="144"/>
      <c r="R700" s="144"/>
      <c r="S700" s="144"/>
      <c r="T700" s="144"/>
      <c r="U700" s="144"/>
      <c r="V700" s="144"/>
      <c r="W700" s="144"/>
      <c r="X700" s="144"/>
      <c r="Y700" s="144"/>
      <c r="Z700" s="144"/>
    </row>
    <row r="701" spans="1:26" ht="24.75">
      <c r="A701" s="144"/>
      <c r="B701" s="141"/>
      <c r="C701" s="142"/>
      <c r="D701" s="154"/>
      <c r="E701" s="143"/>
      <c r="F701" s="144"/>
      <c r="G701" s="153"/>
      <c r="H701" s="153"/>
      <c r="I701" s="144"/>
      <c r="J701" s="144"/>
      <c r="K701" s="144"/>
      <c r="L701" s="144"/>
      <c r="M701" s="144"/>
      <c r="N701" s="144"/>
      <c r="O701" s="144"/>
      <c r="P701" s="144"/>
      <c r="Q701" s="144"/>
      <c r="R701" s="144"/>
      <c r="S701" s="144"/>
      <c r="T701" s="144"/>
      <c r="U701" s="144"/>
      <c r="V701" s="144"/>
      <c r="W701" s="144"/>
      <c r="X701" s="144"/>
      <c r="Y701" s="144"/>
      <c r="Z701" s="144"/>
    </row>
    <row r="702" spans="1:26" ht="24.75">
      <c r="A702" s="144"/>
      <c r="B702" s="141"/>
      <c r="C702" s="142"/>
      <c r="D702" s="154"/>
      <c r="E702" s="143"/>
      <c r="F702" s="144"/>
      <c r="G702" s="151"/>
      <c r="H702" s="151"/>
      <c r="I702" s="144"/>
      <c r="J702" s="144"/>
      <c r="K702" s="144"/>
      <c r="L702" s="144"/>
      <c r="M702" s="144"/>
      <c r="N702" s="144"/>
      <c r="O702" s="144"/>
      <c r="P702" s="144"/>
      <c r="Q702" s="144"/>
      <c r="R702" s="144"/>
      <c r="S702" s="144"/>
      <c r="T702" s="144"/>
      <c r="U702" s="144"/>
      <c r="V702" s="144"/>
      <c r="W702" s="144"/>
      <c r="X702" s="144"/>
      <c r="Y702" s="144"/>
      <c r="Z702" s="144"/>
    </row>
    <row r="703" spans="1:26" ht="24.75">
      <c r="A703" s="144"/>
      <c r="B703" s="141"/>
      <c r="C703" s="142"/>
      <c r="D703" s="154"/>
      <c r="E703" s="143"/>
      <c r="F703" s="144"/>
      <c r="G703" s="153"/>
      <c r="H703" s="153"/>
      <c r="I703" s="144"/>
      <c r="J703" s="144"/>
      <c r="K703" s="144"/>
      <c r="L703" s="144"/>
      <c r="M703" s="144"/>
      <c r="N703" s="144"/>
      <c r="O703" s="144"/>
      <c r="P703" s="144"/>
      <c r="Q703" s="144"/>
      <c r="R703" s="144"/>
      <c r="S703" s="144"/>
      <c r="T703" s="144"/>
      <c r="U703" s="144"/>
      <c r="V703" s="144"/>
      <c r="W703" s="144"/>
      <c r="X703" s="144"/>
      <c r="Y703" s="144"/>
      <c r="Z703" s="144"/>
    </row>
    <row r="704" spans="1:26" ht="24.75">
      <c r="A704" s="144"/>
      <c r="B704" s="141"/>
      <c r="C704" s="142"/>
      <c r="D704" s="154"/>
      <c r="E704" s="143"/>
      <c r="F704" s="144"/>
      <c r="G704" s="151"/>
      <c r="H704" s="151"/>
      <c r="I704" s="144"/>
      <c r="J704" s="144"/>
      <c r="K704" s="144"/>
      <c r="L704" s="144"/>
      <c r="M704" s="144"/>
      <c r="N704" s="144"/>
      <c r="O704" s="144"/>
      <c r="P704" s="144"/>
      <c r="Q704" s="144"/>
      <c r="R704" s="144"/>
      <c r="S704" s="144"/>
      <c r="T704" s="144"/>
      <c r="U704" s="144"/>
      <c r="V704" s="144"/>
      <c r="W704" s="144"/>
      <c r="X704" s="144"/>
      <c r="Y704" s="144"/>
      <c r="Z704" s="144"/>
    </row>
    <row r="705" spans="1:26" ht="24.75">
      <c r="A705" s="144"/>
      <c r="B705" s="141"/>
      <c r="C705" s="142"/>
      <c r="D705" s="154"/>
      <c r="E705" s="143"/>
      <c r="F705" s="144"/>
      <c r="G705" s="153"/>
      <c r="H705" s="153"/>
      <c r="I705" s="144"/>
      <c r="J705" s="144"/>
      <c r="K705" s="144"/>
      <c r="L705" s="144"/>
      <c r="M705" s="144"/>
      <c r="N705" s="144"/>
      <c r="O705" s="144"/>
      <c r="P705" s="144"/>
      <c r="Q705" s="144"/>
      <c r="R705" s="144"/>
      <c r="S705" s="144"/>
      <c r="T705" s="144"/>
      <c r="U705" s="144"/>
      <c r="V705" s="144"/>
      <c r="W705" s="144"/>
      <c r="X705" s="144"/>
      <c r="Y705" s="144"/>
      <c r="Z705" s="144"/>
    </row>
    <row r="706" spans="1:26" ht="24.75">
      <c r="A706" s="144"/>
      <c r="B706" s="141"/>
      <c r="C706" s="142"/>
      <c r="D706" s="154"/>
      <c r="E706" s="143"/>
      <c r="F706" s="144"/>
      <c r="G706" s="151"/>
      <c r="H706" s="151"/>
      <c r="I706" s="144"/>
      <c r="J706" s="144"/>
      <c r="K706" s="144"/>
      <c r="L706" s="144"/>
      <c r="M706" s="144"/>
      <c r="N706" s="144"/>
      <c r="O706" s="144"/>
      <c r="P706" s="144"/>
      <c r="Q706" s="144"/>
      <c r="R706" s="144"/>
      <c r="S706" s="144"/>
      <c r="T706" s="144"/>
      <c r="U706" s="144"/>
      <c r="V706" s="144"/>
      <c r="W706" s="144"/>
      <c r="X706" s="144"/>
      <c r="Y706" s="144"/>
      <c r="Z706" s="144"/>
    </row>
    <row r="707" spans="1:26" ht="24.75">
      <c r="A707" s="144"/>
      <c r="B707" s="141"/>
      <c r="C707" s="142"/>
      <c r="D707" s="154"/>
      <c r="E707" s="143"/>
      <c r="F707" s="144"/>
      <c r="G707" s="153"/>
      <c r="H707" s="153"/>
      <c r="I707" s="144"/>
      <c r="J707" s="144"/>
      <c r="K707" s="144"/>
      <c r="L707" s="144"/>
      <c r="M707" s="144"/>
      <c r="N707" s="144"/>
      <c r="O707" s="144"/>
      <c r="P707" s="144"/>
      <c r="Q707" s="144"/>
      <c r="R707" s="144"/>
      <c r="S707" s="144"/>
      <c r="T707" s="144"/>
      <c r="U707" s="144"/>
      <c r="V707" s="144"/>
      <c r="W707" s="144"/>
      <c r="X707" s="144"/>
      <c r="Y707" s="144"/>
      <c r="Z707" s="144"/>
    </row>
    <row r="708" spans="1:26" ht="24.75">
      <c r="A708" s="144"/>
      <c r="B708" s="141"/>
      <c r="C708" s="142"/>
      <c r="D708" s="154"/>
      <c r="E708" s="143"/>
      <c r="F708" s="144"/>
      <c r="G708" s="151"/>
      <c r="H708" s="151"/>
      <c r="I708" s="144"/>
      <c r="J708" s="144"/>
      <c r="K708" s="144"/>
      <c r="L708" s="144"/>
      <c r="M708" s="144"/>
      <c r="N708" s="144"/>
      <c r="O708" s="144"/>
      <c r="P708" s="144"/>
      <c r="Q708" s="144"/>
      <c r="R708" s="144"/>
      <c r="S708" s="144"/>
      <c r="T708" s="144"/>
      <c r="U708" s="144"/>
      <c r="V708" s="144"/>
      <c r="W708" s="144"/>
      <c r="X708" s="144"/>
      <c r="Y708" s="144"/>
      <c r="Z708" s="144"/>
    </row>
    <row r="709" spans="1:26" ht="24.75">
      <c r="A709" s="144"/>
      <c r="B709" s="141"/>
      <c r="C709" s="142"/>
      <c r="D709" s="154"/>
      <c r="E709" s="143"/>
      <c r="F709" s="144"/>
      <c r="G709" s="153"/>
      <c r="H709" s="153"/>
      <c r="I709" s="144"/>
      <c r="J709" s="144"/>
      <c r="K709" s="144"/>
      <c r="L709" s="144"/>
      <c r="M709" s="144"/>
      <c r="N709" s="144"/>
      <c r="O709" s="144"/>
      <c r="P709" s="144"/>
      <c r="Q709" s="144"/>
      <c r="R709" s="144"/>
      <c r="S709" s="144"/>
      <c r="T709" s="144"/>
      <c r="U709" s="144"/>
      <c r="V709" s="144"/>
      <c r="W709" s="144"/>
      <c r="X709" s="144"/>
      <c r="Y709" s="144"/>
      <c r="Z709" s="144"/>
    </row>
    <row r="710" spans="1:26" ht="24.75">
      <c r="A710" s="144"/>
      <c r="B710" s="141"/>
      <c r="C710" s="142"/>
      <c r="D710" s="154"/>
      <c r="E710" s="143"/>
      <c r="F710" s="144"/>
      <c r="G710" s="151"/>
      <c r="H710" s="151"/>
      <c r="I710" s="144"/>
      <c r="J710" s="144"/>
      <c r="K710" s="144"/>
      <c r="L710" s="144"/>
      <c r="M710" s="144"/>
      <c r="N710" s="144"/>
      <c r="O710" s="144"/>
      <c r="P710" s="144"/>
      <c r="Q710" s="144"/>
      <c r="R710" s="144"/>
      <c r="S710" s="144"/>
      <c r="T710" s="144"/>
      <c r="U710" s="144"/>
      <c r="V710" s="144"/>
      <c r="W710" s="144"/>
      <c r="X710" s="144"/>
      <c r="Y710" s="144"/>
      <c r="Z710" s="144"/>
    </row>
    <row r="711" spans="1:26" ht="24.75">
      <c r="A711" s="144"/>
      <c r="B711" s="141"/>
      <c r="C711" s="142"/>
      <c r="D711" s="154"/>
      <c r="E711" s="143"/>
      <c r="F711" s="144"/>
      <c r="G711" s="153"/>
      <c r="H711" s="153"/>
      <c r="I711" s="144"/>
      <c r="J711" s="144"/>
      <c r="K711" s="144"/>
      <c r="L711" s="144"/>
      <c r="M711" s="144"/>
      <c r="N711" s="144"/>
      <c r="O711" s="144"/>
      <c r="P711" s="144"/>
      <c r="Q711" s="144"/>
      <c r="R711" s="144"/>
      <c r="S711" s="144"/>
      <c r="T711" s="144"/>
      <c r="U711" s="144"/>
      <c r="V711" s="144"/>
      <c r="W711" s="144"/>
      <c r="X711" s="144"/>
      <c r="Y711" s="144"/>
      <c r="Z711" s="144"/>
    </row>
    <row r="712" spans="1:26" ht="24.75">
      <c r="A712" s="144"/>
      <c r="B712" s="141"/>
      <c r="C712" s="142"/>
      <c r="D712" s="154"/>
      <c r="E712" s="143"/>
      <c r="F712" s="144"/>
      <c r="G712" s="151"/>
      <c r="H712" s="151"/>
      <c r="I712" s="144"/>
      <c r="J712" s="144"/>
      <c r="K712" s="144"/>
      <c r="L712" s="144"/>
      <c r="M712" s="144"/>
      <c r="N712" s="144"/>
      <c r="O712" s="144"/>
      <c r="P712" s="144"/>
      <c r="Q712" s="144"/>
      <c r="R712" s="144"/>
      <c r="S712" s="144"/>
      <c r="T712" s="144"/>
      <c r="U712" s="144"/>
      <c r="V712" s="144"/>
      <c r="W712" s="144"/>
      <c r="X712" s="144"/>
      <c r="Y712" s="144"/>
      <c r="Z712" s="144"/>
    </row>
    <row r="713" spans="1:26" ht="24.75">
      <c r="A713" s="144"/>
      <c r="B713" s="141"/>
      <c r="C713" s="142"/>
      <c r="D713" s="154"/>
      <c r="E713" s="143"/>
      <c r="F713" s="144"/>
      <c r="G713" s="153"/>
      <c r="H713" s="153"/>
      <c r="I713" s="144"/>
      <c r="J713" s="144"/>
      <c r="K713" s="144"/>
      <c r="L713" s="144"/>
      <c r="M713" s="144"/>
      <c r="N713" s="144"/>
      <c r="O713" s="144"/>
      <c r="P713" s="144"/>
      <c r="Q713" s="144"/>
      <c r="R713" s="144"/>
      <c r="S713" s="144"/>
      <c r="T713" s="144"/>
      <c r="U713" s="144"/>
      <c r="V713" s="144"/>
      <c r="W713" s="144"/>
      <c r="X713" s="144"/>
      <c r="Y713" s="144"/>
      <c r="Z713" s="144"/>
    </row>
    <row r="714" spans="1:26" ht="24.75">
      <c r="A714" s="144"/>
      <c r="B714" s="141"/>
      <c r="C714" s="142"/>
      <c r="D714" s="154"/>
      <c r="E714" s="143"/>
      <c r="F714" s="144"/>
      <c r="G714" s="151"/>
      <c r="H714" s="151"/>
      <c r="I714" s="144"/>
      <c r="J714" s="144"/>
      <c r="K714" s="144"/>
      <c r="L714" s="144"/>
      <c r="M714" s="144"/>
      <c r="N714" s="144"/>
      <c r="O714" s="144"/>
      <c r="P714" s="144"/>
      <c r="Q714" s="144"/>
      <c r="R714" s="144"/>
      <c r="S714" s="144"/>
      <c r="T714" s="144"/>
      <c r="U714" s="144"/>
      <c r="V714" s="144"/>
      <c r="W714" s="144"/>
      <c r="X714" s="144"/>
      <c r="Y714" s="144"/>
      <c r="Z714" s="144"/>
    </row>
    <row r="715" spans="1:26" ht="24.75">
      <c r="A715" s="144"/>
      <c r="B715" s="141"/>
      <c r="C715" s="142"/>
      <c r="D715" s="154"/>
      <c r="E715" s="143"/>
      <c r="F715" s="144"/>
      <c r="G715" s="153"/>
      <c r="H715" s="153"/>
      <c r="I715" s="144"/>
      <c r="J715" s="144"/>
      <c r="K715" s="144"/>
      <c r="L715" s="144"/>
      <c r="M715" s="144"/>
      <c r="N715" s="144"/>
      <c r="O715" s="144"/>
      <c r="P715" s="144"/>
      <c r="Q715" s="144"/>
      <c r="R715" s="144"/>
      <c r="S715" s="144"/>
      <c r="T715" s="144"/>
      <c r="U715" s="144"/>
      <c r="V715" s="144"/>
      <c r="W715" s="144"/>
      <c r="X715" s="144"/>
      <c r="Y715" s="144"/>
      <c r="Z715" s="144"/>
    </row>
    <row r="716" spans="1:26" ht="24.75">
      <c r="A716" s="144"/>
      <c r="B716" s="141"/>
      <c r="C716" s="142"/>
      <c r="D716" s="154"/>
      <c r="E716" s="143"/>
      <c r="F716" s="144"/>
      <c r="G716" s="151"/>
      <c r="H716" s="151"/>
      <c r="I716" s="144"/>
      <c r="J716" s="144"/>
      <c r="K716" s="144"/>
      <c r="L716" s="144"/>
      <c r="M716" s="144"/>
      <c r="N716" s="144"/>
      <c r="O716" s="144"/>
      <c r="P716" s="144"/>
      <c r="Q716" s="144"/>
      <c r="R716" s="144"/>
      <c r="S716" s="144"/>
      <c r="T716" s="144"/>
      <c r="U716" s="144"/>
      <c r="V716" s="144"/>
      <c r="W716" s="144"/>
      <c r="X716" s="144"/>
      <c r="Y716" s="144"/>
      <c r="Z716" s="144"/>
    </row>
    <row r="717" spans="1:26" ht="24.75">
      <c r="A717" s="144"/>
      <c r="B717" s="141"/>
      <c r="C717" s="142"/>
      <c r="D717" s="154"/>
      <c r="E717" s="143"/>
      <c r="F717" s="144"/>
      <c r="G717" s="153"/>
      <c r="H717" s="153"/>
      <c r="I717" s="144"/>
      <c r="J717" s="144"/>
      <c r="K717" s="144"/>
      <c r="L717" s="144"/>
      <c r="M717" s="144"/>
      <c r="N717" s="144"/>
      <c r="O717" s="144"/>
      <c r="P717" s="144"/>
      <c r="Q717" s="144"/>
      <c r="R717" s="144"/>
      <c r="S717" s="144"/>
      <c r="T717" s="144"/>
      <c r="U717" s="144"/>
      <c r="V717" s="144"/>
      <c r="W717" s="144"/>
      <c r="X717" s="144"/>
      <c r="Y717" s="144"/>
      <c r="Z717" s="144"/>
    </row>
    <row r="718" spans="1:26" ht="24.75">
      <c r="A718" s="144"/>
      <c r="B718" s="141"/>
      <c r="C718" s="142"/>
      <c r="D718" s="154"/>
      <c r="E718" s="143"/>
      <c r="F718" s="144"/>
      <c r="G718" s="151"/>
      <c r="H718" s="151"/>
      <c r="I718" s="144"/>
      <c r="J718" s="144"/>
      <c r="K718" s="144"/>
      <c r="L718" s="144"/>
      <c r="M718" s="144"/>
      <c r="N718" s="144"/>
      <c r="O718" s="144"/>
      <c r="P718" s="144"/>
      <c r="Q718" s="144"/>
      <c r="R718" s="144"/>
      <c r="S718" s="144"/>
      <c r="T718" s="144"/>
      <c r="U718" s="144"/>
      <c r="V718" s="144"/>
      <c r="W718" s="144"/>
      <c r="X718" s="144"/>
      <c r="Y718" s="144"/>
      <c r="Z718" s="144"/>
    </row>
    <row r="719" spans="1:26" ht="24.75">
      <c r="A719" s="144"/>
      <c r="B719" s="141"/>
      <c r="C719" s="142"/>
      <c r="D719" s="154"/>
      <c r="E719" s="143"/>
      <c r="F719" s="144"/>
      <c r="G719" s="153"/>
      <c r="H719" s="153"/>
      <c r="I719" s="144"/>
      <c r="J719" s="144"/>
      <c r="K719" s="144"/>
      <c r="L719" s="144"/>
      <c r="M719" s="144"/>
      <c r="N719" s="144"/>
      <c r="O719" s="144"/>
      <c r="P719" s="144"/>
      <c r="Q719" s="144"/>
      <c r="R719" s="144"/>
      <c r="S719" s="144"/>
      <c r="T719" s="144"/>
      <c r="U719" s="144"/>
      <c r="V719" s="144"/>
      <c r="W719" s="144"/>
      <c r="X719" s="144"/>
      <c r="Y719" s="144"/>
      <c r="Z719" s="144"/>
    </row>
    <row r="720" spans="1:26" ht="24.75">
      <c r="A720" s="144"/>
      <c r="B720" s="141"/>
      <c r="C720" s="142"/>
      <c r="D720" s="154"/>
      <c r="E720" s="143"/>
      <c r="F720" s="144"/>
      <c r="G720" s="151"/>
      <c r="H720" s="151"/>
      <c r="I720" s="144"/>
      <c r="J720" s="144"/>
      <c r="K720" s="144"/>
      <c r="L720" s="144"/>
      <c r="M720" s="144"/>
      <c r="N720" s="144"/>
      <c r="O720" s="144"/>
      <c r="P720" s="144"/>
      <c r="Q720" s="144"/>
      <c r="R720" s="144"/>
      <c r="S720" s="144"/>
      <c r="T720" s="144"/>
      <c r="U720" s="144"/>
      <c r="V720" s="144"/>
      <c r="W720" s="144"/>
      <c r="X720" s="144"/>
      <c r="Y720" s="144"/>
      <c r="Z720" s="144"/>
    </row>
    <row r="721" spans="1:26" ht="24.75">
      <c r="A721" s="144"/>
      <c r="B721" s="141"/>
      <c r="C721" s="142"/>
      <c r="D721" s="154"/>
      <c r="E721" s="143"/>
      <c r="F721" s="144"/>
      <c r="G721" s="153"/>
      <c r="H721" s="153"/>
      <c r="I721" s="144"/>
      <c r="J721" s="144"/>
      <c r="K721" s="144"/>
      <c r="L721" s="144"/>
      <c r="M721" s="144"/>
      <c r="N721" s="144"/>
      <c r="O721" s="144"/>
      <c r="P721" s="144"/>
      <c r="Q721" s="144"/>
      <c r="R721" s="144"/>
      <c r="S721" s="144"/>
      <c r="T721" s="144"/>
      <c r="U721" s="144"/>
      <c r="V721" s="144"/>
      <c r="W721" s="144"/>
      <c r="X721" s="144"/>
      <c r="Y721" s="144"/>
      <c r="Z721" s="144"/>
    </row>
    <row r="722" spans="1:26" ht="24.75">
      <c r="A722" s="144"/>
      <c r="B722" s="141"/>
      <c r="C722" s="142"/>
      <c r="D722" s="154"/>
      <c r="E722" s="143"/>
      <c r="F722" s="144"/>
      <c r="G722" s="151"/>
      <c r="H722" s="151"/>
      <c r="I722" s="144"/>
      <c r="J722" s="144"/>
      <c r="K722" s="144"/>
      <c r="L722" s="144"/>
      <c r="M722" s="144"/>
      <c r="N722" s="144"/>
      <c r="O722" s="144"/>
      <c r="P722" s="144"/>
      <c r="Q722" s="144"/>
      <c r="R722" s="144"/>
      <c r="S722" s="144"/>
      <c r="T722" s="144"/>
      <c r="U722" s="144"/>
      <c r="V722" s="144"/>
      <c r="W722" s="144"/>
      <c r="X722" s="144"/>
      <c r="Y722" s="144"/>
      <c r="Z722" s="144"/>
    </row>
    <row r="723" spans="1:26" ht="24.75">
      <c r="A723" s="144"/>
      <c r="B723" s="141"/>
      <c r="C723" s="142"/>
      <c r="D723" s="154"/>
      <c r="E723" s="143"/>
      <c r="F723" s="144"/>
      <c r="G723" s="153"/>
      <c r="H723" s="153"/>
      <c r="I723" s="144"/>
      <c r="J723" s="144"/>
      <c r="K723" s="144"/>
      <c r="L723" s="144"/>
      <c r="M723" s="144"/>
      <c r="N723" s="144"/>
      <c r="O723" s="144"/>
      <c r="P723" s="144"/>
      <c r="Q723" s="144"/>
      <c r="R723" s="144"/>
      <c r="S723" s="144"/>
      <c r="T723" s="144"/>
      <c r="U723" s="144"/>
      <c r="V723" s="144"/>
      <c r="W723" s="144"/>
      <c r="X723" s="144"/>
      <c r="Y723" s="144"/>
      <c r="Z723" s="144"/>
    </row>
    <row r="724" spans="1:26" ht="24.75">
      <c r="A724" s="144"/>
      <c r="B724" s="141"/>
      <c r="C724" s="142"/>
      <c r="D724" s="154"/>
      <c r="E724" s="143"/>
      <c r="F724" s="144"/>
      <c r="G724" s="151"/>
      <c r="H724" s="151"/>
      <c r="I724" s="144"/>
      <c r="J724" s="144"/>
      <c r="K724" s="144"/>
      <c r="L724" s="144"/>
      <c r="M724" s="144"/>
      <c r="N724" s="144"/>
      <c r="O724" s="144"/>
      <c r="P724" s="144"/>
      <c r="Q724" s="144"/>
      <c r="R724" s="144"/>
      <c r="S724" s="144"/>
      <c r="T724" s="144"/>
      <c r="U724" s="144"/>
      <c r="V724" s="144"/>
      <c r="W724" s="144"/>
      <c r="X724" s="144"/>
      <c r="Y724" s="144"/>
      <c r="Z724" s="144"/>
    </row>
    <row r="725" spans="1:26" ht="24.75">
      <c r="A725" s="144"/>
      <c r="B725" s="141"/>
      <c r="C725" s="142"/>
      <c r="D725" s="154"/>
      <c r="E725" s="143"/>
      <c r="F725" s="144"/>
      <c r="G725" s="153"/>
      <c r="H725" s="153"/>
      <c r="I725" s="144"/>
      <c r="J725" s="144"/>
      <c r="K725" s="144"/>
      <c r="L725" s="144"/>
      <c r="M725" s="144"/>
      <c r="N725" s="144"/>
      <c r="O725" s="144"/>
      <c r="P725" s="144"/>
      <c r="Q725" s="144"/>
      <c r="R725" s="144"/>
      <c r="S725" s="144"/>
      <c r="T725" s="144"/>
      <c r="U725" s="144"/>
      <c r="V725" s="144"/>
      <c r="W725" s="144"/>
      <c r="X725" s="144"/>
      <c r="Y725" s="144"/>
      <c r="Z725" s="144"/>
    </row>
    <row r="726" spans="1:26" ht="24.75">
      <c r="A726" s="144"/>
      <c r="B726" s="141"/>
      <c r="C726" s="142"/>
      <c r="D726" s="154"/>
      <c r="E726" s="143"/>
      <c r="F726" s="144"/>
      <c r="G726" s="151"/>
      <c r="H726" s="151"/>
      <c r="I726" s="144"/>
      <c r="J726" s="144"/>
      <c r="K726" s="144"/>
      <c r="L726" s="144"/>
      <c r="M726" s="144"/>
      <c r="N726" s="144"/>
      <c r="O726" s="144"/>
      <c r="P726" s="144"/>
      <c r="Q726" s="144"/>
      <c r="R726" s="144"/>
      <c r="S726" s="144"/>
      <c r="T726" s="144"/>
      <c r="U726" s="144"/>
      <c r="V726" s="144"/>
      <c r="W726" s="144"/>
      <c r="X726" s="144"/>
      <c r="Y726" s="144"/>
      <c r="Z726" s="144"/>
    </row>
    <row r="727" spans="1:26" ht="24.75">
      <c r="A727" s="144"/>
      <c r="B727" s="141"/>
      <c r="C727" s="142"/>
      <c r="D727" s="154"/>
      <c r="E727" s="143"/>
      <c r="F727" s="144"/>
      <c r="G727" s="153"/>
      <c r="H727" s="153"/>
      <c r="I727" s="144"/>
      <c r="J727" s="144"/>
      <c r="K727" s="144"/>
      <c r="L727" s="144"/>
      <c r="M727" s="144"/>
      <c r="N727" s="144"/>
      <c r="O727" s="144"/>
      <c r="P727" s="144"/>
      <c r="Q727" s="144"/>
      <c r="R727" s="144"/>
      <c r="S727" s="144"/>
      <c r="T727" s="144"/>
      <c r="U727" s="144"/>
      <c r="V727" s="144"/>
      <c r="W727" s="144"/>
      <c r="X727" s="144"/>
      <c r="Y727" s="144"/>
      <c r="Z727" s="144"/>
    </row>
    <row r="728" spans="1:26" ht="24.75">
      <c r="A728" s="144"/>
      <c r="B728" s="141"/>
      <c r="C728" s="142"/>
      <c r="D728" s="154"/>
      <c r="E728" s="143"/>
      <c r="F728" s="144"/>
      <c r="G728" s="151"/>
      <c r="H728" s="151"/>
      <c r="I728" s="144"/>
      <c r="J728" s="144"/>
      <c r="K728" s="144"/>
      <c r="L728" s="144"/>
      <c r="M728" s="144"/>
      <c r="N728" s="144"/>
      <c r="O728" s="144"/>
      <c r="P728" s="144"/>
      <c r="Q728" s="144"/>
      <c r="R728" s="144"/>
      <c r="S728" s="144"/>
      <c r="T728" s="144"/>
      <c r="U728" s="144"/>
      <c r="V728" s="144"/>
      <c r="W728" s="144"/>
      <c r="X728" s="144"/>
      <c r="Y728" s="144"/>
      <c r="Z728" s="144"/>
    </row>
    <row r="729" spans="1:26" ht="24.75">
      <c r="A729" s="144"/>
      <c r="B729" s="141"/>
      <c r="C729" s="142"/>
      <c r="D729" s="154"/>
      <c r="E729" s="143"/>
      <c r="F729" s="144"/>
      <c r="G729" s="153"/>
      <c r="H729" s="153"/>
      <c r="I729" s="144"/>
      <c r="J729" s="144"/>
      <c r="K729" s="144"/>
      <c r="L729" s="144"/>
      <c r="M729" s="144"/>
      <c r="N729" s="144"/>
      <c r="O729" s="144"/>
      <c r="P729" s="144"/>
      <c r="Q729" s="144"/>
      <c r="R729" s="144"/>
      <c r="S729" s="144"/>
      <c r="T729" s="144"/>
      <c r="U729" s="144"/>
      <c r="V729" s="144"/>
      <c r="W729" s="144"/>
      <c r="X729" s="144"/>
      <c r="Y729" s="144"/>
      <c r="Z729" s="144"/>
    </row>
    <row r="730" spans="1:26" ht="24.75">
      <c r="A730" s="144"/>
      <c r="B730" s="141"/>
      <c r="C730" s="142"/>
      <c r="D730" s="154"/>
      <c r="E730" s="143"/>
      <c r="F730" s="144"/>
      <c r="G730" s="151"/>
      <c r="H730" s="151"/>
      <c r="I730" s="144"/>
      <c r="J730" s="144"/>
      <c r="K730" s="144"/>
      <c r="L730" s="144"/>
      <c r="M730" s="144"/>
      <c r="N730" s="144"/>
      <c r="O730" s="144"/>
      <c r="P730" s="144"/>
      <c r="Q730" s="144"/>
      <c r="R730" s="144"/>
      <c r="S730" s="144"/>
      <c r="T730" s="144"/>
      <c r="U730" s="144"/>
      <c r="V730" s="144"/>
      <c r="W730" s="144"/>
      <c r="X730" s="144"/>
      <c r="Y730" s="144"/>
      <c r="Z730" s="144"/>
    </row>
    <row r="731" spans="1:26" ht="24.75">
      <c r="A731" s="144"/>
      <c r="B731" s="141"/>
      <c r="C731" s="142"/>
      <c r="D731" s="154"/>
      <c r="E731" s="143"/>
      <c r="F731" s="144"/>
      <c r="G731" s="153"/>
      <c r="H731" s="153"/>
      <c r="I731" s="144"/>
      <c r="J731" s="144"/>
      <c r="K731" s="144"/>
      <c r="L731" s="144"/>
      <c r="M731" s="144"/>
      <c r="N731" s="144"/>
      <c r="O731" s="144"/>
      <c r="P731" s="144"/>
      <c r="Q731" s="144"/>
      <c r="R731" s="144"/>
      <c r="S731" s="144"/>
      <c r="T731" s="144"/>
      <c r="U731" s="144"/>
      <c r="V731" s="144"/>
      <c r="W731" s="144"/>
      <c r="X731" s="144"/>
      <c r="Y731" s="144"/>
      <c r="Z731" s="144"/>
    </row>
    <row r="732" spans="1:26" ht="24.75">
      <c r="A732" s="144"/>
      <c r="B732" s="141"/>
      <c r="C732" s="142"/>
      <c r="D732" s="154"/>
      <c r="E732" s="143"/>
      <c r="F732" s="144"/>
      <c r="G732" s="151"/>
      <c r="H732" s="151"/>
      <c r="I732" s="144"/>
      <c r="J732" s="144"/>
      <c r="K732" s="144"/>
      <c r="L732" s="144"/>
      <c r="M732" s="144"/>
      <c r="N732" s="144"/>
      <c r="O732" s="144"/>
      <c r="P732" s="144"/>
      <c r="Q732" s="144"/>
      <c r="R732" s="144"/>
      <c r="S732" s="144"/>
      <c r="T732" s="144"/>
      <c r="U732" s="144"/>
      <c r="V732" s="144"/>
      <c r="W732" s="144"/>
      <c r="X732" s="144"/>
      <c r="Y732" s="144"/>
      <c r="Z732" s="144"/>
    </row>
    <row r="733" spans="1:26" ht="24.75">
      <c r="A733" s="144"/>
      <c r="B733" s="141"/>
      <c r="C733" s="142"/>
      <c r="D733" s="154"/>
      <c r="E733" s="143"/>
      <c r="F733" s="144"/>
      <c r="G733" s="153"/>
      <c r="H733" s="153"/>
      <c r="I733" s="144"/>
      <c r="J733" s="144"/>
      <c r="K733" s="144"/>
      <c r="L733" s="144"/>
      <c r="M733" s="144"/>
      <c r="N733" s="144"/>
      <c r="O733" s="144"/>
      <c r="P733" s="144"/>
      <c r="Q733" s="144"/>
      <c r="R733" s="144"/>
      <c r="S733" s="144"/>
      <c r="T733" s="144"/>
      <c r="U733" s="144"/>
      <c r="V733" s="144"/>
      <c r="W733" s="144"/>
      <c r="X733" s="144"/>
      <c r="Y733" s="144"/>
      <c r="Z733" s="144"/>
    </row>
    <row r="734" spans="1:26" ht="24.75">
      <c r="A734" s="144"/>
      <c r="B734" s="141"/>
      <c r="C734" s="142"/>
      <c r="D734" s="154"/>
      <c r="E734" s="143"/>
      <c r="F734" s="144"/>
      <c r="G734" s="151"/>
      <c r="H734" s="151"/>
      <c r="I734" s="144"/>
      <c r="J734" s="144"/>
      <c r="K734" s="144"/>
      <c r="L734" s="144"/>
      <c r="M734" s="144"/>
      <c r="N734" s="144"/>
      <c r="O734" s="144"/>
      <c r="P734" s="144"/>
      <c r="Q734" s="144"/>
      <c r="R734" s="144"/>
      <c r="S734" s="144"/>
      <c r="T734" s="144"/>
      <c r="U734" s="144"/>
      <c r="V734" s="144"/>
      <c r="W734" s="144"/>
      <c r="X734" s="144"/>
      <c r="Y734" s="144"/>
      <c r="Z734" s="144"/>
    </row>
    <row r="735" spans="1:26" ht="24.75">
      <c r="A735" s="144"/>
      <c r="B735" s="141"/>
      <c r="C735" s="142"/>
      <c r="D735" s="154"/>
      <c r="E735" s="143"/>
      <c r="F735" s="144"/>
      <c r="G735" s="153"/>
      <c r="H735" s="153"/>
      <c r="I735" s="144"/>
      <c r="J735" s="144"/>
      <c r="K735" s="144"/>
      <c r="L735" s="144"/>
      <c r="M735" s="144"/>
      <c r="N735" s="144"/>
      <c r="O735" s="144"/>
      <c r="P735" s="144"/>
      <c r="Q735" s="144"/>
      <c r="R735" s="144"/>
      <c r="S735" s="144"/>
      <c r="T735" s="144"/>
      <c r="U735" s="144"/>
      <c r="V735" s="144"/>
      <c r="W735" s="144"/>
      <c r="X735" s="144"/>
      <c r="Y735" s="144"/>
      <c r="Z735" s="144"/>
    </row>
    <row r="736" spans="1:26" ht="24.75">
      <c r="A736" s="144"/>
      <c r="B736" s="141"/>
      <c r="C736" s="142"/>
      <c r="D736" s="154"/>
      <c r="E736" s="143"/>
      <c r="F736" s="144"/>
      <c r="G736" s="151"/>
      <c r="H736" s="151"/>
      <c r="I736" s="144"/>
      <c r="J736" s="144"/>
      <c r="K736" s="144"/>
      <c r="L736" s="144"/>
      <c r="M736" s="144"/>
      <c r="N736" s="144"/>
      <c r="O736" s="144"/>
      <c r="P736" s="144"/>
      <c r="Q736" s="144"/>
      <c r="R736" s="144"/>
      <c r="S736" s="144"/>
      <c r="T736" s="144"/>
      <c r="U736" s="144"/>
      <c r="V736" s="144"/>
      <c r="W736" s="144"/>
      <c r="X736" s="144"/>
      <c r="Y736" s="144"/>
      <c r="Z736" s="144"/>
    </row>
    <row r="737" spans="1:26" ht="24.75">
      <c r="A737" s="144"/>
      <c r="B737" s="141"/>
      <c r="C737" s="142"/>
      <c r="D737" s="154"/>
      <c r="E737" s="143"/>
      <c r="F737" s="144"/>
      <c r="G737" s="153"/>
      <c r="H737" s="153"/>
      <c r="I737" s="144"/>
      <c r="J737" s="144"/>
      <c r="K737" s="144"/>
      <c r="L737" s="144"/>
      <c r="M737" s="144"/>
      <c r="N737" s="144"/>
      <c r="O737" s="144"/>
      <c r="P737" s="144"/>
      <c r="Q737" s="144"/>
      <c r="R737" s="144"/>
      <c r="S737" s="144"/>
      <c r="T737" s="144"/>
      <c r="U737" s="144"/>
      <c r="V737" s="144"/>
      <c r="W737" s="144"/>
      <c r="X737" s="144"/>
      <c r="Y737" s="144"/>
      <c r="Z737" s="144"/>
    </row>
    <row r="738" spans="1:26" ht="24.75">
      <c r="A738" s="144"/>
      <c r="B738" s="141"/>
      <c r="C738" s="142"/>
      <c r="D738" s="154"/>
      <c r="E738" s="143"/>
      <c r="F738" s="144"/>
      <c r="G738" s="151"/>
      <c r="H738" s="151"/>
      <c r="I738" s="144"/>
      <c r="J738" s="144"/>
      <c r="K738" s="144"/>
      <c r="L738" s="144"/>
      <c r="M738" s="144"/>
      <c r="N738" s="144"/>
      <c r="O738" s="144"/>
      <c r="P738" s="144"/>
      <c r="Q738" s="144"/>
      <c r="R738" s="144"/>
      <c r="S738" s="144"/>
      <c r="T738" s="144"/>
      <c r="U738" s="144"/>
      <c r="V738" s="144"/>
      <c r="W738" s="144"/>
      <c r="X738" s="144"/>
      <c r="Y738" s="144"/>
      <c r="Z738" s="144"/>
    </row>
    <row r="739" spans="1:26" ht="24.75">
      <c r="A739" s="144"/>
      <c r="B739" s="141"/>
      <c r="C739" s="142"/>
      <c r="D739" s="154"/>
      <c r="E739" s="143"/>
      <c r="F739" s="144"/>
      <c r="G739" s="153"/>
      <c r="H739" s="153"/>
      <c r="I739" s="144"/>
      <c r="J739" s="144"/>
      <c r="K739" s="144"/>
      <c r="L739" s="144"/>
      <c r="M739" s="144"/>
      <c r="N739" s="144"/>
      <c r="O739" s="144"/>
      <c r="P739" s="144"/>
      <c r="Q739" s="144"/>
      <c r="R739" s="144"/>
      <c r="S739" s="144"/>
      <c r="T739" s="144"/>
      <c r="U739" s="144"/>
      <c r="V739" s="144"/>
      <c r="W739" s="144"/>
      <c r="X739" s="144"/>
      <c r="Y739" s="144"/>
      <c r="Z739" s="144"/>
    </row>
    <row r="740" spans="1:26" ht="24.75">
      <c r="A740" s="144"/>
      <c r="B740" s="141"/>
      <c r="C740" s="142"/>
      <c r="D740" s="154"/>
      <c r="E740" s="143"/>
      <c r="F740" s="144"/>
      <c r="G740" s="151"/>
      <c r="H740" s="151"/>
      <c r="I740" s="144"/>
      <c r="J740" s="144"/>
      <c r="K740" s="144"/>
      <c r="L740" s="144"/>
      <c r="M740" s="144"/>
      <c r="N740" s="144"/>
      <c r="O740" s="144"/>
      <c r="P740" s="144"/>
      <c r="Q740" s="144"/>
      <c r="R740" s="144"/>
      <c r="S740" s="144"/>
      <c r="T740" s="144"/>
      <c r="U740" s="144"/>
      <c r="V740" s="144"/>
      <c r="W740" s="144"/>
      <c r="X740" s="144"/>
      <c r="Y740" s="144"/>
      <c r="Z740" s="144"/>
    </row>
    <row r="741" spans="1:26" ht="24.75">
      <c r="A741" s="144"/>
      <c r="B741" s="141"/>
      <c r="C741" s="142"/>
      <c r="D741" s="154"/>
      <c r="E741" s="143"/>
      <c r="F741" s="144"/>
      <c r="G741" s="153"/>
      <c r="H741" s="153"/>
      <c r="I741" s="144"/>
      <c r="J741" s="144"/>
      <c r="K741" s="144"/>
      <c r="L741" s="144"/>
      <c r="M741" s="144"/>
      <c r="N741" s="144"/>
      <c r="O741" s="144"/>
      <c r="P741" s="144"/>
      <c r="Q741" s="144"/>
      <c r="R741" s="144"/>
      <c r="S741" s="144"/>
      <c r="T741" s="144"/>
      <c r="U741" s="144"/>
      <c r="V741" s="144"/>
      <c r="W741" s="144"/>
      <c r="X741" s="144"/>
      <c r="Y741" s="144"/>
      <c r="Z741" s="144"/>
    </row>
    <row r="742" spans="1:26" ht="24.75">
      <c r="A742" s="144"/>
      <c r="B742" s="141"/>
      <c r="C742" s="142"/>
      <c r="D742" s="154"/>
      <c r="E742" s="143"/>
      <c r="F742" s="144"/>
      <c r="G742" s="151"/>
      <c r="H742" s="151"/>
      <c r="I742" s="144"/>
      <c r="J742" s="144"/>
      <c r="K742" s="144"/>
      <c r="L742" s="144"/>
      <c r="M742" s="144"/>
      <c r="N742" s="144"/>
      <c r="O742" s="144"/>
      <c r="P742" s="144"/>
      <c r="Q742" s="144"/>
      <c r="R742" s="144"/>
      <c r="S742" s="144"/>
      <c r="T742" s="144"/>
      <c r="U742" s="144"/>
      <c r="V742" s="144"/>
      <c r="W742" s="144"/>
      <c r="X742" s="144"/>
      <c r="Y742" s="144"/>
      <c r="Z742" s="144"/>
    </row>
    <row r="743" spans="1:26" ht="24.75">
      <c r="A743" s="144"/>
      <c r="B743" s="141"/>
      <c r="C743" s="142"/>
      <c r="D743" s="154"/>
      <c r="E743" s="143"/>
      <c r="F743" s="144"/>
      <c r="G743" s="153"/>
      <c r="H743" s="153"/>
      <c r="I743" s="144"/>
      <c r="J743" s="144"/>
      <c r="K743" s="144"/>
      <c r="L743" s="144"/>
      <c r="M743" s="144"/>
      <c r="N743" s="144"/>
      <c r="O743" s="144"/>
      <c r="P743" s="144"/>
      <c r="Q743" s="144"/>
      <c r="R743" s="144"/>
      <c r="S743" s="144"/>
      <c r="T743" s="144"/>
      <c r="U743" s="144"/>
      <c r="V743" s="144"/>
      <c r="W743" s="144"/>
      <c r="X743" s="144"/>
      <c r="Y743" s="144"/>
      <c r="Z743" s="144"/>
    </row>
    <row r="744" spans="1:26" ht="24.75">
      <c r="A744" s="144"/>
      <c r="B744" s="141"/>
      <c r="C744" s="142"/>
      <c r="D744" s="154"/>
      <c r="E744" s="143"/>
      <c r="F744" s="144"/>
      <c r="G744" s="151"/>
      <c r="H744" s="151"/>
      <c r="I744" s="144"/>
      <c r="J744" s="144"/>
      <c r="K744" s="144"/>
      <c r="L744" s="144"/>
      <c r="M744" s="144"/>
      <c r="N744" s="144"/>
      <c r="O744" s="144"/>
      <c r="P744" s="144"/>
      <c r="Q744" s="144"/>
      <c r="R744" s="144"/>
      <c r="S744" s="144"/>
      <c r="T744" s="144"/>
      <c r="U744" s="144"/>
      <c r="V744" s="144"/>
      <c r="W744" s="144"/>
      <c r="X744" s="144"/>
      <c r="Y744" s="144"/>
      <c r="Z744" s="144"/>
    </row>
    <row r="745" spans="1:26" ht="24.75">
      <c r="A745" s="144"/>
      <c r="B745" s="141"/>
      <c r="C745" s="142"/>
      <c r="D745" s="154"/>
      <c r="E745" s="143"/>
      <c r="F745" s="144"/>
      <c r="G745" s="153"/>
      <c r="H745" s="153"/>
      <c r="I745" s="144"/>
      <c r="J745" s="144"/>
      <c r="K745" s="144"/>
      <c r="L745" s="144"/>
      <c r="M745" s="144"/>
      <c r="N745" s="144"/>
      <c r="O745" s="144"/>
      <c r="P745" s="144"/>
      <c r="Q745" s="144"/>
      <c r="R745" s="144"/>
      <c r="S745" s="144"/>
      <c r="T745" s="144"/>
      <c r="U745" s="144"/>
      <c r="V745" s="144"/>
      <c r="W745" s="144"/>
      <c r="X745" s="144"/>
      <c r="Y745" s="144"/>
      <c r="Z745" s="144"/>
    </row>
    <row r="746" spans="1:26" ht="24.75">
      <c r="A746" s="144"/>
      <c r="B746" s="141"/>
      <c r="C746" s="142"/>
      <c r="D746" s="154"/>
      <c r="E746" s="143"/>
      <c r="F746" s="144"/>
      <c r="G746" s="151"/>
      <c r="H746" s="151"/>
      <c r="I746" s="144"/>
      <c r="J746" s="144"/>
      <c r="K746" s="144"/>
      <c r="L746" s="144"/>
      <c r="M746" s="144"/>
      <c r="N746" s="144"/>
      <c r="O746" s="144"/>
      <c r="P746" s="144"/>
      <c r="Q746" s="144"/>
      <c r="R746" s="144"/>
      <c r="S746" s="144"/>
      <c r="T746" s="144"/>
      <c r="U746" s="144"/>
      <c r="V746" s="144"/>
      <c r="W746" s="144"/>
      <c r="X746" s="144"/>
      <c r="Y746" s="144"/>
      <c r="Z746" s="144"/>
    </row>
    <row r="747" spans="1:26" ht="24.75">
      <c r="A747" s="144"/>
      <c r="B747" s="141"/>
      <c r="C747" s="142"/>
      <c r="D747" s="154"/>
      <c r="E747" s="143"/>
      <c r="F747" s="144"/>
      <c r="G747" s="153"/>
      <c r="H747" s="153"/>
      <c r="I747" s="144"/>
      <c r="J747" s="144"/>
      <c r="K747" s="144"/>
      <c r="L747" s="144"/>
      <c r="M747" s="144"/>
      <c r="N747" s="144"/>
      <c r="O747" s="144"/>
      <c r="P747" s="144"/>
      <c r="Q747" s="144"/>
      <c r="R747" s="144"/>
      <c r="S747" s="144"/>
      <c r="T747" s="144"/>
      <c r="U747" s="144"/>
      <c r="V747" s="144"/>
      <c r="W747" s="144"/>
      <c r="X747" s="144"/>
      <c r="Y747" s="144"/>
      <c r="Z747" s="144"/>
    </row>
    <row r="748" spans="1:26" ht="24.75">
      <c r="A748" s="144"/>
      <c r="B748" s="141"/>
      <c r="C748" s="142"/>
      <c r="D748" s="154"/>
      <c r="E748" s="143"/>
      <c r="F748" s="144"/>
      <c r="G748" s="151"/>
      <c r="H748" s="151"/>
      <c r="I748" s="144"/>
      <c r="J748" s="144"/>
      <c r="K748" s="144"/>
      <c r="L748" s="144"/>
      <c r="M748" s="144"/>
      <c r="N748" s="144"/>
      <c r="O748" s="144"/>
      <c r="P748" s="144"/>
      <c r="Q748" s="144"/>
      <c r="R748" s="144"/>
      <c r="S748" s="144"/>
      <c r="T748" s="144"/>
      <c r="U748" s="144"/>
      <c r="V748" s="144"/>
      <c r="W748" s="144"/>
      <c r="X748" s="144"/>
      <c r="Y748" s="144"/>
      <c r="Z748" s="144"/>
    </row>
    <row r="749" spans="1:26" ht="24.75">
      <c r="A749" s="144"/>
      <c r="B749" s="141"/>
      <c r="C749" s="142"/>
      <c r="D749" s="154"/>
      <c r="E749" s="143"/>
      <c r="F749" s="144"/>
      <c r="G749" s="153"/>
      <c r="H749" s="153"/>
      <c r="I749" s="144"/>
      <c r="J749" s="144"/>
      <c r="K749" s="144"/>
      <c r="L749" s="144"/>
      <c r="M749" s="144"/>
      <c r="N749" s="144"/>
      <c r="O749" s="144"/>
      <c r="P749" s="144"/>
      <c r="Q749" s="144"/>
      <c r="R749" s="144"/>
      <c r="S749" s="144"/>
      <c r="T749" s="144"/>
      <c r="U749" s="144"/>
      <c r="V749" s="144"/>
      <c r="W749" s="144"/>
      <c r="X749" s="144"/>
      <c r="Y749" s="144"/>
      <c r="Z749" s="144"/>
    </row>
    <row r="750" spans="1:26" ht="24.75">
      <c r="A750" s="144"/>
      <c r="B750" s="141"/>
      <c r="C750" s="142"/>
      <c r="D750" s="154"/>
      <c r="E750" s="143"/>
      <c r="F750" s="144"/>
      <c r="G750" s="151"/>
      <c r="H750" s="151"/>
      <c r="I750" s="144"/>
      <c r="J750" s="144"/>
      <c r="K750" s="144"/>
      <c r="L750" s="144"/>
      <c r="M750" s="144"/>
      <c r="N750" s="144"/>
      <c r="O750" s="144"/>
      <c r="P750" s="144"/>
      <c r="Q750" s="144"/>
      <c r="R750" s="144"/>
      <c r="S750" s="144"/>
      <c r="T750" s="144"/>
      <c r="U750" s="144"/>
      <c r="V750" s="144"/>
      <c r="W750" s="144"/>
      <c r="X750" s="144"/>
      <c r="Y750" s="144"/>
      <c r="Z750" s="144"/>
    </row>
    <row r="751" spans="1:26" ht="24.75">
      <c r="A751" s="144"/>
      <c r="B751" s="141"/>
      <c r="C751" s="142"/>
      <c r="D751" s="154"/>
      <c r="E751" s="143"/>
      <c r="F751" s="144"/>
      <c r="G751" s="153"/>
      <c r="H751" s="153"/>
      <c r="I751" s="144"/>
      <c r="J751" s="144"/>
      <c r="K751" s="144"/>
      <c r="L751" s="144"/>
      <c r="M751" s="144"/>
      <c r="N751" s="144"/>
      <c r="O751" s="144"/>
      <c r="P751" s="144"/>
      <c r="Q751" s="144"/>
      <c r="R751" s="144"/>
      <c r="S751" s="144"/>
      <c r="T751" s="144"/>
      <c r="U751" s="144"/>
      <c r="V751" s="144"/>
      <c r="W751" s="144"/>
      <c r="X751" s="144"/>
      <c r="Y751" s="144"/>
      <c r="Z751" s="144"/>
    </row>
    <row r="752" spans="1:26" ht="24.75">
      <c r="A752" s="144"/>
      <c r="B752" s="141"/>
      <c r="C752" s="142"/>
      <c r="D752" s="154"/>
      <c r="E752" s="143"/>
      <c r="F752" s="144"/>
      <c r="G752" s="151"/>
      <c r="H752" s="151"/>
      <c r="I752" s="144"/>
      <c r="J752" s="144"/>
      <c r="K752" s="144"/>
      <c r="L752" s="144"/>
      <c r="M752" s="144"/>
      <c r="N752" s="144"/>
      <c r="O752" s="144"/>
      <c r="P752" s="144"/>
      <c r="Q752" s="144"/>
      <c r="R752" s="144"/>
      <c r="S752" s="144"/>
      <c r="T752" s="144"/>
      <c r="U752" s="144"/>
      <c r="V752" s="144"/>
      <c r="W752" s="144"/>
      <c r="X752" s="144"/>
      <c r="Y752" s="144"/>
      <c r="Z752" s="144"/>
    </row>
    <row r="753" spans="1:26" ht="24.75">
      <c r="A753" s="144"/>
      <c r="B753" s="141"/>
      <c r="C753" s="142"/>
      <c r="D753" s="154"/>
      <c r="E753" s="143"/>
      <c r="F753" s="144"/>
      <c r="G753" s="153"/>
      <c r="H753" s="153"/>
      <c r="I753" s="144"/>
      <c r="J753" s="144"/>
      <c r="K753" s="144"/>
      <c r="L753" s="144"/>
      <c r="M753" s="144"/>
      <c r="N753" s="144"/>
      <c r="O753" s="144"/>
      <c r="P753" s="144"/>
      <c r="Q753" s="144"/>
      <c r="R753" s="144"/>
      <c r="S753" s="144"/>
      <c r="T753" s="144"/>
      <c r="U753" s="144"/>
      <c r="V753" s="144"/>
      <c r="W753" s="144"/>
      <c r="X753" s="144"/>
      <c r="Y753" s="144"/>
      <c r="Z753" s="144"/>
    </row>
    <row r="754" spans="1:26" ht="24.75">
      <c r="A754" s="144"/>
      <c r="B754" s="141"/>
      <c r="C754" s="142"/>
      <c r="D754" s="154"/>
      <c r="E754" s="143"/>
      <c r="F754" s="144"/>
      <c r="G754" s="151"/>
      <c r="H754" s="151"/>
      <c r="I754" s="144"/>
      <c r="J754" s="144"/>
      <c r="K754" s="144"/>
      <c r="L754" s="144"/>
      <c r="M754" s="144"/>
      <c r="N754" s="144"/>
      <c r="O754" s="144"/>
      <c r="P754" s="144"/>
      <c r="Q754" s="144"/>
      <c r="R754" s="144"/>
      <c r="S754" s="144"/>
      <c r="T754" s="144"/>
      <c r="U754" s="144"/>
      <c r="V754" s="144"/>
      <c r="W754" s="144"/>
      <c r="X754" s="144"/>
      <c r="Y754" s="144"/>
      <c r="Z754" s="144"/>
    </row>
    <row r="755" spans="1:26" ht="24.75">
      <c r="A755" s="144"/>
      <c r="B755" s="141"/>
      <c r="C755" s="142"/>
      <c r="D755" s="154"/>
      <c r="E755" s="143"/>
      <c r="F755" s="144"/>
      <c r="G755" s="153"/>
      <c r="H755" s="153"/>
      <c r="I755" s="144"/>
      <c r="J755" s="144"/>
      <c r="K755" s="144"/>
      <c r="L755" s="144"/>
      <c r="M755" s="144"/>
      <c r="N755" s="144"/>
      <c r="O755" s="144"/>
      <c r="P755" s="144"/>
      <c r="Q755" s="144"/>
      <c r="R755" s="144"/>
      <c r="S755" s="144"/>
      <c r="T755" s="144"/>
      <c r="U755" s="144"/>
      <c r="V755" s="144"/>
      <c r="W755" s="144"/>
      <c r="X755" s="144"/>
      <c r="Y755" s="144"/>
      <c r="Z755" s="144"/>
    </row>
    <row r="756" spans="1:26" ht="24.75">
      <c r="A756" s="144"/>
      <c r="B756" s="141"/>
      <c r="C756" s="142"/>
      <c r="D756" s="154"/>
      <c r="E756" s="143"/>
      <c r="F756" s="144"/>
      <c r="G756" s="151"/>
      <c r="H756" s="151"/>
      <c r="I756" s="144"/>
      <c r="J756" s="144"/>
      <c r="K756" s="144"/>
      <c r="L756" s="144"/>
      <c r="M756" s="144"/>
      <c r="N756" s="144"/>
      <c r="O756" s="144"/>
      <c r="P756" s="144"/>
      <c r="Q756" s="144"/>
      <c r="R756" s="144"/>
      <c r="S756" s="144"/>
      <c r="T756" s="144"/>
      <c r="U756" s="144"/>
      <c r="V756" s="144"/>
      <c r="W756" s="144"/>
      <c r="X756" s="144"/>
      <c r="Y756" s="144"/>
      <c r="Z756" s="144"/>
    </row>
    <row r="757" spans="1:26" ht="24.75">
      <c r="A757" s="144"/>
      <c r="B757" s="141"/>
      <c r="C757" s="142"/>
      <c r="D757" s="154"/>
      <c r="E757" s="143"/>
      <c r="F757" s="144"/>
      <c r="G757" s="153"/>
      <c r="H757" s="153"/>
      <c r="I757" s="144"/>
      <c r="J757" s="144"/>
      <c r="K757" s="144"/>
      <c r="L757" s="144"/>
      <c r="M757" s="144"/>
      <c r="N757" s="144"/>
      <c r="O757" s="144"/>
      <c r="P757" s="144"/>
      <c r="Q757" s="144"/>
      <c r="R757" s="144"/>
      <c r="S757" s="144"/>
      <c r="T757" s="144"/>
      <c r="U757" s="144"/>
      <c r="V757" s="144"/>
      <c r="W757" s="144"/>
      <c r="X757" s="144"/>
      <c r="Y757" s="144"/>
      <c r="Z757" s="144"/>
    </row>
    <row r="758" spans="1:26" ht="24.75">
      <c r="A758" s="144"/>
      <c r="B758" s="141"/>
      <c r="C758" s="142"/>
      <c r="D758" s="154"/>
      <c r="E758" s="143"/>
      <c r="F758" s="144"/>
      <c r="G758" s="151"/>
      <c r="H758" s="151"/>
      <c r="I758" s="144"/>
      <c r="J758" s="144"/>
      <c r="K758" s="144"/>
      <c r="L758" s="144"/>
      <c r="M758" s="144"/>
      <c r="N758" s="144"/>
      <c r="O758" s="144"/>
      <c r="P758" s="144"/>
      <c r="Q758" s="144"/>
      <c r="R758" s="144"/>
      <c r="S758" s="144"/>
      <c r="T758" s="144"/>
      <c r="U758" s="144"/>
      <c r="V758" s="144"/>
      <c r="W758" s="144"/>
      <c r="X758" s="144"/>
      <c r="Y758" s="144"/>
      <c r="Z758" s="144"/>
    </row>
    <row r="759" spans="1:26" ht="24.75">
      <c r="A759" s="144"/>
      <c r="B759" s="141"/>
      <c r="C759" s="142"/>
      <c r="D759" s="154"/>
      <c r="E759" s="143"/>
      <c r="F759" s="144"/>
      <c r="G759" s="153"/>
      <c r="H759" s="153"/>
      <c r="I759" s="144"/>
      <c r="J759" s="144"/>
      <c r="K759" s="144"/>
      <c r="L759" s="144"/>
      <c r="M759" s="144"/>
      <c r="N759" s="144"/>
      <c r="O759" s="144"/>
      <c r="P759" s="144"/>
      <c r="Q759" s="144"/>
      <c r="R759" s="144"/>
      <c r="S759" s="144"/>
      <c r="T759" s="144"/>
      <c r="U759" s="144"/>
      <c r="V759" s="144"/>
      <c r="W759" s="144"/>
      <c r="X759" s="144"/>
      <c r="Y759" s="144"/>
      <c r="Z759" s="144"/>
    </row>
    <row r="760" spans="1:26" ht="24.75">
      <c r="A760" s="144"/>
      <c r="B760" s="141"/>
      <c r="C760" s="142"/>
      <c r="D760" s="154"/>
      <c r="E760" s="143"/>
      <c r="F760" s="144"/>
      <c r="G760" s="151"/>
      <c r="H760" s="151"/>
      <c r="I760" s="144"/>
      <c r="J760" s="144"/>
      <c r="K760" s="144"/>
      <c r="L760" s="144"/>
      <c r="M760" s="144"/>
      <c r="N760" s="144"/>
      <c r="O760" s="144"/>
      <c r="P760" s="144"/>
      <c r="Q760" s="144"/>
      <c r="R760" s="144"/>
      <c r="S760" s="144"/>
      <c r="T760" s="144"/>
      <c r="U760" s="144"/>
      <c r="V760" s="144"/>
      <c r="W760" s="144"/>
      <c r="X760" s="144"/>
      <c r="Y760" s="144"/>
      <c r="Z760" s="144"/>
    </row>
    <row r="761" spans="1:26" ht="24.75">
      <c r="A761" s="144"/>
      <c r="B761" s="141"/>
      <c r="C761" s="142"/>
      <c r="D761" s="154"/>
      <c r="E761" s="143"/>
      <c r="F761" s="144"/>
      <c r="G761" s="153"/>
      <c r="H761" s="153"/>
      <c r="I761" s="144"/>
      <c r="J761" s="144"/>
      <c r="K761" s="144"/>
      <c r="L761" s="144"/>
      <c r="M761" s="144"/>
      <c r="N761" s="144"/>
      <c r="O761" s="144"/>
      <c r="P761" s="144"/>
      <c r="Q761" s="144"/>
      <c r="R761" s="144"/>
      <c r="S761" s="144"/>
      <c r="T761" s="144"/>
      <c r="U761" s="144"/>
      <c r="V761" s="144"/>
      <c r="W761" s="144"/>
      <c r="X761" s="144"/>
      <c r="Y761" s="144"/>
      <c r="Z761" s="144"/>
    </row>
    <row r="762" spans="1:26" ht="24.75">
      <c r="A762" s="144"/>
      <c r="B762" s="141"/>
      <c r="C762" s="142"/>
      <c r="D762" s="154"/>
      <c r="E762" s="143"/>
      <c r="F762" s="144"/>
      <c r="G762" s="151"/>
      <c r="H762" s="151"/>
      <c r="I762" s="144"/>
      <c r="J762" s="144"/>
      <c r="K762" s="144"/>
      <c r="L762" s="144"/>
      <c r="M762" s="144"/>
      <c r="N762" s="144"/>
      <c r="O762" s="144"/>
      <c r="P762" s="144"/>
      <c r="Q762" s="144"/>
      <c r="R762" s="144"/>
      <c r="S762" s="144"/>
      <c r="T762" s="144"/>
      <c r="U762" s="144"/>
      <c r="V762" s="144"/>
      <c r="W762" s="144"/>
      <c r="X762" s="144"/>
      <c r="Y762" s="144"/>
      <c r="Z762" s="144"/>
    </row>
    <row r="763" spans="1:26" ht="24.75">
      <c r="A763" s="144"/>
      <c r="B763" s="141"/>
      <c r="C763" s="142"/>
      <c r="D763" s="154"/>
      <c r="E763" s="143"/>
      <c r="F763" s="144"/>
      <c r="G763" s="153"/>
      <c r="H763" s="153"/>
      <c r="I763" s="144"/>
      <c r="J763" s="144"/>
      <c r="K763" s="144"/>
      <c r="L763" s="144"/>
      <c r="M763" s="144"/>
      <c r="N763" s="144"/>
      <c r="O763" s="144"/>
      <c r="P763" s="144"/>
      <c r="Q763" s="144"/>
      <c r="R763" s="144"/>
      <c r="S763" s="144"/>
      <c r="T763" s="144"/>
      <c r="U763" s="144"/>
      <c r="V763" s="144"/>
      <c r="W763" s="144"/>
      <c r="X763" s="144"/>
      <c r="Y763" s="144"/>
      <c r="Z763" s="144"/>
    </row>
    <row r="764" spans="1:26" ht="24.75">
      <c r="A764" s="144"/>
      <c r="B764" s="141"/>
      <c r="C764" s="142"/>
      <c r="D764" s="154"/>
      <c r="E764" s="143"/>
      <c r="F764" s="144"/>
      <c r="G764" s="151"/>
      <c r="H764" s="151"/>
      <c r="I764" s="144"/>
      <c r="J764" s="144"/>
      <c r="K764" s="144"/>
      <c r="L764" s="144"/>
      <c r="M764" s="144"/>
      <c r="N764" s="144"/>
      <c r="O764" s="144"/>
      <c r="P764" s="144"/>
      <c r="Q764" s="144"/>
      <c r="R764" s="144"/>
      <c r="S764" s="144"/>
      <c r="T764" s="144"/>
      <c r="U764" s="144"/>
      <c r="V764" s="144"/>
      <c r="W764" s="144"/>
      <c r="X764" s="144"/>
      <c r="Y764" s="144"/>
      <c r="Z764" s="144"/>
    </row>
    <row r="765" spans="1:26" ht="24.75">
      <c r="A765" s="144"/>
      <c r="B765" s="141"/>
      <c r="C765" s="142"/>
      <c r="D765" s="154"/>
      <c r="E765" s="143"/>
      <c r="F765" s="144"/>
      <c r="G765" s="153"/>
      <c r="H765" s="153"/>
      <c r="I765" s="144"/>
      <c r="J765" s="144"/>
      <c r="K765" s="144"/>
      <c r="L765" s="144"/>
      <c r="M765" s="144"/>
      <c r="N765" s="144"/>
      <c r="O765" s="144"/>
      <c r="P765" s="144"/>
      <c r="Q765" s="144"/>
      <c r="R765" s="144"/>
      <c r="S765" s="144"/>
      <c r="T765" s="144"/>
      <c r="U765" s="144"/>
      <c r="V765" s="144"/>
      <c r="W765" s="144"/>
      <c r="X765" s="144"/>
      <c r="Y765" s="144"/>
      <c r="Z765" s="144"/>
    </row>
    <row r="766" spans="1:26" ht="24.75">
      <c r="A766" s="144"/>
      <c r="B766" s="141"/>
      <c r="C766" s="142"/>
      <c r="D766" s="154"/>
      <c r="E766" s="143"/>
      <c r="F766" s="144"/>
      <c r="G766" s="151"/>
      <c r="H766" s="151"/>
      <c r="I766" s="144"/>
      <c r="J766" s="144"/>
      <c r="K766" s="144"/>
      <c r="L766" s="144"/>
      <c r="M766" s="144"/>
      <c r="N766" s="144"/>
      <c r="O766" s="144"/>
      <c r="P766" s="144"/>
      <c r="Q766" s="144"/>
      <c r="R766" s="144"/>
      <c r="S766" s="144"/>
      <c r="T766" s="144"/>
      <c r="U766" s="144"/>
      <c r="V766" s="144"/>
      <c r="W766" s="144"/>
      <c r="X766" s="144"/>
      <c r="Y766" s="144"/>
      <c r="Z766" s="144"/>
    </row>
    <row r="767" spans="1:26" ht="24.75">
      <c r="A767" s="144"/>
      <c r="B767" s="141"/>
      <c r="C767" s="142"/>
      <c r="D767" s="154"/>
      <c r="E767" s="143"/>
      <c r="F767" s="144"/>
      <c r="G767" s="153"/>
      <c r="H767" s="153"/>
      <c r="I767" s="144"/>
      <c r="J767" s="144"/>
      <c r="K767" s="144"/>
      <c r="L767" s="144"/>
      <c r="M767" s="144"/>
      <c r="N767" s="144"/>
      <c r="O767" s="144"/>
      <c r="P767" s="144"/>
      <c r="Q767" s="144"/>
      <c r="R767" s="144"/>
      <c r="S767" s="144"/>
      <c r="T767" s="144"/>
      <c r="U767" s="144"/>
      <c r="V767" s="144"/>
      <c r="W767" s="144"/>
      <c r="X767" s="144"/>
      <c r="Y767" s="144"/>
      <c r="Z767" s="144"/>
    </row>
    <row r="768" spans="1:26" ht="24.75">
      <c r="A768" s="144"/>
      <c r="B768" s="141"/>
      <c r="C768" s="142"/>
      <c r="D768" s="154"/>
      <c r="E768" s="143"/>
      <c r="F768" s="144"/>
      <c r="G768" s="151"/>
      <c r="H768" s="151"/>
      <c r="I768" s="144"/>
      <c r="J768" s="144"/>
      <c r="K768" s="144"/>
      <c r="L768" s="144"/>
      <c r="M768" s="144"/>
      <c r="N768" s="144"/>
      <c r="O768" s="144"/>
      <c r="P768" s="144"/>
      <c r="Q768" s="144"/>
      <c r="R768" s="144"/>
      <c r="S768" s="144"/>
      <c r="T768" s="144"/>
      <c r="U768" s="144"/>
      <c r="V768" s="144"/>
      <c r="W768" s="144"/>
      <c r="X768" s="144"/>
      <c r="Y768" s="144"/>
      <c r="Z768" s="144"/>
    </row>
    <row r="769" spans="1:26" ht="24.75">
      <c r="A769" s="144"/>
      <c r="B769" s="141"/>
      <c r="C769" s="142"/>
      <c r="D769" s="154"/>
      <c r="E769" s="143"/>
      <c r="F769" s="144"/>
      <c r="G769" s="153"/>
      <c r="H769" s="153"/>
      <c r="I769" s="144"/>
      <c r="J769" s="144"/>
      <c r="K769" s="144"/>
      <c r="L769" s="144"/>
      <c r="M769" s="144"/>
      <c r="N769" s="144"/>
      <c r="O769" s="144"/>
      <c r="P769" s="144"/>
      <c r="Q769" s="144"/>
      <c r="R769" s="144"/>
      <c r="S769" s="144"/>
      <c r="T769" s="144"/>
      <c r="U769" s="144"/>
      <c r="V769" s="144"/>
      <c r="W769" s="144"/>
      <c r="X769" s="144"/>
      <c r="Y769" s="144"/>
      <c r="Z769" s="144"/>
    </row>
    <row r="770" spans="1:26" ht="24.75">
      <c r="A770" s="144"/>
      <c r="B770" s="141"/>
      <c r="C770" s="142"/>
      <c r="D770" s="154"/>
      <c r="E770" s="143"/>
      <c r="F770" s="144"/>
      <c r="G770" s="151"/>
      <c r="H770" s="151"/>
      <c r="I770" s="144"/>
      <c r="J770" s="144"/>
      <c r="K770" s="144"/>
      <c r="L770" s="144"/>
      <c r="M770" s="144"/>
      <c r="N770" s="144"/>
      <c r="O770" s="144"/>
      <c r="P770" s="144"/>
      <c r="Q770" s="144"/>
      <c r="R770" s="144"/>
      <c r="S770" s="144"/>
      <c r="T770" s="144"/>
      <c r="U770" s="144"/>
      <c r="V770" s="144"/>
      <c r="W770" s="144"/>
      <c r="X770" s="144"/>
      <c r="Y770" s="144"/>
      <c r="Z770" s="144"/>
    </row>
    <row r="771" spans="1:26" ht="24.75">
      <c r="A771" s="144"/>
      <c r="B771" s="141"/>
      <c r="C771" s="142"/>
      <c r="D771" s="154"/>
      <c r="E771" s="143"/>
      <c r="F771" s="144"/>
      <c r="G771" s="153"/>
      <c r="H771" s="153"/>
      <c r="I771" s="144"/>
      <c r="J771" s="144"/>
      <c r="K771" s="144"/>
      <c r="L771" s="144"/>
      <c r="M771" s="144"/>
      <c r="N771" s="144"/>
      <c r="O771" s="144"/>
      <c r="P771" s="144"/>
      <c r="Q771" s="144"/>
      <c r="R771" s="144"/>
      <c r="S771" s="144"/>
      <c r="T771" s="144"/>
      <c r="U771" s="144"/>
      <c r="V771" s="144"/>
      <c r="W771" s="144"/>
      <c r="X771" s="144"/>
      <c r="Y771" s="144"/>
      <c r="Z771" s="144"/>
    </row>
    <row r="772" spans="1:26" ht="24.75">
      <c r="A772" s="144"/>
      <c r="B772" s="141"/>
      <c r="C772" s="142"/>
      <c r="D772" s="154"/>
      <c r="E772" s="143"/>
      <c r="F772" s="144"/>
      <c r="G772" s="151"/>
      <c r="H772" s="151"/>
      <c r="I772" s="144"/>
      <c r="J772" s="144"/>
      <c r="K772" s="144"/>
      <c r="L772" s="144"/>
      <c r="M772" s="144"/>
      <c r="N772" s="144"/>
      <c r="O772" s="144"/>
      <c r="P772" s="144"/>
      <c r="Q772" s="144"/>
      <c r="R772" s="144"/>
      <c r="S772" s="144"/>
      <c r="T772" s="144"/>
      <c r="U772" s="144"/>
      <c r="V772" s="144"/>
      <c r="W772" s="144"/>
      <c r="X772" s="144"/>
      <c r="Y772" s="144"/>
      <c r="Z772" s="144"/>
    </row>
    <row r="773" spans="1:26" ht="24.75">
      <c r="A773" s="144"/>
      <c r="B773" s="141"/>
      <c r="C773" s="142"/>
      <c r="D773" s="154"/>
      <c r="E773" s="143"/>
      <c r="F773" s="144"/>
      <c r="G773" s="153"/>
      <c r="H773" s="153"/>
      <c r="I773" s="144"/>
      <c r="J773" s="144"/>
      <c r="K773" s="144"/>
      <c r="L773" s="144"/>
      <c r="M773" s="144"/>
      <c r="N773" s="144"/>
      <c r="O773" s="144"/>
      <c r="P773" s="144"/>
      <c r="Q773" s="144"/>
      <c r="R773" s="144"/>
      <c r="S773" s="144"/>
      <c r="T773" s="144"/>
      <c r="U773" s="144"/>
      <c r="V773" s="144"/>
      <c r="W773" s="144"/>
      <c r="X773" s="144"/>
      <c r="Y773" s="144"/>
      <c r="Z773" s="144"/>
    </row>
    <row r="774" spans="1:26" ht="24.75">
      <c r="A774" s="144"/>
      <c r="B774" s="141"/>
      <c r="C774" s="142"/>
      <c r="D774" s="154"/>
      <c r="E774" s="143"/>
      <c r="F774" s="144"/>
      <c r="G774" s="151"/>
      <c r="H774" s="151"/>
      <c r="I774" s="144"/>
      <c r="J774" s="144"/>
      <c r="K774" s="144"/>
      <c r="L774" s="144"/>
      <c r="M774" s="144"/>
      <c r="N774" s="144"/>
      <c r="O774" s="144"/>
      <c r="P774" s="144"/>
      <c r="Q774" s="144"/>
      <c r="R774" s="144"/>
      <c r="S774" s="144"/>
      <c r="T774" s="144"/>
      <c r="U774" s="144"/>
      <c r="V774" s="144"/>
      <c r="W774" s="144"/>
      <c r="X774" s="144"/>
      <c r="Y774" s="144"/>
      <c r="Z774" s="144"/>
    </row>
    <row r="775" spans="1:26" ht="24.75">
      <c r="A775" s="144"/>
      <c r="B775" s="141"/>
      <c r="C775" s="142"/>
      <c r="D775" s="154"/>
      <c r="E775" s="143"/>
      <c r="F775" s="144"/>
      <c r="G775" s="153"/>
      <c r="H775" s="153"/>
      <c r="I775" s="144"/>
      <c r="J775" s="144"/>
      <c r="K775" s="144"/>
      <c r="L775" s="144"/>
      <c r="M775" s="144"/>
      <c r="N775" s="144"/>
      <c r="O775" s="144"/>
      <c r="P775" s="144"/>
      <c r="Q775" s="144"/>
      <c r="R775" s="144"/>
      <c r="S775" s="144"/>
      <c r="T775" s="144"/>
      <c r="U775" s="144"/>
      <c r="V775" s="144"/>
      <c r="W775" s="144"/>
      <c r="X775" s="144"/>
      <c r="Y775" s="144"/>
      <c r="Z775" s="144"/>
    </row>
    <row r="776" spans="1:26" ht="24.75">
      <c r="A776" s="144"/>
      <c r="B776" s="141"/>
      <c r="C776" s="142"/>
      <c r="D776" s="154"/>
      <c r="E776" s="143"/>
      <c r="F776" s="144"/>
      <c r="G776" s="151"/>
      <c r="H776" s="151"/>
      <c r="I776" s="144"/>
      <c r="J776" s="144"/>
      <c r="K776" s="144"/>
      <c r="L776" s="144"/>
      <c r="M776" s="144"/>
      <c r="N776" s="144"/>
      <c r="O776" s="144"/>
      <c r="P776" s="144"/>
      <c r="Q776" s="144"/>
      <c r="R776" s="144"/>
      <c r="S776" s="144"/>
      <c r="T776" s="144"/>
      <c r="U776" s="144"/>
      <c r="V776" s="144"/>
      <c r="W776" s="144"/>
      <c r="X776" s="144"/>
      <c r="Y776" s="144"/>
      <c r="Z776" s="144"/>
    </row>
    <row r="777" spans="1:26" ht="24.75">
      <c r="A777" s="144"/>
      <c r="B777" s="141"/>
      <c r="C777" s="142"/>
      <c r="D777" s="154"/>
      <c r="E777" s="143"/>
      <c r="F777" s="144"/>
      <c r="G777" s="153"/>
      <c r="H777" s="153"/>
      <c r="I777" s="144"/>
      <c r="J777" s="144"/>
      <c r="K777" s="144"/>
      <c r="L777" s="144"/>
      <c r="M777" s="144"/>
      <c r="N777" s="144"/>
      <c r="O777" s="144"/>
      <c r="P777" s="144"/>
      <c r="Q777" s="144"/>
      <c r="R777" s="144"/>
      <c r="S777" s="144"/>
      <c r="T777" s="144"/>
      <c r="U777" s="144"/>
      <c r="V777" s="144"/>
      <c r="W777" s="144"/>
      <c r="X777" s="144"/>
      <c r="Y777" s="144"/>
      <c r="Z777" s="144"/>
    </row>
    <row r="778" spans="1:26" ht="24.75">
      <c r="A778" s="144"/>
      <c r="B778" s="141"/>
      <c r="C778" s="142"/>
      <c r="D778" s="154"/>
      <c r="E778" s="143"/>
      <c r="F778" s="144"/>
      <c r="G778" s="151"/>
      <c r="H778" s="151"/>
      <c r="I778" s="144"/>
      <c r="J778" s="144"/>
      <c r="K778" s="144"/>
      <c r="L778" s="144"/>
      <c r="M778" s="144"/>
      <c r="N778" s="144"/>
      <c r="O778" s="144"/>
      <c r="P778" s="144"/>
      <c r="Q778" s="144"/>
      <c r="R778" s="144"/>
      <c r="S778" s="144"/>
      <c r="T778" s="144"/>
      <c r="U778" s="144"/>
      <c r="V778" s="144"/>
      <c r="W778" s="144"/>
      <c r="X778" s="144"/>
      <c r="Y778" s="144"/>
      <c r="Z778" s="144"/>
    </row>
    <row r="779" spans="1:26" ht="24.75">
      <c r="A779" s="144"/>
      <c r="B779" s="141"/>
      <c r="C779" s="142"/>
      <c r="D779" s="154"/>
      <c r="E779" s="143"/>
      <c r="F779" s="144"/>
      <c r="G779" s="153"/>
      <c r="H779" s="153"/>
      <c r="I779" s="144"/>
      <c r="J779" s="144"/>
      <c r="K779" s="144"/>
      <c r="L779" s="144"/>
      <c r="M779" s="144"/>
      <c r="N779" s="144"/>
      <c r="O779" s="144"/>
      <c r="P779" s="144"/>
      <c r="Q779" s="144"/>
      <c r="R779" s="144"/>
      <c r="S779" s="144"/>
      <c r="T779" s="144"/>
      <c r="U779" s="144"/>
      <c r="V779" s="144"/>
      <c r="W779" s="144"/>
      <c r="X779" s="144"/>
      <c r="Y779" s="144"/>
      <c r="Z779" s="144"/>
    </row>
    <row r="780" spans="1:26" ht="24.75">
      <c r="A780" s="144"/>
      <c r="B780" s="141"/>
      <c r="C780" s="142"/>
      <c r="D780" s="154"/>
      <c r="E780" s="143"/>
      <c r="F780" s="144"/>
      <c r="G780" s="151"/>
      <c r="H780" s="151"/>
      <c r="I780" s="144"/>
      <c r="J780" s="144"/>
      <c r="K780" s="144"/>
      <c r="L780" s="144"/>
      <c r="M780" s="144"/>
      <c r="N780" s="144"/>
      <c r="O780" s="144"/>
      <c r="P780" s="144"/>
      <c r="Q780" s="144"/>
      <c r="R780" s="144"/>
      <c r="S780" s="144"/>
      <c r="T780" s="144"/>
      <c r="U780" s="144"/>
      <c r="V780" s="144"/>
      <c r="W780" s="144"/>
      <c r="X780" s="144"/>
      <c r="Y780" s="144"/>
      <c r="Z780" s="144"/>
    </row>
    <row r="781" spans="1:26" ht="24.75">
      <c r="A781" s="144"/>
      <c r="B781" s="141"/>
      <c r="C781" s="142"/>
      <c r="D781" s="154"/>
      <c r="E781" s="143"/>
      <c r="F781" s="144"/>
      <c r="G781" s="153"/>
      <c r="H781" s="153"/>
      <c r="I781" s="144"/>
      <c r="J781" s="144"/>
      <c r="K781" s="144"/>
      <c r="L781" s="144"/>
      <c r="M781" s="144"/>
      <c r="N781" s="144"/>
      <c r="O781" s="144"/>
      <c r="P781" s="144"/>
      <c r="Q781" s="144"/>
      <c r="R781" s="144"/>
      <c r="S781" s="144"/>
      <c r="T781" s="144"/>
      <c r="U781" s="144"/>
      <c r="V781" s="144"/>
      <c r="W781" s="144"/>
      <c r="X781" s="144"/>
      <c r="Y781" s="144"/>
      <c r="Z781" s="144"/>
    </row>
    <row r="782" spans="1:26" ht="24.75">
      <c r="A782" s="144"/>
      <c r="B782" s="141"/>
      <c r="C782" s="142"/>
      <c r="D782" s="154"/>
      <c r="E782" s="143"/>
      <c r="F782" s="144"/>
      <c r="G782" s="151"/>
      <c r="H782" s="151"/>
      <c r="I782" s="144"/>
      <c r="J782" s="144"/>
      <c r="K782" s="144"/>
      <c r="L782" s="144"/>
      <c r="M782" s="144"/>
      <c r="N782" s="144"/>
      <c r="O782" s="144"/>
      <c r="P782" s="144"/>
      <c r="Q782" s="144"/>
      <c r="R782" s="144"/>
      <c r="S782" s="144"/>
      <c r="T782" s="144"/>
      <c r="U782" s="144"/>
      <c r="V782" s="144"/>
      <c r="W782" s="144"/>
      <c r="X782" s="144"/>
      <c r="Y782" s="144"/>
      <c r="Z782" s="144"/>
    </row>
    <row r="783" spans="1:26" ht="24.75">
      <c r="A783" s="144"/>
      <c r="B783" s="141"/>
      <c r="C783" s="142"/>
      <c r="D783" s="154"/>
      <c r="E783" s="143"/>
      <c r="F783" s="144"/>
      <c r="G783" s="153"/>
      <c r="H783" s="153"/>
      <c r="I783" s="144"/>
      <c r="J783" s="144"/>
      <c r="K783" s="144"/>
      <c r="L783" s="144"/>
      <c r="M783" s="144"/>
      <c r="N783" s="144"/>
      <c r="O783" s="144"/>
      <c r="P783" s="144"/>
      <c r="Q783" s="144"/>
      <c r="R783" s="144"/>
      <c r="S783" s="144"/>
      <c r="T783" s="144"/>
      <c r="U783" s="144"/>
      <c r="V783" s="144"/>
      <c r="W783" s="144"/>
      <c r="X783" s="144"/>
      <c r="Y783" s="144"/>
      <c r="Z783" s="144"/>
    </row>
    <row r="784" spans="1:26" ht="24.75">
      <c r="A784" s="144"/>
      <c r="B784" s="141"/>
      <c r="C784" s="142"/>
      <c r="D784" s="154"/>
      <c r="E784" s="143"/>
      <c r="F784" s="144"/>
      <c r="G784" s="151"/>
      <c r="H784" s="151"/>
      <c r="I784" s="144"/>
      <c r="J784" s="144"/>
      <c r="K784" s="144"/>
      <c r="L784" s="144"/>
      <c r="M784" s="144"/>
      <c r="N784" s="144"/>
      <c r="O784" s="144"/>
      <c r="P784" s="144"/>
      <c r="Q784" s="144"/>
      <c r="R784" s="144"/>
      <c r="S784" s="144"/>
      <c r="T784" s="144"/>
      <c r="U784" s="144"/>
      <c r="V784" s="144"/>
      <c r="W784" s="144"/>
      <c r="X784" s="144"/>
      <c r="Y784" s="144"/>
      <c r="Z784" s="144"/>
    </row>
    <row r="785" spans="1:26" ht="24.75">
      <c r="A785" s="144"/>
      <c r="B785" s="141"/>
      <c r="C785" s="142"/>
      <c r="D785" s="154"/>
      <c r="E785" s="143"/>
      <c r="F785" s="144"/>
      <c r="G785" s="153"/>
      <c r="H785" s="153"/>
      <c r="I785" s="144"/>
      <c r="J785" s="144"/>
      <c r="K785" s="144"/>
      <c r="L785" s="144"/>
      <c r="M785" s="144"/>
      <c r="N785" s="144"/>
      <c r="O785" s="144"/>
      <c r="P785" s="144"/>
      <c r="Q785" s="144"/>
      <c r="R785" s="144"/>
      <c r="S785" s="144"/>
      <c r="T785" s="144"/>
      <c r="U785" s="144"/>
      <c r="V785" s="144"/>
      <c r="W785" s="144"/>
      <c r="X785" s="144"/>
      <c r="Y785" s="144"/>
      <c r="Z785" s="144"/>
    </row>
    <row r="786" spans="1:26" ht="24.75">
      <c r="A786" s="144"/>
      <c r="B786" s="141"/>
      <c r="C786" s="142"/>
      <c r="D786" s="154"/>
      <c r="E786" s="143"/>
      <c r="F786" s="144"/>
      <c r="G786" s="151"/>
      <c r="H786" s="151"/>
      <c r="I786" s="144"/>
      <c r="J786" s="144"/>
      <c r="K786" s="144"/>
      <c r="L786" s="144"/>
      <c r="M786" s="144"/>
      <c r="N786" s="144"/>
      <c r="O786" s="144"/>
      <c r="P786" s="144"/>
      <c r="Q786" s="144"/>
      <c r="R786" s="144"/>
      <c r="S786" s="144"/>
      <c r="T786" s="144"/>
      <c r="U786" s="144"/>
      <c r="V786" s="144"/>
      <c r="W786" s="144"/>
      <c r="X786" s="144"/>
      <c r="Y786" s="144"/>
      <c r="Z786" s="144"/>
    </row>
    <row r="787" spans="1:26" ht="24.75">
      <c r="A787" s="144"/>
      <c r="B787" s="141"/>
      <c r="C787" s="142"/>
      <c r="D787" s="154"/>
      <c r="E787" s="143"/>
      <c r="F787" s="144"/>
      <c r="G787" s="153"/>
      <c r="H787" s="153"/>
      <c r="I787" s="144"/>
      <c r="J787" s="144"/>
      <c r="K787" s="144"/>
      <c r="L787" s="144"/>
      <c r="M787" s="144"/>
      <c r="N787" s="144"/>
      <c r="O787" s="144"/>
      <c r="P787" s="144"/>
      <c r="Q787" s="144"/>
      <c r="R787" s="144"/>
      <c r="S787" s="144"/>
      <c r="T787" s="144"/>
      <c r="U787" s="144"/>
      <c r="V787" s="144"/>
      <c r="W787" s="144"/>
      <c r="X787" s="144"/>
      <c r="Y787" s="144"/>
      <c r="Z787" s="144"/>
    </row>
    <row r="788" spans="1:26" ht="24.75">
      <c r="A788" s="144"/>
      <c r="B788" s="141"/>
      <c r="C788" s="142"/>
      <c r="D788" s="154"/>
      <c r="E788" s="143"/>
      <c r="F788" s="144"/>
      <c r="G788" s="151"/>
      <c r="H788" s="151"/>
      <c r="I788" s="144"/>
      <c r="J788" s="144"/>
      <c r="K788" s="144"/>
      <c r="L788" s="144"/>
      <c r="M788" s="144"/>
      <c r="N788" s="144"/>
      <c r="O788" s="144"/>
      <c r="P788" s="144"/>
      <c r="Q788" s="144"/>
      <c r="R788" s="144"/>
      <c r="S788" s="144"/>
      <c r="T788" s="144"/>
      <c r="U788" s="144"/>
      <c r="V788" s="144"/>
      <c r="W788" s="144"/>
      <c r="X788" s="144"/>
      <c r="Y788" s="144"/>
      <c r="Z788" s="144"/>
    </row>
    <row r="789" spans="1:26" ht="24.75">
      <c r="A789" s="144"/>
      <c r="B789" s="141"/>
      <c r="C789" s="142"/>
      <c r="D789" s="154"/>
      <c r="E789" s="143"/>
      <c r="F789" s="144"/>
      <c r="G789" s="153"/>
      <c r="H789" s="153"/>
      <c r="I789" s="144"/>
      <c r="J789" s="144"/>
      <c r="K789" s="144"/>
      <c r="L789" s="144"/>
      <c r="M789" s="144"/>
      <c r="N789" s="144"/>
      <c r="O789" s="144"/>
      <c r="P789" s="144"/>
      <c r="Q789" s="144"/>
      <c r="R789" s="144"/>
      <c r="S789" s="144"/>
      <c r="T789" s="144"/>
      <c r="U789" s="144"/>
      <c r="V789" s="144"/>
      <c r="W789" s="144"/>
      <c r="X789" s="144"/>
      <c r="Y789" s="144"/>
      <c r="Z789" s="144"/>
    </row>
    <row r="790" spans="1:26" ht="24.75">
      <c r="A790" s="144"/>
      <c r="B790" s="141"/>
      <c r="C790" s="142"/>
      <c r="D790" s="154"/>
      <c r="E790" s="143"/>
      <c r="F790" s="144"/>
      <c r="G790" s="151"/>
      <c r="H790" s="151"/>
      <c r="I790" s="144"/>
      <c r="J790" s="144"/>
      <c r="K790" s="144"/>
      <c r="L790" s="144"/>
      <c r="M790" s="144"/>
      <c r="N790" s="144"/>
      <c r="O790" s="144"/>
      <c r="P790" s="144"/>
      <c r="Q790" s="144"/>
      <c r="R790" s="144"/>
      <c r="S790" s="144"/>
      <c r="T790" s="144"/>
      <c r="U790" s="144"/>
      <c r="V790" s="144"/>
      <c r="W790" s="144"/>
      <c r="X790" s="144"/>
      <c r="Y790" s="144"/>
      <c r="Z790" s="144"/>
    </row>
    <row r="791" spans="1:26" ht="24.75">
      <c r="A791" s="144"/>
      <c r="B791" s="141"/>
      <c r="C791" s="142"/>
      <c r="D791" s="154"/>
      <c r="E791" s="143"/>
      <c r="F791" s="144"/>
      <c r="G791" s="153"/>
      <c r="H791" s="153"/>
      <c r="I791" s="144"/>
      <c r="J791" s="144"/>
      <c r="K791" s="144"/>
      <c r="L791" s="144"/>
      <c r="M791" s="144"/>
      <c r="N791" s="144"/>
      <c r="O791" s="144"/>
      <c r="P791" s="144"/>
      <c r="Q791" s="144"/>
      <c r="R791" s="144"/>
      <c r="S791" s="144"/>
      <c r="T791" s="144"/>
      <c r="U791" s="144"/>
      <c r="V791" s="144"/>
      <c r="W791" s="144"/>
      <c r="X791" s="144"/>
      <c r="Y791" s="144"/>
      <c r="Z791" s="144"/>
    </row>
    <row r="792" spans="1:26" ht="24.75">
      <c r="A792" s="144"/>
      <c r="B792" s="141"/>
      <c r="C792" s="142"/>
      <c r="D792" s="154"/>
      <c r="E792" s="143"/>
      <c r="F792" s="144"/>
      <c r="G792" s="151"/>
      <c r="H792" s="151"/>
      <c r="I792" s="144"/>
      <c r="J792" s="144"/>
      <c r="K792" s="144"/>
      <c r="L792" s="144"/>
      <c r="M792" s="144"/>
      <c r="N792" s="144"/>
      <c r="O792" s="144"/>
      <c r="P792" s="144"/>
      <c r="Q792" s="144"/>
      <c r="R792" s="144"/>
      <c r="S792" s="144"/>
      <c r="T792" s="144"/>
      <c r="U792" s="144"/>
      <c r="V792" s="144"/>
      <c r="W792" s="144"/>
      <c r="X792" s="144"/>
      <c r="Y792" s="144"/>
      <c r="Z792" s="144"/>
    </row>
    <row r="793" spans="1:26" ht="24.75">
      <c r="A793" s="144"/>
      <c r="B793" s="141"/>
      <c r="C793" s="142"/>
      <c r="D793" s="154"/>
      <c r="E793" s="143"/>
      <c r="F793" s="144"/>
      <c r="G793" s="153"/>
      <c r="H793" s="153"/>
      <c r="I793" s="144"/>
      <c r="J793" s="144"/>
      <c r="K793" s="144"/>
      <c r="L793" s="144"/>
      <c r="M793" s="144"/>
      <c r="N793" s="144"/>
      <c r="O793" s="144"/>
      <c r="P793" s="144"/>
      <c r="Q793" s="144"/>
      <c r="R793" s="144"/>
      <c r="S793" s="144"/>
      <c r="T793" s="144"/>
      <c r="U793" s="144"/>
      <c r="V793" s="144"/>
      <c r="W793" s="144"/>
      <c r="X793" s="144"/>
      <c r="Y793" s="144"/>
      <c r="Z793" s="144"/>
    </row>
    <row r="794" spans="1:26" ht="24.75">
      <c r="A794" s="144"/>
      <c r="B794" s="141"/>
      <c r="C794" s="142"/>
      <c r="D794" s="154"/>
      <c r="E794" s="143"/>
      <c r="F794" s="144"/>
      <c r="G794" s="151"/>
      <c r="H794" s="151"/>
      <c r="I794" s="144"/>
      <c r="J794" s="144"/>
      <c r="K794" s="144"/>
      <c r="L794" s="144"/>
      <c r="M794" s="144"/>
      <c r="N794" s="144"/>
      <c r="O794" s="144"/>
      <c r="P794" s="144"/>
      <c r="Q794" s="144"/>
      <c r="R794" s="144"/>
      <c r="S794" s="144"/>
      <c r="T794" s="144"/>
      <c r="U794" s="144"/>
      <c r="V794" s="144"/>
      <c r="W794" s="144"/>
      <c r="X794" s="144"/>
      <c r="Y794" s="144"/>
      <c r="Z794" s="144"/>
    </row>
    <row r="795" spans="1:26" ht="24.75">
      <c r="A795" s="144"/>
      <c r="B795" s="141"/>
      <c r="C795" s="142"/>
      <c r="D795" s="154"/>
      <c r="E795" s="143"/>
      <c r="F795" s="144"/>
      <c r="G795" s="153"/>
      <c r="H795" s="153"/>
      <c r="I795" s="144"/>
      <c r="J795" s="144"/>
      <c r="K795" s="144"/>
      <c r="L795" s="144"/>
      <c r="M795" s="144"/>
      <c r="N795" s="144"/>
      <c r="O795" s="144"/>
      <c r="P795" s="144"/>
      <c r="Q795" s="144"/>
      <c r="R795" s="144"/>
      <c r="S795" s="144"/>
      <c r="T795" s="144"/>
      <c r="U795" s="144"/>
      <c r="V795" s="144"/>
      <c r="W795" s="144"/>
      <c r="X795" s="144"/>
      <c r="Y795" s="144"/>
      <c r="Z795" s="144"/>
    </row>
    <row r="796" spans="1:26" ht="24.75">
      <c r="A796" s="144"/>
      <c r="B796" s="141"/>
      <c r="C796" s="142"/>
      <c r="D796" s="154"/>
      <c r="E796" s="143"/>
      <c r="F796" s="144"/>
      <c r="G796" s="151"/>
      <c r="H796" s="151"/>
      <c r="I796" s="144"/>
      <c r="J796" s="144"/>
      <c r="K796" s="144"/>
      <c r="L796" s="144"/>
      <c r="M796" s="144"/>
      <c r="N796" s="144"/>
      <c r="O796" s="144"/>
      <c r="P796" s="144"/>
      <c r="Q796" s="144"/>
      <c r="R796" s="144"/>
      <c r="S796" s="144"/>
      <c r="T796" s="144"/>
      <c r="U796" s="144"/>
      <c r="V796" s="144"/>
      <c r="W796" s="144"/>
      <c r="X796" s="144"/>
      <c r="Y796" s="144"/>
      <c r="Z796" s="144"/>
    </row>
    <row r="797" spans="1:26" ht="24.75">
      <c r="A797" s="144"/>
      <c r="B797" s="141"/>
      <c r="C797" s="142"/>
      <c r="D797" s="154"/>
      <c r="E797" s="143"/>
      <c r="F797" s="144"/>
      <c r="G797" s="153"/>
      <c r="H797" s="153"/>
      <c r="I797" s="144"/>
      <c r="J797" s="144"/>
      <c r="K797" s="144"/>
      <c r="L797" s="144"/>
      <c r="M797" s="144"/>
      <c r="N797" s="144"/>
      <c r="O797" s="144"/>
      <c r="P797" s="144"/>
      <c r="Q797" s="144"/>
      <c r="R797" s="144"/>
      <c r="S797" s="144"/>
      <c r="T797" s="144"/>
      <c r="U797" s="144"/>
      <c r="V797" s="144"/>
      <c r="W797" s="144"/>
      <c r="X797" s="144"/>
      <c r="Y797" s="144"/>
      <c r="Z797" s="144"/>
    </row>
    <row r="798" spans="1:26" ht="24.75">
      <c r="A798" s="144"/>
      <c r="B798" s="141"/>
      <c r="C798" s="142"/>
      <c r="D798" s="154"/>
      <c r="E798" s="143"/>
      <c r="F798" s="144"/>
      <c r="G798" s="151"/>
      <c r="H798" s="151"/>
      <c r="I798" s="144"/>
      <c r="J798" s="144"/>
      <c r="K798" s="144"/>
      <c r="L798" s="144"/>
      <c r="M798" s="144"/>
      <c r="N798" s="144"/>
      <c r="O798" s="144"/>
      <c r="P798" s="144"/>
      <c r="Q798" s="144"/>
      <c r="R798" s="144"/>
      <c r="S798" s="144"/>
      <c r="T798" s="144"/>
      <c r="U798" s="144"/>
      <c r="V798" s="144"/>
      <c r="W798" s="144"/>
      <c r="X798" s="144"/>
      <c r="Y798" s="144"/>
      <c r="Z798" s="144"/>
    </row>
    <row r="799" spans="1:26" ht="24.75">
      <c r="A799" s="144"/>
      <c r="B799" s="141"/>
      <c r="C799" s="142"/>
      <c r="D799" s="154"/>
      <c r="E799" s="143"/>
      <c r="F799" s="144"/>
      <c r="G799" s="153"/>
      <c r="H799" s="153"/>
      <c r="I799" s="144"/>
      <c r="J799" s="144"/>
      <c r="K799" s="144"/>
      <c r="L799" s="144"/>
      <c r="M799" s="144"/>
      <c r="N799" s="144"/>
      <c r="O799" s="144"/>
      <c r="P799" s="144"/>
      <c r="Q799" s="144"/>
      <c r="R799" s="144"/>
      <c r="S799" s="144"/>
      <c r="T799" s="144"/>
      <c r="U799" s="144"/>
      <c r="V799" s="144"/>
      <c r="W799" s="144"/>
      <c r="X799" s="144"/>
      <c r="Y799" s="144"/>
      <c r="Z799" s="144"/>
    </row>
    <row r="800" spans="1:26" ht="24.75">
      <c r="A800" s="144"/>
      <c r="B800" s="141"/>
      <c r="C800" s="142"/>
      <c r="D800" s="154"/>
      <c r="E800" s="143"/>
      <c r="F800" s="144"/>
      <c r="G800" s="151"/>
      <c r="H800" s="151"/>
      <c r="I800" s="144"/>
      <c r="J800" s="144"/>
      <c r="K800" s="144"/>
      <c r="L800" s="144"/>
      <c r="M800" s="144"/>
      <c r="N800" s="144"/>
      <c r="O800" s="144"/>
      <c r="P800" s="144"/>
      <c r="Q800" s="144"/>
      <c r="R800" s="144"/>
      <c r="S800" s="144"/>
      <c r="T800" s="144"/>
      <c r="U800" s="144"/>
      <c r="V800" s="144"/>
      <c r="W800" s="144"/>
      <c r="X800" s="144"/>
      <c r="Y800" s="144"/>
      <c r="Z800" s="144"/>
    </row>
    <row r="801" spans="1:26" ht="24.75">
      <c r="A801" s="144"/>
      <c r="B801" s="141"/>
      <c r="C801" s="142"/>
      <c r="D801" s="154"/>
      <c r="E801" s="143"/>
      <c r="F801" s="144"/>
      <c r="G801" s="153"/>
      <c r="H801" s="153"/>
      <c r="I801" s="144"/>
      <c r="J801" s="144"/>
      <c r="K801" s="144"/>
      <c r="L801" s="144"/>
      <c r="M801" s="144"/>
      <c r="N801" s="144"/>
      <c r="O801" s="144"/>
      <c r="P801" s="144"/>
      <c r="Q801" s="144"/>
      <c r="R801" s="144"/>
      <c r="S801" s="144"/>
      <c r="T801" s="144"/>
      <c r="U801" s="144"/>
      <c r="V801" s="144"/>
      <c r="W801" s="144"/>
      <c r="X801" s="144"/>
      <c r="Y801" s="144"/>
      <c r="Z801" s="144"/>
    </row>
    <row r="802" spans="1:26" ht="24.75">
      <c r="A802" s="144"/>
      <c r="B802" s="141"/>
      <c r="C802" s="142"/>
      <c r="D802" s="154"/>
      <c r="E802" s="143"/>
      <c r="F802" s="144"/>
      <c r="G802" s="151"/>
      <c r="H802" s="151"/>
      <c r="I802" s="144"/>
      <c r="J802" s="144"/>
      <c r="K802" s="144"/>
      <c r="L802" s="144"/>
      <c r="M802" s="144"/>
      <c r="N802" s="144"/>
      <c r="O802" s="144"/>
      <c r="P802" s="144"/>
      <c r="Q802" s="144"/>
      <c r="R802" s="144"/>
      <c r="S802" s="144"/>
      <c r="T802" s="144"/>
      <c r="U802" s="144"/>
      <c r="V802" s="144"/>
      <c r="W802" s="144"/>
      <c r="X802" s="144"/>
      <c r="Y802" s="144"/>
      <c r="Z802" s="144"/>
    </row>
    <row r="803" spans="1:26" ht="24.75">
      <c r="A803" s="144"/>
      <c r="B803" s="141"/>
      <c r="C803" s="142"/>
      <c r="D803" s="154"/>
      <c r="E803" s="143"/>
      <c r="F803" s="144"/>
      <c r="G803" s="153"/>
      <c r="H803" s="153"/>
      <c r="I803" s="144"/>
      <c r="J803" s="144"/>
      <c r="K803" s="144"/>
      <c r="L803" s="144"/>
      <c r="M803" s="144"/>
      <c r="N803" s="144"/>
      <c r="O803" s="144"/>
      <c r="P803" s="144"/>
      <c r="Q803" s="144"/>
      <c r="R803" s="144"/>
      <c r="S803" s="144"/>
      <c r="T803" s="144"/>
      <c r="U803" s="144"/>
      <c r="V803" s="144"/>
      <c r="W803" s="144"/>
      <c r="X803" s="144"/>
      <c r="Y803" s="144"/>
      <c r="Z803" s="144"/>
    </row>
    <row r="804" spans="1:26" ht="24.75">
      <c r="A804" s="144"/>
      <c r="B804" s="141"/>
      <c r="C804" s="142"/>
      <c r="D804" s="154"/>
      <c r="E804" s="143"/>
      <c r="F804" s="144"/>
      <c r="G804" s="151"/>
      <c r="H804" s="151"/>
      <c r="I804" s="144"/>
      <c r="J804" s="144"/>
      <c r="K804" s="144"/>
      <c r="L804" s="144"/>
      <c r="M804" s="144"/>
      <c r="N804" s="144"/>
      <c r="O804" s="144"/>
      <c r="P804" s="144"/>
      <c r="Q804" s="144"/>
      <c r="R804" s="144"/>
      <c r="S804" s="144"/>
      <c r="T804" s="144"/>
      <c r="U804" s="144"/>
      <c r="V804" s="144"/>
      <c r="W804" s="144"/>
      <c r="X804" s="144"/>
      <c r="Y804" s="144"/>
      <c r="Z804" s="144"/>
    </row>
    <row r="805" spans="1:26" ht="24.75">
      <c r="A805" s="144"/>
      <c r="B805" s="141"/>
      <c r="C805" s="142"/>
      <c r="D805" s="154"/>
      <c r="E805" s="143"/>
      <c r="F805" s="144"/>
      <c r="G805" s="153"/>
      <c r="H805" s="153"/>
      <c r="I805" s="144"/>
      <c r="J805" s="144"/>
      <c r="K805" s="144"/>
      <c r="L805" s="144"/>
      <c r="M805" s="144"/>
      <c r="N805" s="144"/>
      <c r="O805" s="144"/>
      <c r="P805" s="144"/>
      <c r="Q805" s="144"/>
      <c r="R805" s="144"/>
      <c r="S805" s="144"/>
      <c r="T805" s="144"/>
      <c r="U805" s="144"/>
      <c r="V805" s="144"/>
      <c r="W805" s="144"/>
      <c r="X805" s="144"/>
      <c r="Y805" s="144"/>
      <c r="Z805" s="144"/>
    </row>
    <row r="806" spans="1:26" ht="24.75">
      <c r="A806" s="144"/>
      <c r="B806" s="141"/>
      <c r="C806" s="142"/>
      <c r="D806" s="154"/>
      <c r="E806" s="143"/>
      <c r="F806" s="144"/>
      <c r="G806" s="151"/>
      <c r="H806" s="151"/>
      <c r="I806" s="144"/>
      <c r="J806" s="144"/>
      <c r="K806" s="144"/>
      <c r="L806" s="144"/>
      <c r="M806" s="144"/>
      <c r="N806" s="144"/>
      <c r="O806" s="144"/>
      <c r="P806" s="144"/>
      <c r="Q806" s="144"/>
      <c r="R806" s="144"/>
      <c r="S806" s="144"/>
      <c r="T806" s="144"/>
      <c r="U806" s="144"/>
      <c r="V806" s="144"/>
      <c r="W806" s="144"/>
      <c r="X806" s="144"/>
      <c r="Y806" s="144"/>
      <c r="Z806" s="144"/>
    </row>
    <row r="807" spans="1:26" ht="24.75">
      <c r="A807" s="144"/>
      <c r="B807" s="141"/>
      <c r="C807" s="142"/>
      <c r="D807" s="154"/>
      <c r="E807" s="143"/>
      <c r="F807" s="144"/>
      <c r="G807" s="153"/>
      <c r="H807" s="153"/>
      <c r="I807" s="144"/>
      <c r="J807" s="144"/>
      <c r="K807" s="144"/>
      <c r="L807" s="144"/>
      <c r="M807" s="144"/>
      <c r="N807" s="144"/>
      <c r="O807" s="144"/>
      <c r="P807" s="144"/>
      <c r="Q807" s="144"/>
      <c r="R807" s="144"/>
      <c r="S807" s="144"/>
      <c r="T807" s="144"/>
      <c r="U807" s="144"/>
      <c r="V807" s="144"/>
      <c r="W807" s="144"/>
      <c r="X807" s="144"/>
      <c r="Y807" s="144"/>
      <c r="Z807" s="144"/>
    </row>
    <row r="808" spans="1:26" ht="24.75">
      <c r="A808" s="144"/>
      <c r="B808" s="141"/>
      <c r="C808" s="142"/>
      <c r="D808" s="154"/>
      <c r="E808" s="143"/>
      <c r="F808" s="144"/>
      <c r="G808" s="151"/>
      <c r="H808" s="151"/>
      <c r="I808" s="144"/>
      <c r="J808" s="144"/>
      <c r="K808" s="144"/>
      <c r="L808" s="144"/>
      <c r="M808" s="144"/>
      <c r="N808" s="144"/>
      <c r="O808" s="144"/>
      <c r="P808" s="144"/>
      <c r="Q808" s="144"/>
      <c r="R808" s="144"/>
      <c r="S808" s="144"/>
      <c r="T808" s="144"/>
      <c r="U808" s="144"/>
      <c r="V808" s="144"/>
      <c r="W808" s="144"/>
      <c r="X808" s="144"/>
      <c r="Y808" s="144"/>
      <c r="Z808" s="144"/>
    </row>
    <row r="809" spans="1:26" ht="24.75">
      <c r="A809" s="144"/>
      <c r="B809" s="141"/>
      <c r="C809" s="142"/>
      <c r="D809" s="154"/>
      <c r="E809" s="143"/>
      <c r="F809" s="144"/>
      <c r="G809" s="153"/>
      <c r="H809" s="153"/>
      <c r="I809" s="144"/>
      <c r="J809" s="144"/>
      <c r="K809" s="144"/>
      <c r="L809" s="144"/>
      <c r="M809" s="144"/>
      <c r="N809" s="144"/>
      <c r="O809" s="144"/>
      <c r="P809" s="144"/>
      <c r="Q809" s="144"/>
      <c r="R809" s="144"/>
      <c r="S809" s="144"/>
      <c r="T809" s="144"/>
      <c r="U809" s="144"/>
      <c r="V809" s="144"/>
      <c r="W809" s="144"/>
      <c r="X809" s="144"/>
      <c r="Y809" s="144"/>
      <c r="Z809" s="144"/>
    </row>
    <row r="810" spans="1:26" ht="24.75">
      <c r="A810" s="144"/>
      <c r="B810" s="141"/>
      <c r="C810" s="142"/>
      <c r="D810" s="154"/>
      <c r="E810" s="143"/>
      <c r="F810" s="144"/>
      <c r="G810" s="151"/>
      <c r="H810" s="151"/>
      <c r="I810" s="144"/>
      <c r="J810" s="144"/>
      <c r="K810" s="144"/>
      <c r="L810" s="144"/>
      <c r="M810" s="144"/>
      <c r="N810" s="144"/>
      <c r="O810" s="144"/>
      <c r="P810" s="144"/>
      <c r="Q810" s="144"/>
      <c r="R810" s="144"/>
      <c r="S810" s="144"/>
      <c r="T810" s="144"/>
      <c r="U810" s="144"/>
      <c r="V810" s="144"/>
      <c r="W810" s="144"/>
      <c r="X810" s="144"/>
      <c r="Y810" s="144"/>
      <c r="Z810" s="144"/>
    </row>
    <row r="811" spans="1:26" ht="24.75">
      <c r="A811" s="144"/>
      <c r="B811" s="141"/>
      <c r="C811" s="142"/>
      <c r="D811" s="154"/>
      <c r="E811" s="143"/>
      <c r="F811" s="144"/>
      <c r="G811" s="153"/>
      <c r="H811" s="153"/>
      <c r="I811" s="144"/>
      <c r="J811" s="144"/>
      <c r="K811" s="144"/>
      <c r="L811" s="144"/>
      <c r="M811" s="144"/>
      <c r="N811" s="144"/>
      <c r="O811" s="144"/>
      <c r="P811" s="144"/>
      <c r="Q811" s="144"/>
      <c r="R811" s="144"/>
      <c r="S811" s="144"/>
      <c r="T811" s="144"/>
      <c r="U811" s="144"/>
      <c r="V811" s="144"/>
      <c r="W811" s="144"/>
      <c r="X811" s="144"/>
      <c r="Y811" s="144"/>
      <c r="Z811" s="144"/>
    </row>
    <row r="812" spans="1:26" ht="24.75">
      <c r="A812" s="144"/>
      <c r="B812" s="141"/>
      <c r="C812" s="142"/>
      <c r="D812" s="154"/>
      <c r="E812" s="143"/>
      <c r="F812" s="144"/>
      <c r="G812" s="151"/>
      <c r="H812" s="151"/>
      <c r="I812" s="144"/>
      <c r="J812" s="144"/>
      <c r="K812" s="144"/>
      <c r="L812" s="144"/>
      <c r="M812" s="144"/>
      <c r="N812" s="144"/>
      <c r="O812" s="144"/>
      <c r="P812" s="144"/>
      <c r="Q812" s="144"/>
      <c r="R812" s="144"/>
      <c r="S812" s="144"/>
      <c r="T812" s="144"/>
      <c r="U812" s="144"/>
      <c r="V812" s="144"/>
      <c r="W812" s="144"/>
      <c r="X812" s="144"/>
      <c r="Y812" s="144"/>
      <c r="Z812" s="144"/>
    </row>
    <row r="813" spans="1:26" ht="24.75">
      <c r="A813" s="144"/>
      <c r="B813" s="141"/>
      <c r="C813" s="142"/>
      <c r="D813" s="154"/>
      <c r="E813" s="143"/>
      <c r="F813" s="144"/>
      <c r="G813" s="153"/>
      <c r="H813" s="153"/>
      <c r="I813" s="144"/>
      <c r="J813" s="144"/>
      <c r="K813" s="144"/>
      <c r="L813" s="144"/>
      <c r="M813" s="144"/>
      <c r="N813" s="144"/>
      <c r="O813" s="144"/>
      <c r="P813" s="144"/>
      <c r="Q813" s="144"/>
      <c r="R813" s="144"/>
      <c r="S813" s="144"/>
      <c r="T813" s="144"/>
      <c r="U813" s="144"/>
      <c r="V813" s="144"/>
      <c r="W813" s="144"/>
      <c r="X813" s="144"/>
      <c r="Y813" s="144"/>
      <c r="Z813" s="144"/>
    </row>
    <row r="814" spans="1:26" ht="24.75">
      <c r="A814" s="144"/>
      <c r="B814" s="141"/>
      <c r="C814" s="142"/>
      <c r="D814" s="154"/>
      <c r="E814" s="143"/>
      <c r="F814" s="144"/>
      <c r="G814" s="151"/>
      <c r="H814" s="151"/>
      <c r="I814" s="144"/>
      <c r="J814" s="144"/>
      <c r="K814" s="144"/>
      <c r="L814" s="144"/>
      <c r="M814" s="144"/>
      <c r="N814" s="144"/>
      <c r="O814" s="144"/>
      <c r="P814" s="144"/>
      <c r="Q814" s="144"/>
      <c r="R814" s="144"/>
      <c r="S814" s="144"/>
      <c r="T814" s="144"/>
      <c r="U814" s="144"/>
      <c r="V814" s="144"/>
      <c r="W814" s="144"/>
      <c r="X814" s="144"/>
      <c r="Y814" s="144"/>
      <c r="Z814" s="144"/>
    </row>
    <row r="815" spans="1:26" ht="24.75">
      <c r="A815" s="144"/>
      <c r="B815" s="141"/>
      <c r="C815" s="142"/>
      <c r="D815" s="154"/>
      <c r="E815" s="143"/>
      <c r="F815" s="144"/>
      <c r="G815" s="153"/>
      <c r="H815" s="153"/>
      <c r="I815" s="144"/>
      <c r="J815" s="144"/>
      <c r="K815" s="144"/>
      <c r="L815" s="144"/>
      <c r="M815" s="144"/>
      <c r="N815" s="144"/>
      <c r="O815" s="144"/>
      <c r="P815" s="144"/>
      <c r="Q815" s="144"/>
      <c r="R815" s="144"/>
      <c r="S815" s="144"/>
      <c r="T815" s="144"/>
      <c r="U815" s="144"/>
      <c r="V815" s="144"/>
      <c r="W815" s="144"/>
      <c r="X815" s="144"/>
      <c r="Y815" s="144"/>
      <c r="Z815" s="144"/>
    </row>
    <row r="816" spans="1:26" ht="24.75">
      <c r="A816" s="144"/>
      <c r="B816" s="141"/>
      <c r="C816" s="142"/>
      <c r="D816" s="154"/>
      <c r="E816" s="143"/>
      <c r="F816" s="144"/>
      <c r="G816" s="151"/>
      <c r="H816" s="151"/>
      <c r="I816" s="144"/>
      <c r="J816" s="144"/>
      <c r="K816" s="144"/>
      <c r="L816" s="144"/>
      <c r="M816" s="144"/>
      <c r="N816" s="144"/>
      <c r="O816" s="144"/>
      <c r="P816" s="144"/>
      <c r="Q816" s="144"/>
      <c r="R816" s="144"/>
      <c r="S816" s="144"/>
      <c r="T816" s="144"/>
      <c r="U816" s="144"/>
      <c r="V816" s="144"/>
      <c r="W816" s="144"/>
      <c r="X816" s="144"/>
      <c r="Y816" s="144"/>
      <c r="Z816" s="144"/>
    </row>
    <row r="817" spans="1:26" ht="24.75">
      <c r="A817" s="144"/>
      <c r="B817" s="141"/>
      <c r="C817" s="142"/>
      <c r="D817" s="154"/>
      <c r="E817" s="143"/>
      <c r="F817" s="144"/>
      <c r="G817" s="153"/>
      <c r="H817" s="153"/>
      <c r="I817" s="144"/>
      <c r="J817" s="144"/>
      <c r="K817" s="144"/>
      <c r="L817" s="144"/>
      <c r="M817" s="144"/>
      <c r="N817" s="144"/>
      <c r="O817" s="144"/>
      <c r="P817" s="144"/>
      <c r="Q817" s="144"/>
      <c r="R817" s="144"/>
      <c r="S817" s="144"/>
      <c r="T817" s="144"/>
      <c r="U817" s="144"/>
      <c r="V817" s="144"/>
      <c r="W817" s="144"/>
      <c r="X817" s="144"/>
      <c r="Y817" s="144"/>
      <c r="Z817" s="144"/>
    </row>
    <row r="818" spans="1:26" ht="24.75">
      <c r="A818" s="144"/>
      <c r="B818" s="141"/>
      <c r="C818" s="142"/>
      <c r="D818" s="154"/>
      <c r="E818" s="143"/>
      <c r="F818" s="144"/>
      <c r="G818" s="151"/>
      <c r="H818" s="151"/>
      <c r="I818" s="144"/>
      <c r="J818" s="144"/>
      <c r="K818" s="144"/>
      <c r="L818" s="144"/>
      <c r="M818" s="144"/>
      <c r="N818" s="144"/>
      <c r="O818" s="144"/>
      <c r="P818" s="144"/>
      <c r="Q818" s="144"/>
      <c r="R818" s="144"/>
      <c r="S818" s="144"/>
      <c r="T818" s="144"/>
      <c r="U818" s="144"/>
      <c r="V818" s="144"/>
      <c r="W818" s="144"/>
      <c r="X818" s="144"/>
      <c r="Y818" s="144"/>
      <c r="Z818" s="144"/>
    </row>
    <row r="819" spans="1:26" ht="24.75">
      <c r="A819" s="144"/>
      <c r="B819" s="141"/>
      <c r="C819" s="142"/>
      <c r="D819" s="154"/>
      <c r="E819" s="143"/>
      <c r="F819" s="144"/>
      <c r="G819" s="153"/>
      <c r="H819" s="153"/>
      <c r="I819" s="144"/>
      <c r="J819" s="144"/>
      <c r="K819" s="144"/>
      <c r="L819" s="144"/>
      <c r="M819" s="144"/>
      <c r="N819" s="144"/>
      <c r="O819" s="144"/>
      <c r="P819" s="144"/>
      <c r="Q819" s="144"/>
      <c r="R819" s="144"/>
      <c r="S819" s="144"/>
      <c r="T819" s="144"/>
      <c r="U819" s="144"/>
      <c r="V819" s="144"/>
      <c r="W819" s="144"/>
      <c r="X819" s="144"/>
      <c r="Y819" s="144"/>
      <c r="Z819" s="144"/>
    </row>
    <row r="820" spans="1:26" ht="24.75">
      <c r="A820" s="144"/>
      <c r="B820" s="141"/>
      <c r="C820" s="142"/>
      <c r="D820" s="154"/>
      <c r="E820" s="143"/>
      <c r="F820" s="144"/>
      <c r="G820" s="151"/>
      <c r="H820" s="151"/>
      <c r="I820" s="144"/>
      <c r="J820" s="144"/>
      <c r="K820" s="144"/>
      <c r="L820" s="144"/>
      <c r="M820" s="144"/>
      <c r="N820" s="144"/>
      <c r="O820" s="144"/>
      <c r="P820" s="144"/>
      <c r="Q820" s="144"/>
      <c r="R820" s="144"/>
      <c r="S820" s="144"/>
      <c r="T820" s="144"/>
      <c r="U820" s="144"/>
      <c r="V820" s="144"/>
      <c r="W820" s="144"/>
      <c r="X820" s="144"/>
      <c r="Y820" s="144"/>
      <c r="Z820" s="144"/>
    </row>
    <row r="821" spans="1:26" ht="24.75">
      <c r="A821" s="144"/>
      <c r="B821" s="141"/>
      <c r="C821" s="142"/>
      <c r="D821" s="154"/>
      <c r="E821" s="143"/>
      <c r="F821" s="144"/>
      <c r="G821" s="153"/>
      <c r="H821" s="153"/>
      <c r="I821" s="144"/>
      <c r="J821" s="144"/>
      <c r="K821" s="144"/>
      <c r="L821" s="144"/>
      <c r="M821" s="144"/>
      <c r="N821" s="144"/>
      <c r="O821" s="144"/>
      <c r="P821" s="144"/>
      <c r="Q821" s="144"/>
      <c r="R821" s="144"/>
      <c r="S821" s="144"/>
      <c r="T821" s="144"/>
      <c r="U821" s="144"/>
      <c r="V821" s="144"/>
      <c r="W821" s="144"/>
      <c r="X821" s="144"/>
      <c r="Y821" s="144"/>
      <c r="Z821" s="144"/>
    </row>
    <row r="822" spans="1:26" ht="24.75">
      <c r="A822" s="144"/>
      <c r="B822" s="141"/>
      <c r="C822" s="142"/>
      <c r="D822" s="154"/>
      <c r="E822" s="143"/>
      <c r="F822" s="144"/>
      <c r="G822" s="151"/>
      <c r="H822" s="151"/>
      <c r="I822" s="144"/>
      <c r="J822" s="144"/>
      <c r="K822" s="144"/>
      <c r="L822" s="144"/>
      <c r="M822" s="144"/>
      <c r="N822" s="144"/>
      <c r="O822" s="144"/>
      <c r="P822" s="144"/>
      <c r="Q822" s="144"/>
      <c r="R822" s="144"/>
      <c r="S822" s="144"/>
      <c r="T822" s="144"/>
      <c r="U822" s="144"/>
      <c r="V822" s="144"/>
      <c r="W822" s="144"/>
      <c r="X822" s="144"/>
      <c r="Y822" s="144"/>
      <c r="Z822" s="144"/>
    </row>
    <row r="823" spans="1:26" ht="24.75">
      <c r="A823" s="144"/>
      <c r="B823" s="141"/>
      <c r="C823" s="142"/>
      <c r="D823" s="154"/>
      <c r="E823" s="143"/>
      <c r="F823" s="144"/>
      <c r="G823" s="153"/>
      <c r="H823" s="153"/>
      <c r="I823" s="144"/>
      <c r="J823" s="144"/>
      <c r="K823" s="144"/>
      <c r="L823" s="144"/>
      <c r="M823" s="144"/>
      <c r="N823" s="144"/>
      <c r="O823" s="144"/>
      <c r="P823" s="144"/>
      <c r="Q823" s="144"/>
      <c r="R823" s="144"/>
      <c r="S823" s="144"/>
      <c r="T823" s="144"/>
      <c r="U823" s="144"/>
      <c r="V823" s="144"/>
      <c r="W823" s="144"/>
      <c r="X823" s="144"/>
      <c r="Y823" s="144"/>
      <c r="Z823" s="144"/>
    </row>
    <row r="824" spans="1:26" ht="24.75">
      <c r="A824" s="144"/>
      <c r="B824" s="141"/>
      <c r="C824" s="142"/>
      <c r="D824" s="154"/>
      <c r="E824" s="143"/>
      <c r="F824" s="144"/>
      <c r="G824" s="151"/>
      <c r="H824" s="151"/>
      <c r="I824" s="144"/>
      <c r="J824" s="144"/>
      <c r="K824" s="144"/>
      <c r="L824" s="144"/>
      <c r="M824" s="144"/>
      <c r="N824" s="144"/>
      <c r="O824" s="144"/>
      <c r="P824" s="144"/>
      <c r="Q824" s="144"/>
      <c r="R824" s="144"/>
      <c r="S824" s="144"/>
      <c r="T824" s="144"/>
      <c r="U824" s="144"/>
      <c r="V824" s="144"/>
      <c r="W824" s="144"/>
      <c r="X824" s="144"/>
      <c r="Y824" s="144"/>
      <c r="Z824" s="144"/>
    </row>
    <row r="825" spans="1:26" ht="24.75">
      <c r="A825" s="144"/>
      <c r="B825" s="141"/>
      <c r="C825" s="142"/>
      <c r="D825" s="154"/>
      <c r="E825" s="143"/>
      <c r="F825" s="144"/>
      <c r="G825" s="153"/>
      <c r="H825" s="153"/>
      <c r="I825" s="144"/>
      <c r="J825" s="144"/>
      <c r="K825" s="144"/>
      <c r="L825" s="144"/>
      <c r="M825" s="144"/>
      <c r="N825" s="144"/>
      <c r="O825" s="144"/>
      <c r="P825" s="144"/>
      <c r="Q825" s="144"/>
      <c r="R825" s="144"/>
      <c r="S825" s="144"/>
      <c r="T825" s="144"/>
      <c r="U825" s="144"/>
      <c r="V825" s="144"/>
      <c r="W825" s="144"/>
      <c r="X825" s="144"/>
      <c r="Y825" s="144"/>
      <c r="Z825" s="144"/>
    </row>
    <row r="826" spans="1:26" ht="24.75">
      <c r="A826" s="144"/>
      <c r="B826" s="141"/>
      <c r="C826" s="142"/>
      <c r="D826" s="154"/>
      <c r="E826" s="143"/>
      <c r="F826" s="144"/>
      <c r="G826" s="151"/>
      <c r="H826" s="151"/>
      <c r="I826" s="144"/>
      <c r="J826" s="144"/>
      <c r="K826" s="144"/>
      <c r="L826" s="144"/>
      <c r="M826" s="144"/>
      <c r="N826" s="144"/>
      <c r="O826" s="144"/>
      <c r="P826" s="144"/>
      <c r="Q826" s="144"/>
      <c r="R826" s="144"/>
      <c r="S826" s="144"/>
      <c r="T826" s="144"/>
      <c r="U826" s="144"/>
      <c r="V826" s="144"/>
      <c r="W826" s="144"/>
      <c r="X826" s="144"/>
      <c r="Y826" s="144"/>
      <c r="Z826" s="144"/>
    </row>
    <row r="827" spans="1:26" ht="24.75">
      <c r="A827" s="144"/>
      <c r="B827" s="141"/>
      <c r="C827" s="142"/>
      <c r="D827" s="154"/>
      <c r="E827" s="143"/>
      <c r="F827" s="144"/>
      <c r="G827" s="153"/>
      <c r="H827" s="153"/>
      <c r="I827" s="144"/>
      <c r="J827" s="144"/>
      <c r="K827" s="144"/>
      <c r="L827" s="144"/>
      <c r="M827" s="144"/>
      <c r="N827" s="144"/>
      <c r="O827" s="144"/>
      <c r="P827" s="144"/>
      <c r="Q827" s="144"/>
      <c r="R827" s="144"/>
      <c r="S827" s="144"/>
      <c r="T827" s="144"/>
      <c r="U827" s="144"/>
      <c r="V827" s="144"/>
      <c r="W827" s="144"/>
      <c r="X827" s="144"/>
      <c r="Y827" s="144"/>
      <c r="Z827" s="144"/>
    </row>
    <row r="828" spans="1:26" ht="24.75">
      <c r="A828" s="144"/>
      <c r="B828" s="141"/>
      <c r="C828" s="142"/>
      <c r="D828" s="154"/>
      <c r="E828" s="143"/>
      <c r="F828" s="144"/>
      <c r="G828" s="151"/>
      <c r="H828" s="151"/>
      <c r="I828" s="144"/>
      <c r="J828" s="144"/>
      <c r="K828" s="144"/>
      <c r="L828" s="144"/>
      <c r="M828" s="144"/>
      <c r="N828" s="144"/>
      <c r="O828" s="144"/>
      <c r="P828" s="144"/>
      <c r="Q828" s="144"/>
      <c r="R828" s="144"/>
      <c r="S828" s="144"/>
      <c r="T828" s="144"/>
      <c r="U828" s="144"/>
      <c r="V828" s="144"/>
      <c r="W828" s="144"/>
      <c r="X828" s="144"/>
      <c r="Y828" s="144"/>
      <c r="Z828" s="144"/>
    </row>
    <row r="829" spans="1:26" ht="24.75">
      <c r="A829" s="144"/>
      <c r="B829" s="141"/>
      <c r="C829" s="142"/>
      <c r="D829" s="154"/>
      <c r="E829" s="143"/>
      <c r="F829" s="144"/>
      <c r="G829" s="153"/>
      <c r="H829" s="153"/>
      <c r="I829" s="144"/>
      <c r="J829" s="144"/>
      <c r="K829" s="144"/>
      <c r="L829" s="144"/>
      <c r="M829" s="144"/>
      <c r="N829" s="144"/>
      <c r="O829" s="144"/>
      <c r="P829" s="144"/>
      <c r="Q829" s="144"/>
      <c r="R829" s="144"/>
      <c r="S829" s="144"/>
      <c r="T829" s="144"/>
      <c r="U829" s="144"/>
      <c r="V829" s="144"/>
      <c r="W829" s="144"/>
      <c r="X829" s="144"/>
      <c r="Y829" s="144"/>
      <c r="Z829" s="144"/>
    </row>
    <row r="830" spans="1:26" ht="24.75">
      <c r="A830" s="144"/>
      <c r="B830" s="141"/>
      <c r="C830" s="142"/>
      <c r="D830" s="154"/>
      <c r="E830" s="143"/>
      <c r="F830" s="144"/>
      <c r="G830" s="151"/>
      <c r="H830" s="151"/>
      <c r="I830" s="144"/>
      <c r="J830" s="144"/>
      <c r="K830" s="144"/>
      <c r="L830" s="144"/>
      <c r="M830" s="144"/>
      <c r="N830" s="144"/>
      <c r="O830" s="144"/>
      <c r="P830" s="144"/>
      <c r="Q830" s="144"/>
      <c r="R830" s="144"/>
      <c r="S830" s="144"/>
      <c r="T830" s="144"/>
      <c r="U830" s="144"/>
      <c r="V830" s="144"/>
      <c r="W830" s="144"/>
      <c r="X830" s="144"/>
      <c r="Y830" s="144"/>
      <c r="Z830" s="144"/>
    </row>
    <row r="831" spans="1:26" ht="24.75">
      <c r="A831" s="144"/>
      <c r="B831" s="141"/>
      <c r="C831" s="142"/>
      <c r="D831" s="154"/>
      <c r="E831" s="143"/>
      <c r="F831" s="144"/>
      <c r="G831" s="153"/>
      <c r="H831" s="153"/>
      <c r="I831" s="144"/>
      <c r="J831" s="144"/>
      <c r="K831" s="144"/>
      <c r="L831" s="144"/>
      <c r="M831" s="144"/>
      <c r="N831" s="144"/>
      <c r="O831" s="144"/>
      <c r="P831" s="144"/>
      <c r="Q831" s="144"/>
      <c r="R831" s="144"/>
      <c r="S831" s="144"/>
      <c r="T831" s="144"/>
      <c r="U831" s="144"/>
      <c r="V831" s="144"/>
      <c r="W831" s="144"/>
      <c r="X831" s="144"/>
      <c r="Y831" s="144"/>
      <c r="Z831" s="144"/>
    </row>
    <row r="832" spans="1:26" ht="24.75">
      <c r="A832" s="144"/>
      <c r="B832" s="141"/>
      <c r="C832" s="142"/>
      <c r="D832" s="154"/>
      <c r="E832" s="143"/>
      <c r="F832" s="144"/>
      <c r="G832" s="151"/>
      <c r="H832" s="151"/>
      <c r="I832" s="144"/>
      <c r="J832" s="144"/>
      <c r="K832" s="144"/>
      <c r="L832" s="144"/>
      <c r="M832" s="144"/>
      <c r="N832" s="144"/>
      <c r="O832" s="144"/>
      <c r="P832" s="144"/>
      <c r="Q832" s="144"/>
      <c r="R832" s="144"/>
      <c r="S832" s="144"/>
      <c r="T832" s="144"/>
      <c r="U832" s="144"/>
      <c r="V832" s="144"/>
      <c r="W832" s="144"/>
      <c r="X832" s="144"/>
      <c r="Y832" s="144"/>
      <c r="Z832" s="144"/>
    </row>
    <row r="833" spans="1:26" ht="24.75">
      <c r="A833" s="144"/>
      <c r="B833" s="141"/>
      <c r="C833" s="142"/>
      <c r="D833" s="154"/>
      <c r="E833" s="143"/>
      <c r="F833" s="144"/>
      <c r="G833" s="153"/>
      <c r="H833" s="153"/>
      <c r="I833" s="144"/>
      <c r="J833" s="144"/>
      <c r="K833" s="144"/>
      <c r="L833" s="144"/>
      <c r="M833" s="144"/>
      <c r="N833" s="144"/>
      <c r="O833" s="144"/>
      <c r="P833" s="144"/>
      <c r="Q833" s="144"/>
      <c r="R833" s="144"/>
      <c r="S833" s="144"/>
      <c r="T833" s="144"/>
      <c r="U833" s="144"/>
      <c r="V833" s="144"/>
      <c r="W833" s="144"/>
      <c r="X833" s="144"/>
      <c r="Y833" s="144"/>
      <c r="Z833" s="144"/>
    </row>
    <row r="834" spans="1:26" ht="24.75">
      <c r="A834" s="144"/>
      <c r="B834" s="141"/>
      <c r="C834" s="142"/>
      <c r="D834" s="154"/>
      <c r="E834" s="143"/>
      <c r="F834" s="144"/>
      <c r="G834" s="151"/>
      <c r="H834" s="151"/>
      <c r="I834" s="144"/>
      <c r="J834" s="144"/>
      <c r="K834" s="144"/>
      <c r="L834" s="144"/>
      <c r="M834" s="144"/>
      <c r="N834" s="144"/>
      <c r="O834" s="144"/>
      <c r="P834" s="144"/>
      <c r="Q834" s="144"/>
      <c r="R834" s="144"/>
      <c r="S834" s="144"/>
      <c r="T834" s="144"/>
      <c r="U834" s="144"/>
      <c r="V834" s="144"/>
      <c r="W834" s="144"/>
      <c r="X834" s="144"/>
      <c r="Y834" s="144"/>
      <c r="Z834" s="144"/>
    </row>
    <row r="835" spans="1:26" ht="24.75">
      <c r="A835" s="144"/>
      <c r="B835" s="141"/>
      <c r="C835" s="142"/>
      <c r="D835" s="154"/>
      <c r="E835" s="143"/>
      <c r="F835" s="144"/>
      <c r="G835" s="153"/>
      <c r="H835" s="153"/>
      <c r="I835" s="144"/>
      <c r="J835" s="144"/>
      <c r="K835" s="144"/>
      <c r="L835" s="144"/>
      <c r="M835" s="144"/>
      <c r="N835" s="144"/>
      <c r="O835" s="144"/>
      <c r="P835" s="144"/>
      <c r="Q835" s="144"/>
      <c r="R835" s="144"/>
      <c r="S835" s="144"/>
      <c r="T835" s="144"/>
      <c r="U835" s="144"/>
      <c r="V835" s="144"/>
      <c r="W835" s="144"/>
      <c r="X835" s="144"/>
      <c r="Y835" s="144"/>
      <c r="Z835" s="144"/>
    </row>
    <row r="836" spans="1:26" ht="24.75">
      <c r="A836" s="144"/>
      <c r="B836" s="141"/>
      <c r="C836" s="142"/>
      <c r="D836" s="154"/>
      <c r="E836" s="143"/>
      <c r="F836" s="144"/>
      <c r="G836" s="151"/>
      <c r="H836" s="151"/>
      <c r="I836" s="144"/>
      <c r="J836" s="144"/>
      <c r="K836" s="144"/>
      <c r="L836" s="144"/>
      <c r="M836" s="144"/>
      <c r="N836" s="144"/>
      <c r="O836" s="144"/>
      <c r="P836" s="144"/>
      <c r="Q836" s="144"/>
      <c r="R836" s="144"/>
      <c r="S836" s="144"/>
      <c r="T836" s="144"/>
      <c r="U836" s="144"/>
      <c r="V836" s="144"/>
      <c r="W836" s="144"/>
      <c r="X836" s="144"/>
      <c r="Y836" s="144"/>
      <c r="Z836" s="144"/>
    </row>
    <row r="837" spans="1:26" ht="24.75">
      <c r="A837" s="144"/>
      <c r="B837" s="141"/>
      <c r="C837" s="142"/>
      <c r="D837" s="154"/>
      <c r="E837" s="143"/>
      <c r="F837" s="144"/>
      <c r="G837" s="153"/>
      <c r="H837" s="153"/>
      <c r="I837" s="144"/>
      <c r="J837" s="144"/>
      <c r="K837" s="144"/>
      <c r="L837" s="144"/>
      <c r="M837" s="144"/>
      <c r="N837" s="144"/>
      <c r="O837" s="144"/>
      <c r="P837" s="144"/>
      <c r="Q837" s="144"/>
      <c r="R837" s="144"/>
      <c r="S837" s="144"/>
      <c r="T837" s="144"/>
      <c r="U837" s="144"/>
      <c r="V837" s="144"/>
      <c r="W837" s="144"/>
      <c r="X837" s="144"/>
      <c r="Y837" s="144"/>
      <c r="Z837" s="144"/>
    </row>
    <row r="838" spans="1:26" ht="24.75">
      <c r="A838" s="144"/>
      <c r="B838" s="141"/>
      <c r="C838" s="142"/>
      <c r="D838" s="154"/>
      <c r="E838" s="143"/>
      <c r="F838" s="144"/>
      <c r="G838" s="151"/>
      <c r="H838" s="151"/>
      <c r="I838" s="144"/>
      <c r="J838" s="144"/>
      <c r="K838" s="144"/>
      <c r="L838" s="144"/>
      <c r="M838" s="144"/>
      <c r="N838" s="144"/>
      <c r="O838" s="144"/>
      <c r="P838" s="144"/>
      <c r="Q838" s="144"/>
      <c r="R838" s="144"/>
      <c r="S838" s="144"/>
      <c r="T838" s="144"/>
      <c r="U838" s="144"/>
      <c r="V838" s="144"/>
      <c r="W838" s="144"/>
      <c r="X838" s="144"/>
      <c r="Y838" s="144"/>
      <c r="Z838" s="144"/>
    </row>
    <row r="839" spans="1:26" ht="24.75">
      <c r="A839" s="144"/>
      <c r="B839" s="141"/>
      <c r="C839" s="142"/>
      <c r="D839" s="154"/>
      <c r="E839" s="143"/>
      <c r="F839" s="144"/>
      <c r="G839" s="153"/>
      <c r="H839" s="153"/>
      <c r="I839" s="144"/>
      <c r="J839" s="144"/>
      <c r="K839" s="144"/>
      <c r="L839" s="144"/>
      <c r="M839" s="144"/>
      <c r="N839" s="144"/>
      <c r="O839" s="144"/>
      <c r="P839" s="144"/>
      <c r="Q839" s="144"/>
      <c r="R839" s="144"/>
      <c r="S839" s="144"/>
      <c r="T839" s="144"/>
      <c r="U839" s="144"/>
      <c r="V839" s="144"/>
      <c r="W839" s="144"/>
      <c r="X839" s="144"/>
      <c r="Y839" s="144"/>
      <c r="Z839" s="144"/>
    </row>
    <row r="840" spans="1:26" ht="24.75">
      <c r="A840" s="144"/>
      <c r="B840" s="141"/>
      <c r="C840" s="142"/>
      <c r="D840" s="154"/>
      <c r="E840" s="143"/>
      <c r="F840" s="144"/>
      <c r="G840" s="151"/>
      <c r="H840" s="151"/>
      <c r="I840" s="144"/>
      <c r="J840" s="144"/>
      <c r="K840" s="144"/>
      <c r="L840" s="144"/>
      <c r="M840" s="144"/>
      <c r="N840" s="144"/>
      <c r="O840" s="144"/>
      <c r="P840" s="144"/>
      <c r="Q840" s="144"/>
      <c r="R840" s="144"/>
      <c r="S840" s="144"/>
      <c r="T840" s="144"/>
      <c r="U840" s="144"/>
      <c r="V840" s="144"/>
      <c r="W840" s="144"/>
      <c r="X840" s="144"/>
      <c r="Y840" s="144"/>
      <c r="Z840" s="144"/>
    </row>
    <row r="841" spans="1:26" ht="24.75">
      <c r="A841" s="144"/>
      <c r="B841" s="141"/>
      <c r="C841" s="142"/>
      <c r="D841" s="154"/>
      <c r="E841" s="143"/>
      <c r="F841" s="144"/>
      <c r="G841" s="153"/>
      <c r="H841" s="153"/>
      <c r="I841" s="144"/>
      <c r="J841" s="144"/>
      <c r="K841" s="144"/>
      <c r="L841" s="144"/>
      <c r="M841" s="144"/>
      <c r="N841" s="144"/>
      <c r="O841" s="144"/>
      <c r="P841" s="144"/>
      <c r="Q841" s="144"/>
      <c r="R841" s="144"/>
      <c r="S841" s="144"/>
      <c r="T841" s="144"/>
      <c r="U841" s="144"/>
      <c r="V841" s="144"/>
      <c r="W841" s="144"/>
      <c r="X841" s="144"/>
      <c r="Y841" s="144"/>
      <c r="Z841" s="144"/>
    </row>
    <row r="842" spans="1:26" ht="24.75">
      <c r="A842" s="144"/>
      <c r="B842" s="141"/>
      <c r="C842" s="142"/>
      <c r="D842" s="154"/>
      <c r="E842" s="143"/>
      <c r="F842" s="144"/>
      <c r="G842" s="151"/>
      <c r="H842" s="151"/>
      <c r="I842" s="144"/>
      <c r="J842" s="144"/>
      <c r="K842" s="144"/>
      <c r="L842" s="144"/>
      <c r="M842" s="144"/>
      <c r="N842" s="144"/>
      <c r="O842" s="144"/>
      <c r="P842" s="144"/>
      <c r="Q842" s="144"/>
      <c r="R842" s="144"/>
      <c r="S842" s="144"/>
      <c r="T842" s="144"/>
      <c r="U842" s="144"/>
      <c r="V842" s="144"/>
      <c r="W842" s="144"/>
      <c r="X842" s="144"/>
      <c r="Y842" s="144"/>
      <c r="Z842" s="144"/>
    </row>
    <row r="843" spans="1:26" ht="24.75">
      <c r="A843" s="144"/>
      <c r="B843" s="141"/>
      <c r="C843" s="142"/>
      <c r="D843" s="154"/>
      <c r="E843" s="143"/>
      <c r="F843" s="144"/>
      <c r="G843" s="153"/>
      <c r="H843" s="153"/>
      <c r="I843" s="144"/>
      <c r="J843" s="144"/>
      <c r="K843" s="144"/>
      <c r="L843" s="144"/>
      <c r="M843" s="144"/>
      <c r="N843" s="144"/>
      <c r="O843" s="144"/>
      <c r="P843" s="144"/>
      <c r="Q843" s="144"/>
      <c r="R843" s="144"/>
      <c r="S843" s="144"/>
      <c r="T843" s="144"/>
      <c r="U843" s="144"/>
      <c r="V843" s="144"/>
      <c r="W843" s="144"/>
      <c r="X843" s="144"/>
      <c r="Y843" s="144"/>
      <c r="Z843" s="144"/>
    </row>
    <row r="844" spans="1:26" ht="24.75">
      <c r="A844" s="144"/>
      <c r="B844" s="141"/>
      <c r="C844" s="142"/>
      <c r="D844" s="154"/>
      <c r="E844" s="143"/>
      <c r="F844" s="144"/>
      <c r="G844" s="151"/>
      <c r="H844" s="151"/>
      <c r="I844" s="144"/>
      <c r="J844" s="144"/>
      <c r="K844" s="144"/>
      <c r="L844" s="144"/>
      <c r="M844" s="144"/>
      <c r="N844" s="144"/>
      <c r="O844" s="144"/>
      <c r="P844" s="144"/>
      <c r="Q844" s="144"/>
      <c r="R844" s="144"/>
      <c r="S844" s="144"/>
      <c r="T844" s="144"/>
      <c r="U844" s="144"/>
      <c r="V844" s="144"/>
      <c r="W844" s="144"/>
      <c r="X844" s="144"/>
      <c r="Y844" s="144"/>
      <c r="Z844" s="144"/>
    </row>
    <row r="845" spans="1:26" ht="24.75">
      <c r="A845" s="144"/>
      <c r="B845" s="141"/>
      <c r="C845" s="142"/>
      <c r="D845" s="154"/>
      <c r="E845" s="143"/>
      <c r="F845" s="144"/>
      <c r="G845" s="153"/>
      <c r="H845" s="153"/>
      <c r="I845" s="144"/>
      <c r="J845" s="144"/>
      <c r="K845" s="144"/>
      <c r="L845" s="144"/>
      <c r="M845" s="144"/>
      <c r="N845" s="144"/>
      <c r="O845" s="144"/>
      <c r="P845" s="144"/>
      <c r="Q845" s="144"/>
      <c r="R845" s="144"/>
      <c r="S845" s="144"/>
      <c r="T845" s="144"/>
      <c r="U845" s="144"/>
      <c r="V845" s="144"/>
      <c r="W845" s="144"/>
      <c r="X845" s="144"/>
      <c r="Y845" s="144"/>
      <c r="Z845" s="144"/>
    </row>
    <row r="846" spans="1:26" ht="24.75">
      <c r="A846" s="144"/>
      <c r="B846" s="141"/>
      <c r="C846" s="142"/>
      <c r="D846" s="154"/>
      <c r="E846" s="143"/>
      <c r="F846" s="144"/>
      <c r="G846" s="151"/>
      <c r="H846" s="151"/>
      <c r="I846" s="144"/>
      <c r="J846" s="144"/>
      <c r="K846" s="144"/>
      <c r="L846" s="144"/>
      <c r="M846" s="144"/>
      <c r="N846" s="144"/>
      <c r="O846" s="144"/>
      <c r="P846" s="144"/>
      <c r="Q846" s="144"/>
      <c r="R846" s="144"/>
      <c r="S846" s="144"/>
      <c r="T846" s="144"/>
      <c r="U846" s="144"/>
      <c r="V846" s="144"/>
      <c r="W846" s="144"/>
      <c r="X846" s="144"/>
      <c r="Y846" s="144"/>
      <c r="Z846" s="144"/>
    </row>
    <row r="847" spans="1:26" ht="24.75">
      <c r="A847" s="144"/>
      <c r="B847" s="141"/>
      <c r="C847" s="142"/>
      <c r="D847" s="154"/>
      <c r="E847" s="143"/>
      <c r="F847" s="144"/>
      <c r="G847" s="153"/>
      <c r="H847" s="153"/>
      <c r="I847" s="144"/>
      <c r="J847" s="144"/>
      <c r="K847" s="144"/>
      <c r="L847" s="144"/>
      <c r="M847" s="144"/>
      <c r="N847" s="144"/>
      <c r="O847" s="144"/>
      <c r="P847" s="144"/>
      <c r="Q847" s="144"/>
      <c r="R847" s="144"/>
      <c r="S847" s="144"/>
      <c r="T847" s="144"/>
      <c r="U847" s="144"/>
      <c r="V847" s="144"/>
      <c r="W847" s="144"/>
      <c r="X847" s="144"/>
      <c r="Y847" s="144"/>
      <c r="Z847" s="144"/>
    </row>
    <row r="848" spans="1:26" ht="24.75">
      <c r="A848" s="144"/>
      <c r="B848" s="141"/>
      <c r="C848" s="142"/>
      <c r="D848" s="154"/>
      <c r="E848" s="143"/>
      <c r="F848" s="144"/>
      <c r="G848" s="151"/>
      <c r="H848" s="151"/>
      <c r="I848" s="144"/>
      <c r="J848" s="144"/>
      <c r="K848" s="144"/>
      <c r="L848" s="144"/>
      <c r="M848" s="144"/>
      <c r="N848" s="144"/>
      <c r="O848" s="144"/>
      <c r="P848" s="144"/>
      <c r="Q848" s="144"/>
      <c r="R848" s="144"/>
      <c r="S848" s="144"/>
      <c r="T848" s="144"/>
      <c r="U848" s="144"/>
      <c r="V848" s="144"/>
      <c r="W848" s="144"/>
      <c r="X848" s="144"/>
      <c r="Y848" s="144"/>
      <c r="Z848" s="144"/>
    </row>
    <row r="849" spans="1:26" ht="24.75">
      <c r="A849" s="144"/>
      <c r="B849" s="141"/>
      <c r="C849" s="142"/>
      <c r="D849" s="154"/>
      <c r="E849" s="143"/>
      <c r="F849" s="144"/>
      <c r="G849" s="153"/>
      <c r="H849" s="153"/>
      <c r="I849" s="144"/>
      <c r="J849" s="144"/>
      <c r="K849" s="144"/>
      <c r="L849" s="144"/>
      <c r="M849" s="144"/>
      <c r="N849" s="144"/>
      <c r="O849" s="144"/>
      <c r="P849" s="144"/>
      <c r="Q849" s="144"/>
      <c r="R849" s="144"/>
      <c r="S849" s="144"/>
      <c r="T849" s="144"/>
      <c r="U849" s="144"/>
      <c r="V849" s="144"/>
      <c r="W849" s="144"/>
      <c r="X849" s="144"/>
      <c r="Y849" s="144"/>
      <c r="Z849" s="144"/>
    </row>
    <row r="850" spans="1:26" ht="24.75">
      <c r="A850" s="144"/>
      <c r="B850" s="141"/>
      <c r="C850" s="142"/>
      <c r="D850" s="154"/>
      <c r="E850" s="143"/>
      <c r="F850" s="144"/>
      <c r="G850" s="151"/>
      <c r="H850" s="151"/>
      <c r="I850" s="144"/>
      <c r="J850" s="144"/>
      <c r="K850" s="144"/>
      <c r="L850" s="144"/>
      <c r="M850" s="144"/>
      <c r="N850" s="144"/>
      <c r="O850" s="144"/>
      <c r="P850" s="144"/>
      <c r="Q850" s="144"/>
      <c r="R850" s="144"/>
      <c r="S850" s="144"/>
      <c r="T850" s="144"/>
      <c r="U850" s="144"/>
      <c r="V850" s="144"/>
      <c r="W850" s="144"/>
      <c r="X850" s="144"/>
      <c r="Y850" s="144"/>
      <c r="Z850" s="144"/>
    </row>
    <row r="851" spans="1:26" ht="24.75">
      <c r="A851" s="144"/>
      <c r="B851" s="141"/>
      <c r="C851" s="142"/>
      <c r="D851" s="154"/>
      <c r="E851" s="143"/>
      <c r="F851" s="144"/>
      <c r="G851" s="153"/>
      <c r="H851" s="153"/>
      <c r="I851" s="144"/>
      <c r="J851" s="144"/>
      <c r="K851" s="144"/>
      <c r="L851" s="144"/>
      <c r="M851" s="144"/>
      <c r="N851" s="144"/>
      <c r="O851" s="144"/>
      <c r="P851" s="144"/>
      <c r="Q851" s="144"/>
      <c r="R851" s="144"/>
      <c r="S851" s="144"/>
      <c r="T851" s="144"/>
      <c r="U851" s="144"/>
      <c r="V851" s="144"/>
      <c r="W851" s="144"/>
      <c r="X851" s="144"/>
      <c r="Y851" s="144"/>
      <c r="Z851" s="144"/>
    </row>
    <row r="852" spans="1:26" ht="24.75">
      <c r="A852" s="144"/>
      <c r="B852" s="141"/>
      <c r="C852" s="142"/>
      <c r="D852" s="154"/>
      <c r="E852" s="143"/>
      <c r="F852" s="144"/>
      <c r="G852" s="151"/>
      <c r="H852" s="151"/>
      <c r="I852" s="144"/>
      <c r="J852" s="144"/>
      <c r="K852" s="144"/>
      <c r="L852" s="144"/>
      <c r="M852" s="144"/>
      <c r="N852" s="144"/>
      <c r="O852" s="144"/>
      <c r="P852" s="144"/>
      <c r="Q852" s="144"/>
      <c r="R852" s="144"/>
      <c r="S852" s="144"/>
      <c r="T852" s="144"/>
      <c r="U852" s="144"/>
      <c r="V852" s="144"/>
      <c r="W852" s="144"/>
      <c r="X852" s="144"/>
      <c r="Y852" s="144"/>
      <c r="Z852" s="144"/>
    </row>
    <row r="853" spans="1:26" ht="24.75">
      <c r="A853" s="144"/>
      <c r="B853" s="141"/>
      <c r="C853" s="142"/>
      <c r="D853" s="154"/>
      <c r="E853" s="143"/>
      <c r="F853" s="144"/>
      <c r="G853" s="153"/>
      <c r="H853" s="153"/>
      <c r="I853" s="144"/>
      <c r="J853" s="144"/>
      <c r="K853" s="144"/>
      <c r="L853" s="144"/>
      <c r="M853" s="144"/>
      <c r="N853" s="144"/>
      <c r="O853" s="144"/>
      <c r="P853" s="144"/>
      <c r="Q853" s="144"/>
      <c r="R853" s="144"/>
      <c r="S853" s="144"/>
      <c r="T853" s="144"/>
      <c r="U853" s="144"/>
      <c r="V853" s="144"/>
      <c r="W853" s="144"/>
      <c r="X853" s="144"/>
      <c r="Y853" s="144"/>
      <c r="Z853" s="144"/>
    </row>
    <row r="854" spans="1:26" ht="24.75">
      <c r="A854" s="144"/>
      <c r="B854" s="141"/>
      <c r="C854" s="142"/>
      <c r="D854" s="154"/>
      <c r="E854" s="143"/>
      <c r="F854" s="144"/>
      <c r="G854" s="151"/>
      <c r="H854" s="151"/>
      <c r="I854" s="144"/>
      <c r="J854" s="144"/>
      <c r="K854" s="144"/>
      <c r="L854" s="144"/>
      <c r="M854" s="144"/>
      <c r="N854" s="144"/>
      <c r="O854" s="144"/>
      <c r="P854" s="144"/>
      <c r="Q854" s="144"/>
      <c r="R854" s="144"/>
      <c r="S854" s="144"/>
      <c r="T854" s="144"/>
      <c r="U854" s="144"/>
      <c r="V854" s="144"/>
      <c r="W854" s="144"/>
      <c r="X854" s="144"/>
      <c r="Y854" s="144"/>
      <c r="Z854" s="144"/>
    </row>
    <row r="855" spans="1:26" ht="24.75">
      <c r="A855" s="144"/>
      <c r="B855" s="141"/>
      <c r="C855" s="142"/>
      <c r="D855" s="154"/>
      <c r="E855" s="143"/>
      <c r="F855" s="144"/>
      <c r="G855" s="153"/>
      <c r="H855" s="153"/>
      <c r="I855" s="144"/>
      <c r="J855" s="144"/>
      <c r="K855" s="144"/>
      <c r="L855" s="144"/>
      <c r="M855" s="144"/>
      <c r="N855" s="144"/>
      <c r="O855" s="144"/>
      <c r="P855" s="144"/>
      <c r="Q855" s="144"/>
      <c r="R855" s="144"/>
      <c r="S855" s="144"/>
      <c r="T855" s="144"/>
      <c r="U855" s="144"/>
      <c r="V855" s="144"/>
      <c r="W855" s="144"/>
      <c r="X855" s="144"/>
      <c r="Y855" s="144"/>
      <c r="Z855" s="144"/>
    </row>
    <row r="856" spans="1:26" ht="24.75">
      <c r="A856" s="144"/>
      <c r="B856" s="141"/>
      <c r="C856" s="142"/>
      <c r="D856" s="154"/>
      <c r="E856" s="143"/>
      <c r="F856" s="144"/>
      <c r="G856" s="151"/>
      <c r="H856" s="151"/>
      <c r="I856" s="144"/>
      <c r="J856" s="144"/>
      <c r="K856" s="144"/>
      <c r="L856" s="144"/>
      <c r="M856" s="144"/>
      <c r="N856" s="144"/>
      <c r="O856" s="144"/>
      <c r="P856" s="144"/>
      <c r="Q856" s="144"/>
      <c r="R856" s="144"/>
      <c r="S856" s="144"/>
      <c r="T856" s="144"/>
      <c r="U856" s="144"/>
      <c r="V856" s="144"/>
      <c r="W856" s="144"/>
      <c r="X856" s="144"/>
      <c r="Y856" s="144"/>
      <c r="Z856" s="144"/>
    </row>
    <row r="857" spans="1:26" ht="24.75">
      <c r="A857" s="144"/>
      <c r="B857" s="141"/>
      <c r="C857" s="142"/>
      <c r="D857" s="154"/>
      <c r="E857" s="143"/>
      <c r="F857" s="144"/>
      <c r="G857" s="153"/>
      <c r="H857" s="153"/>
      <c r="I857" s="144"/>
      <c r="J857" s="144"/>
      <c r="K857" s="144"/>
      <c r="L857" s="144"/>
      <c r="M857" s="144"/>
      <c r="N857" s="144"/>
      <c r="O857" s="144"/>
      <c r="P857" s="144"/>
      <c r="Q857" s="144"/>
      <c r="R857" s="144"/>
      <c r="S857" s="144"/>
      <c r="T857" s="144"/>
      <c r="U857" s="144"/>
      <c r="V857" s="144"/>
      <c r="W857" s="144"/>
      <c r="X857" s="144"/>
      <c r="Y857" s="144"/>
      <c r="Z857" s="144"/>
    </row>
    <row r="858" spans="1:26" ht="24.75">
      <c r="A858" s="144"/>
      <c r="B858" s="141"/>
      <c r="C858" s="142"/>
      <c r="D858" s="154"/>
      <c r="E858" s="143"/>
      <c r="F858" s="144"/>
      <c r="G858" s="151"/>
      <c r="H858" s="151"/>
      <c r="I858" s="144"/>
      <c r="J858" s="144"/>
      <c r="K858" s="144"/>
      <c r="L858" s="144"/>
      <c r="M858" s="144"/>
      <c r="N858" s="144"/>
      <c r="O858" s="144"/>
      <c r="P858" s="144"/>
      <c r="Q858" s="144"/>
      <c r="R858" s="144"/>
      <c r="S858" s="144"/>
      <c r="T858" s="144"/>
      <c r="U858" s="144"/>
      <c r="V858" s="144"/>
      <c r="W858" s="144"/>
      <c r="X858" s="144"/>
      <c r="Y858" s="144"/>
      <c r="Z858" s="144"/>
    </row>
    <row r="859" spans="1:26" ht="24.75">
      <c r="A859" s="144"/>
      <c r="B859" s="141"/>
      <c r="C859" s="142"/>
      <c r="D859" s="154"/>
      <c r="E859" s="143"/>
      <c r="F859" s="144"/>
      <c r="G859" s="153"/>
      <c r="H859" s="153"/>
      <c r="I859" s="144"/>
      <c r="J859" s="144"/>
      <c r="K859" s="144"/>
      <c r="L859" s="144"/>
      <c r="M859" s="144"/>
      <c r="N859" s="144"/>
      <c r="O859" s="144"/>
      <c r="P859" s="144"/>
      <c r="Q859" s="144"/>
      <c r="R859" s="144"/>
      <c r="S859" s="144"/>
      <c r="T859" s="144"/>
      <c r="U859" s="144"/>
      <c r="V859" s="144"/>
      <c r="W859" s="144"/>
      <c r="X859" s="144"/>
      <c r="Y859" s="144"/>
      <c r="Z859" s="144"/>
    </row>
    <row r="860" spans="1:26" ht="24.75">
      <c r="A860" s="144"/>
      <c r="B860" s="141"/>
      <c r="C860" s="142"/>
      <c r="D860" s="154"/>
      <c r="E860" s="143"/>
      <c r="F860" s="144"/>
      <c r="G860" s="151"/>
      <c r="H860" s="151"/>
      <c r="I860" s="144"/>
      <c r="J860" s="144"/>
      <c r="K860" s="144"/>
      <c r="L860" s="144"/>
      <c r="M860" s="144"/>
      <c r="N860" s="144"/>
      <c r="O860" s="144"/>
      <c r="P860" s="144"/>
      <c r="Q860" s="144"/>
      <c r="R860" s="144"/>
      <c r="S860" s="144"/>
      <c r="T860" s="144"/>
      <c r="U860" s="144"/>
      <c r="V860" s="144"/>
      <c r="W860" s="144"/>
      <c r="X860" s="144"/>
      <c r="Y860" s="144"/>
      <c r="Z860" s="144"/>
    </row>
    <row r="861" spans="1:26" ht="24.75">
      <c r="A861" s="144"/>
      <c r="B861" s="141"/>
      <c r="C861" s="142"/>
      <c r="D861" s="154"/>
      <c r="E861" s="143"/>
      <c r="F861" s="144"/>
      <c r="G861" s="153"/>
      <c r="H861" s="153"/>
      <c r="I861" s="144"/>
      <c r="J861" s="144"/>
      <c r="K861" s="144"/>
      <c r="L861" s="144"/>
      <c r="M861" s="144"/>
      <c r="N861" s="144"/>
      <c r="O861" s="144"/>
      <c r="P861" s="144"/>
      <c r="Q861" s="144"/>
      <c r="R861" s="144"/>
      <c r="S861" s="144"/>
      <c r="T861" s="144"/>
      <c r="U861" s="144"/>
      <c r="V861" s="144"/>
      <c r="W861" s="144"/>
      <c r="X861" s="144"/>
      <c r="Y861" s="144"/>
      <c r="Z861" s="144"/>
    </row>
    <row r="862" spans="1:26" ht="24.75">
      <c r="A862" s="144"/>
      <c r="B862" s="141"/>
      <c r="C862" s="142"/>
      <c r="D862" s="154"/>
      <c r="E862" s="143"/>
      <c r="F862" s="144"/>
      <c r="G862" s="151"/>
      <c r="H862" s="151"/>
      <c r="I862" s="144"/>
      <c r="J862" s="144"/>
      <c r="K862" s="144"/>
      <c r="L862" s="144"/>
      <c r="M862" s="144"/>
      <c r="N862" s="144"/>
      <c r="O862" s="144"/>
      <c r="P862" s="144"/>
      <c r="Q862" s="144"/>
      <c r="R862" s="144"/>
      <c r="S862" s="144"/>
      <c r="T862" s="144"/>
      <c r="U862" s="144"/>
      <c r="V862" s="144"/>
      <c r="W862" s="144"/>
      <c r="X862" s="144"/>
      <c r="Y862" s="144"/>
      <c r="Z862" s="144"/>
    </row>
    <row r="863" spans="1:26" ht="24.75">
      <c r="A863" s="144"/>
      <c r="B863" s="141"/>
      <c r="C863" s="142"/>
      <c r="D863" s="154"/>
      <c r="E863" s="143"/>
      <c r="F863" s="144"/>
      <c r="G863" s="153"/>
      <c r="H863" s="153"/>
      <c r="I863" s="144"/>
      <c r="J863" s="144"/>
      <c r="K863" s="144"/>
      <c r="L863" s="144"/>
      <c r="M863" s="144"/>
      <c r="N863" s="144"/>
      <c r="O863" s="144"/>
      <c r="P863" s="144"/>
      <c r="Q863" s="144"/>
      <c r="R863" s="144"/>
      <c r="S863" s="144"/>
      <c r="T863" s="144"/>
      <c r="U863" s="144"/>
      <c r="V863" s="144"/>
      <c r="W863" s="144"/>
      <c r="X863" s="144"/>
      <c r="Y863" s="144"/>
      <c r="Z863" s="144"/>
    </row>
    <row r="864" spans="1:26" ht="24.75">
      <c r="A864" s="144"/>
      <c r="B864" s="141"/>
      <c r="C864" s="142"/>
      <c r="D864" s="154"/>
      <c r="E864" s="143"/>
      <c r="F864" s="144"/>
      <c r="G864" s="151"/>
      <c r="H864" s="151"/>
      <c r="I864" s="144"/>
      <c r="J864" s="144"/>
      <c r="K864" s="144"/>
      <c r="L864" s="144"/>
      <c r="M864" s="144"/>
      <c r="N864" s="144"/>
      <c r="O864" s="144"/>
      <c r="P864" s="144"/>
      <c r="Q864" s="144"/>
      <c r="R864" s="144"/>
      <c r="S864" s="144"/>
      <c r="T864" s="144"/>
      <c r="U864" s="144"/>
      <c r="V864" s="144"/>
      <c r="W864" s="144"/>
      <c r="X864" s="144"/>
      <c r="Y864" s="144"/>
      <c r="Z864" s="144"/>
    </row>
    <row r="865" spans="1:26" ht="24.75">
      <c r="A865" s="144"/>
      <c r="B865" s="141"/>
      <c r="C865" s="142"/>
      <c r="D865" s="154"/>
      <c r="E865" s="143"/>
      <c r="F865" s="144"/>
      <c r="G865" s="153"/>
      <c r="H865" s="153"/>
      <c r="I865" s="144"/>
      <c r="J865" s="144"/>
      <c r="K865" s="144"/>
      <c r="L865" s="144"/>
      <c r="M865" s="144"/>
      <c r="N865" s="144"/>
      <c r="O865" s="144"/>
      <c r="P865" s="144"/>
      <c r="Q865" s="144"/>
      <c r="R865" s="144"/>
      <c r="S865" s="144"/>
      <c r="T865" s="144"/>
      <c r="U865" s="144"/>
      <c r="V865" s="144"/>
      <c r="W865" s="144"/>
      <c r="X865" s="144"/>
      <c r="Y865" s="144"/>
      <c r="Z865" s="144"/>
    </row>
    <row r="866" spans="1:26" ht="24.75">
      <c r="A866" s="144"/>
      <c r="B866" s="141"/>
      <c r="C866" s="142"/>
      <c r="D866" s="154"/>
      <c r="E866" s="143"/>
      <c r="F866" s="144"/>
      <c r="G866" s="151"/>
      <c r="H866" s="151"/>
      <c r="I866" s="144"/>
      <c r="J866" s="144"/>
      <c r="K866" s="144"/>
      <c r="L866" s="144"/>
      <c r="M866" s="144"/>
      <c r="N866" s="144"/>
      <c r="O866" s="144"/>
      <c r="P866" s="144"/>
      <c r="Q866" s="144"/>
      <c r="R866" s="144"/>
      <c r="S866" s="144"/>
      <c r="T866" s="144"/>
      <c r="U866" s="144"/>
      <c r="V866" s="144"/>
      <c r="W866" s="144"/>
      <c r="X866" s="144"/>
      <c r="Y866" s="144"/>
      <c r="Z866" s="144"/>
    </row>
    <row r="867" spans="1:26" ht="24.75">
      <c r="A867" s="144"/>
      <c r="B867" s="141"/>
      <c r="C867" s="142"/>
      <c r="D867" s="154"/>
      <c r="E867" s="143"/>
      <c r="F867" s="144"/>
      <c r="G867" s="153"/>
      <c r="H867" s="153"/>
      <c r="I867" s="144"/>
      <c r="J867" s="144"/>
      <c r="K867" s="144"/>
      <c r="L867" s="144"/>
      <c r="M867" s="144"/>
      <c r="N867" s="144"/>
      <c r="O867" s="144"/>
      <c r="P867" s="144"/>
      <c r="Q867" s="144"/>
      <c r="R867" s="144"/>
      <c r="S867" s="144"/>
      <c r="T867" s="144"/>
      <c r="U867" s="144"/>
      <c r="V867" s="144"/>
      <c r="W867" s="144"/>
      <c r="X867" s="144"/>
      <c r="Y867" s="144"/>
      <c r="Z867" s="144"/>
    </row>
    <row r="868" spans="1:26" ht="24.75">
      <c r="A868" s="144"/>
      <c r="B868" s="141"/>
      <c r="C868" s="142"/>
      <c r="D868" s="154"/>
      <c r="E868" s="143"/>
      <c r="F868" s="144"/>
      <c r="G868" s="151"/>
      <c r="H868" s="151"/>
      <c r="I868" s="144"/>
      <c r="J868" s="144"/>
      <c r="K868" s="144"/>
      <c r="L868" s="144"/>
      <c r="M868" s="144"/>
      <c r="N868" s="144"/>
      <c r="O868" s="144"/>
      <c r="P868" s="144"/>
      <c r="Q868" s="144"/>
      <c r="R868" s="144"/>
      <c r="S868" s="144"/>
      <c r="T868" s="144"/>
      <c r="U868" s="144"/>
      <c r="V868" s="144"/>
      <c r="W868" s="144"/>
      <c r="X868" s="144"/>
      <c r="Y868" s="144"/>
      <c r="Z868" s="144"/>
    </row>
    <row r="869" spans="1:26" ht="24.75">
      <c r="A869" s="144"/>
      <c r="B869" s="141"/>
      <c r="C869" s="142"/>
      <c r="D869" s="154"/>
      <c r="E869" s="143"/>
      <c r="F869" s="144"/>
      <c r="G869" s="153"/>
      <c r="H869" s="153"/>
      <c r="I869" s="144"/>
      <c r="J869" s="144"/>
      <c r="K869" s="144"/>
      <c r="L869" s="144"/>
      <c r="M869" s="144"/>
      <c r="N869" s="144"/>
      <c r="O869" s="144"/>
      <c r="P869" s="144"/>
      <c r="Q869" s="144"/>
      <c r="R869" s="144"/>
      <c r="S869" s="144"/>
      <c r="T869" s="144"/>
      <c r="U869" s="144"/>
      <c r="V869" s="144"/>
      <c r="W869" s="144"/>
      <c r="X869" s="144"/>
      <c r="Y869" s="144"/>
      <c r="Z869" s="144"/>
    </row>
    <row r="870" spans="1:26" ht="24.75">
      <c r="A870" s="144"/>
      <c r="B870" s="141"/>
      <c r="C870" s="142"/>
      <c r="D870" s="154"/>
      <c r="E870" s="143"/>
      <c r="F870" s="144"/>
      <c r="G870" s="151"/>
      <c r="H870" s="151"/>
      <c r="I870" s="144"/>
      <c r="J870" s="144"/>
      <c r="K870" s="144"/>
      <c r="L870" s="144"/>
      <c r="M870" s="144"/>
      <c r="N870" s="144"/>
      <c r="O870" s="144"/>
      <c r="P870" s="144"/>
      <c r="Q870" s="144"/>
      <c r="R870" s="144"/>
      <c r="S870" s="144"/>
      <c r="T870" s="144"/>
      <c r="U870" s="144"/>
      <c r="V870" s="144"/>
      <c r="W870" s="144"/>
      <c r="X870" s="144"/>
      <c r="Y870" s="144"/>
      <c r="Z870" s="144"/>
    </row>
    <row r="871" spans="1:26" ht="24.75">
      <c r="A871" s="144"/>
      <c r="B871" s="141"/>
      <c r="C871" s="142"/>
      <c r="D871" s="154"/>
      <c r="E871" s="143"/>
      <c r="F871" s="144"/>
      <c r="G871" s="153"/>
      <c r="H871" s="153"/>
      <c r="I871" s="144"/>
      <c r="J871" s="144"/>
      <c r="K871" s="144"/>
      <c r="L871" s="144"/>
      <c r="M871" s="144"/>
      <c r="N871" s="144"/>
      <c r="O871" s="144"/>
      <c r="P871" s="144"/>
      <c r="Q871" s="144"/>
      <c r="R871" s="144"/>
      <c r="S871" s="144"/>
      <c r="T871" s="144"/>
      <c r="U871" s="144"/>
      <c r="V871" s="144"/>
      <c r="W871" s="144"/>
      <c r="X871" s="144"/>
      <c r="Y871" s="144"/>
      <c r="Z871" s="144"/>
    </row>
    <row r="872" spans="1:26" ht="24.75">
      <c r="A872" s="144"/>
      <c r="B872" s="141"/>
      <c r="C872" s="142"/>
      <c r="D872" s="154"/>
      <c r="E872" s="143"/>
      <c r="F872" s="144"/>
      <c r="G872" s="151"/>
      <c r="H872" s="151"/>
      <c r="I872" s="144"/>
      <c r="J872" s="144"/>
      <c r="K872" s="144"/>
      <c r="L872" s="144"/>
      <c r="M872" s="144"/>
      <c r="N872" s="144"/>
      <c r="O872" s="144"/>
      <c r="P872" s="144"/>
      <c r="Q872" s="144"/>
      <c r="R872" s="144"/>
      <c r="S872" s="144"/>
      <c r="T872" s="144"/>
      <c r="U872" s="144"/>
      <c r="V872" s="144"/>
      <c r="W872" s="144"/>
      <c r="X872" s="144"/>
      <c r="Y872" s="144"/>
      <c r="Z872" s="144"/>
    </row>
    <row r="873" spans="1:26" ht="24.75">
      <c r="A873" s="144"/>
      <c r="B873" s="141"/>
      <c r="C873" s="142"/>
      <c r="D873" s="154"/>
      <c r="E873" s="143"/>
      <c r="F873" s="144"/>
      <c r="G873" s="153"/>
      <c r="H873" s="153"/>
      <c r="I873" s="144"/>
      <c r="J873" s="144"/>
      <c r="K873" s="144"/>
      <c r="L873" s="144"/>
      <c r="M873" s="144"/>
      <c r="N873" s="144"/>
      <c r="O873" s="144"/>
      <c r="P873" s="144"/>
      <c r="Q873" s="144"/>
      <c r="R873" s="144"/>
      <c r="S873" s="144"/>
      <c r="T873" s="144"/>
      <c r="U873" s="144"/>
      <c r="V873" s="144"/>
      <c r="W873" s="144"/>
      <c r="X873" s="144"/>
      <c r="Y873" s="144"/>
      <c r="Z873" s="144"/>
    </row>
    <row r="874" spans="1:26" ht="24.75">
      <c r="A874" s="144"/>
      <c r="B874" s="141"/>
      <c r="C874" s="142"/>
      <c r="D874" s="154"/>
      <c r="E874" s="143"/>
      <c r="F874" s="144"/>
      <c r="G874" s="151"/>
      <c r="H874" s="151"/>
      <c r="I874" s="144"/>
      <c r="J874" s="144"/>
      <c r="K874" s="144"/>
      <c r="L874" s="144"/>
      <c r="M874" s="144"/>
      <c r="N874" s="144"/>
      <c r="O874" s="144"/>
      <c r="P874" s="144"/>
      <c r="Q874" s="144"/>
      <c r="R874" s="144"/>
      <c r="S874" s="144"/>
      <c r="T874" s="144"/>
      <c r="U874" s="144"/>
      <c r="V874" s="144"/>
      <c r="W874" s="144"/>
      <c r="X874" s="144"/>
      <c r="Y874" s="144"/>
      <c r="Z874" s="144"/>
    </row>
    <row r="875" spans="1:26" ht="24.75">
      <c r="A875" s="144"/>
      <c r="B875" s="141"/>
      <c r="C875" s="142"/>
      <c r="D875" s="154"/>
      <c r="E875" s="143"/>
      <c r="F875" s="144"/>
      <c r="G875" s="153"/>
      <c r="H875" s="153"/>
      <c r="I875" s="144"/>
      <c r="J875" s="144"/>
      <c r="K875" s="144"/>
      <c r="L875" s="144"/>
      <c r="M875" s="144"/>
      <c r="N875" s="144"/>
      <c r="O875" s="144"/>
      <c r="P875" s="144"/>
      <c r="Q875" s="144"/>
      <c r="R875" s="144"/>
      <c r="S875" s="144"/>
      <c r="T875" s="144"/>
      <c r="U875" s="144"/>
      <c r="V875" s="144"/>
      <c r="W875" s="144"/>
      <c r="X875" s="144"/>
      <c r="Y875" s="144"/>
      <c r="Z875" s="144"/>
    </row>
    <row r="876" spans="1:26" ht="24.75">
      <c r="A876" s="144"/>
      <c r="B876" s="141"/>
      <c r="C876" s="142"/>
      <c r="D876" s="154"/>
      <c r="E876" s="143"/>
      <c r="F876" s="144"/>
      <c r="G876" s="151"/>
      <c r="H876" s="151"/>
      <c r="I876" s="144"/>
      <c r="J876" s="144"/>
      <c r="K876" s="144"/>
      <c r="L876" s="144"/>
      <c r="M876" s="144"/>
      <c r="N876" s="144"/>
      <c r="O876" s="144"/>
      <c r="P876" s="144"/>
      <c r="Q876" s="144"/>
      <c r="R876" s="144"/>
      <c r="S876" s="144"/>
      <c r="T876" s="144"/>
      <c r="U876" s="144"/>
      <c r="V876" s="144"/>
      <c r="W876" s="144"/>
      <c r="X876" s="144"/>
      <c r="Y876" s="144"/>
      <c r="Z876" s="144"/>
    </row>
    <row r="877" spans="1:26" ht="24.75">
      <c r="A877" s="144"/>
      <c r="B877" s="141"/>
      <c r="C877" s="142"/>
      <c r="D877" s="154"/>
      <c r="E877" s="143"/>
      <c r="F877" s="144"/>
      <c r="G877" s="153"/>
      <c r="H877" s="153"/>
      <c r="I877" s="144"/>
      <c r="J877" s="144"/>
      <c r="K877" s="144"/>
      <c r="L877" s="144"/>
      <c r="M877" s="144"/>
      <c r="N877" s="144"/>
      <c r="O877" s="144"/>
      <c r="P877" s="144"/>
      <c r="Q877" s="144"/>
      <c r="R877" s="144"/>
      <c r="S877" s="144"/>
      <c r="T877" s="144"/>
      <c r="U877" s="144"/>
      <c r="V877" s="144"/>
      <c r="W877" s="144"/>
      <c r="X877" s="144"/>
      <c r="Y877" s="144"/>
      <c r="Z877" s="144"/>
    </row>
    <row r="878" spans="1:26" ht="24.75">
      <c r="A878" s="144"/>
      <c r="B878" s="141"/>
      <c r="C878" s="142"/>
      <c r="D878" s="154"/>
      <c r="E878" s="143"/>
      <c r="F878" s="144"/>
      <c r="G878" s="151"/>
      <c r="H878" s="151"/>
      <c r="I878" s="144"/>
      <c r="J878" s="144"/>
      <c r="K878" s="144"/>
      <c r="L878" s="144"/>
      <c r="M878" s="144"/>
      <c r="N878" s="144"/>
      <c r="O878" s="144"/>
      <c r="P878" s="144"/>
      <c r="Q878" s="144"/>
      <c r="R878" s="144"/>
      <c r="S878" s="144"/>
      <c r="T878" s="144"/>
      <c r="U878" s="144"/>
      <c r="V878" s="144"/>
      <c r="W878" s="144"/>
      <c r="X878" s="144"/>
      <c r="Y878" s="144"/>
      <c r="Z878" s="144"/>
    </row>
    <row r="879" spans="1:26" ht="24.75">
      <c r="A879" s="144"/>
      <c r="B879" s="141"/>
      <c r="C879" s="142"/>
      <c r="D879" s="154"/>
      <c r="E879" s="143"/>
      <c r="F879" s="144"/>
      <c r="G879" s="153"/>
      <c r="H879" s="153"/>
      <c r="I879" s="144"/>
      <c r="J879" s="144"/>
      <c r="K879" s="144"/>
      <c r="L879" s="144"/>
      <c r="M879" s="144"/>
      <c r="N879" s="144"/>
      <c r="O879" s="144"/>
      <c r="P879" s="144"/>
      <c r="Q879" s="144"/>
      <c r="R879" s="144"/>
      <c r="S879" s="144"/>
      <c r="T879" s="144"/>
      <c r="U879" s="144"/>
      <c r="V879" s="144"/>
      <c r="W879" s="144"/>
      <c r="X879" s="144"/>
      <c r="Y879" s="144"/>
      <c r="Z879" s="144"/>
    </row>
    <row r="880" spans="1:26" ht="24.75">
      <c r="A880" s="144"/>
      <c r="B880" s="141"/>
      <c r="C880" s="142"/>
      <c r="D880" s="154"/>
      <c r="E880" s="143"/>
      <c r="F880" s="144"/>
      <c r="G880" s="151"/>
      <c r="H880" s="151"/>
      <c r="I880" s="144"/>
      <c r="J880" s="144"/>
      <c r="K880" s="144"/>
      <c r="L880" s="144"/>
      <c r="M880" s="144"/>
      <c r="N880" s="144"/>
      <c r="O880" s="144"/>
      <c r="P880" s="144"/>
      <c r="Q880" s="144"/>
      <c r="R880" s="144"/>
      <c r="S880" s="144"/>
      <c r="T880" s="144"/>
      <c r="U880" s="144"/>
      <c r="V880" s="144"/>
      <c r="W880" s="144"/>
      <c r="X880" s="144"/>
      <c r="Y880" s="144"/>
      <c r="Z880" s="144"/>
    </row>
    <row r="881" spans="1:26" ht="24.75">
      <c r="A881" s="144"/>
      <c r="B881" s="141"/>
      <c r="C881" s="142"/>
      <c r="D881" s="154"/>
      <c r="E881" s="143"/>
      <c r="F881" s="144"/>
      <c r="G881" s="153"/>
      <c r="H881" s="153"/>
      <c r="I881" s="144"/>
      <c r="J881" s="144"/>
      <c r="K881" s="144"/>
      <c r="L881" s="144"/>
      <c r="M881" s="144"/>
      <c r="N881" s="144"/>
      <c r="O881" s="144"/>
      <c r="P881" s="144"/>
      <c r="Q881" s="144"/>
      <c r="R881" s="144"/>
      <c r="S881" s="144"/>
      <c r="T881" s="144"/>
      <c r="U881" s="144"/>
      <c r="V881" s="144"/>
      <c r="W881" s="144"/>
      <c r="X881" s="144"/>
      <c r="Y881" s="144"/>
      <c r="Z881" s="144"/>
    </row>
    <row r="882" spans="1:26" ht="24.75">
      <c r="A882" s="144"/>
      <c r="B882" s="141"/>
      <c r="C882" s="142"/>
      <c r="D882" s="154"/>
      <c r="E882" s="143"/>
      <c r="F882" s="144"/>
      <c r="G882" s="151"/>
      <c r="H882" s="151"/>
      <c r="I882" s="144"/>
      <c r="J882" s="144"/>
      <c r="K882" s="144"/>
      <c r="L882" s="144"/>
      <c r="M882" s="144"/>
      <c r="N882" s="144"/>
      <c r="O882" s="144"/>
      <c r="P882" s="144"/>
      <c r="Q882" s="144"/>
      <c r="R882" s="144"/>
      <c r="S882" s="144"/>
      <c r="T882" s="144"/>
      <c r="U882" s="144"/>
      <c r="V882" s="144"/>
      <c r="W882" s="144"/>
      <c r="X882" s="144"/>
      <c r="Y882" s="144"/>
      <c r="Z882" s="144"/>
    </row>
    <row r="883" spans="1:26" ht="24.75">
      <c r="A883" s="144"/>
      <c r="B883" s="141"/>
      <c r="C883" s="142"/>
      <c r="D883" s="154"/>
      <c r="E883" s="143"/>
      <c r="F883" s="144"/>
      <c r="G883" s="153"/>
      <c r="H883" s="153"/>
      <c r="I883" s="144"/>
      <c r="J883" s="144"/>
      <c r="K883" s="144"/>
      <c r="L883" s="144"/>
      <c r="M883" s="144"/>
      <c r="N883" s="144"/>
      <c r="O883" s="144"/>
      <c r="P883" s="144"/>
      <c r="Q883" s="144"/>
      <c r="R883" s="144"/>
      <c r="S883" s="144"/>
      <c r="T883" s="144"/>
      <c r="U883" s="144"/>
      <c r="V883" s="144"/>
      <c r="W883" s="144"/>
      <c r="X883" s="144"/>
      <c r="Y883" s="144"/>
      <c r="Z883" s="144"/>
    </row>
    <row r="884" spans="1:26" ht="24.75">
      <c r="A884" s="144"/>
      <c r="B884" s="141"/>
      <c r="C884" s="142"/>
      <c r="D884" s="154"/>
      <c r="E884" s="143"/>
      <c r="F884" s="144"/>
      <c r="G884" s="151"/>
      <c r="H884" s="151"/>
      <c r="I884" s="144"/>
      <c r="J884" s="144"/>
      <c r="K884" s="144"/>
      <c r="L884" s="144"/>
      <c r="M884" s="144"/>
      <c r="N884" s="144"/>
      <c r="O884" s="144"/>
      <c r="P884" s="144"/>
      <c r="Q884" s="144"/>
      <c r="R884" s="144"/>
      <c r="S884" s="144"/>
      <c r="T884" s="144"/>
      <c r="U884" s="144"/>
      <c r="V884" s="144"/>
      <c r="W884" s="144"/>
      <c r="X884" s="144"/>
      <c r="Y884" s="144"/>
      <c r="Z884" s="144"/>
    </row>
    <row r="885" spans="1:26" ht="24.75">
      <c r="A885" s="144"/>
      <c r="B885" s="141"/>
      <c r="C885" s="142"/>
      <c r="D885" s="154"/>
      <c r="E885" s="143"/>
      <c r="F885" s="144"/>
      <c r="G885" s="153"/>
      <c r="H885" s="153"/>
      <c r="I885" s="144"/>
      <c r="J885" s="144"/>
      <c r="K885" s="144"/>
      <c r="L885" s="144"/>
      <c r="M885" s="144"/>
      <c r="N885" s="144"/>
      <c r="O885" s="144"/>
      <c r="P885" s="144"/>
      <c r="Q885" s="144"/>
      <c r="R885" s="144"/>
      <c r="S885" s="144"/>
      <c r="T885" s="144"/>
      <c r="U885" s="144"/>
      <c r="V885" s="144"/>
      <c r="W885" s="144"/>
      <c r="X885" s="144"/>
      <c r="Y885" s="144"/>
      <c r="Z885" s="144"/>
    </row>
    <row r="886" spans="1:26" ht="24.75">
      <c r="A886" s="144"/>
      <c r="B886" s="141"/>
      <c r="C886" s="142"/>
      <c r="D886" s="154"/>
      <c r="E886" s="143"/>
      <c r="F886" s="144"/>
      <c r="G886" s="151"/>
      <c r="H886" s="151"/>
      <c r="I886" s="144"/>
      <c r="J886" s="144"/>
      <c r="K886" s="144"/>
      <c r="L886" s="144"/>
      <c r="M886" s="144"/>
      <c r="N886" s="144"/>
      <c r="O886" s="144"/>
      <c r="P886" s="144"/>
      <c r="Q886" s="144"/>
      <c r="R886" s="144"/>
      <c r="S886" s="144"/>
      <c r="T886" s="144"/>
      <c r="U886" s="144"/>
      <c r="V886" s="144"/>
      <c r="W886" s="144"/>
      <c r="X886" s="144"/>
      <c r="Y886" s="144"/>
      <c r="Z886" s="144"/>
    </row>
    <row r="887" spans="1:26" ht="24.75">
      <c r="A887" s="144"/>
      <c r="B887" s="141"/>
      <c r="C887" s="142"/>
      <c r="D887" s="154"/>
      <c r="E887" s="143"/>
      <c r="F887" s="144"/>
      <c r="G887" s="153"/>
      <c r="H887" s="153"/>
      <c r="I887" s="144"/>
      <c r="J887" s="144"/>
      <c r="K887" s="144"/>
      <c r="L887" s="144"/>
      <c r="M887" s="144"/>
      <c r="N887" s="144"/>
      <c r="O887" s="144"/>
      <c r="P887" s="144"/>
      <c r="Q887" s="144"/>
      <c r="R887" s="144"/>
      <c r="S887" s="144"/>
      <c r="T887" s="144"/>
      <c r="U887" s="144"/>
      <c r="V887" s="144"/>
      <c r="W887" s="144"/>
      <c r="X887" s="144"/>
      <c r="Y887" s="144"/>
      <c r="Z887" s="144"/>
    </row>
    <row r="888" spans="1:26" ht="24.75">
      <c r="A888" s="144"/>
      <c r="B888" s="141"/>
      <c r="C888" s="142"/>
      <c r="D888" s="154"/>
      <c r="E888" s="143"/>
      <c r="F888" s="144"/>
      <c r="G888" s="151"/>
      <c r="H888" s="151"/>
      <c r="I888" s="144"/>
      <c r="J888" s="144"/>
      <c r="K888" s="144"/>
      <c r="L888" s="144"/>
      <c r="M888" s="144"/>
      <c r="N888" s="144"/>
      <c r="O888" s="144"/>
      <c r="P888" s="144"/>
      <c r="Q888" s="144"/>
      <c r="R888" s="144"/>
      <c r="S888" s="144"/>
      <c r="T888" s="144"/>
      <c r="U888" s="144"/>
      <c r="V888" s="144"/>
      <c r="W888" s="144"/>
      <c r="X888" s="144"/>
      <c r="Y888" s="144"/>
      <c r="Z888" s="144"/>
    </row>
    <row r="889" spans="1:26" ht="24.75">
      <c r="A889" s="144"/>
      <c r="B889" s="141"/>
      <c r="C889" s="142"/>
      <c r="D889" s="154"/>
      <c r="E889" s="143"/>
      <c r="F889" s="144"/>
      <c r="G889" s="153"/>
      <c r="H889" s="153"/>
      <c r="I889" s="144"/>
      <c r="J889" s="144"/>
      <c r="K889" s="144"/>
      <c r="L889" s="144"/>
      <c r="M889" s="144"/>
      <c r="N889" s="144"/>
      <c r="O889" s="144"/>
      <c r="P889" s="144"/>
      <c r="Q889" s="144"/>
      <c r="R889" s="144"/>
      <c r="S889" s="144"/>
      <c r="T889" s="144"/>
      <c r="U889" s="144"/>
      <c r="V889" s="144"/>
      <c r="W889" s="144"/>
      <c r="X889" s="144"/>
      <c r="Y889" s="144"/>
      <c r="Z889" s="144"/>
    </row>
    <row r="890" spans="1:26" ht="24.75">
      <c r="A890" s="144"/>
      <c r="B890" s="141"/>
      <c r="C890" s="142"/>
      <c r="D890" s="154"/>
      <c r="E890" s="143"/>
      <c r="F890" s="144"/>
      <c r="G890" s="151"/>
      <c r="H890" s="151"/>
      <c r="I890" s="144"/>
      <c r="J890" s="144"/>
      <c r="K890" s="144"/>
      <c r="L890" s="144"/>
      <c r="M890" s="144"/>
      <c r="N890" s="144"/>
      <c r="O890" s="144"/>
      <c r="P890" s="144"/>
      <c r="Q890" s="144"/>
      <c r="R890" s="144"/>
      <c r="S890" s="144"/>
      <c r="T890" s="144"/>
      <c r="U890" s="144"/>
      <c r="V890" s="144"/>
      <c r="W890" s="144"/>
      <c r="X890" s="144"/>
      <c r="Y890" s="144"/>
      <c r="Z890" s="144"/>
    </row>
    <row r="891" spans="1:26" ht="24.75">
      <c r="A891" s="144"/>
      <c r="B891" s="141"/>
      <c r="C891" s="142"/>
      <c r="D891" s="154"/>
      <c r="E891" s="143"/>
      <c r="F891" s="144"/>
      <c r="G891" s="153"/>
      <c r="H891" s="153"/>
      <c r="I891" s="144"/>
      <c r="J891" s="144"/>
      <c r="K891" s="144"/>
      <c r="L891" s="144"/>
      <c r="M891" s="144"/>
      <c r="N891" s="144"/>
      <c r="O891" s="144"/>
      <c r="P891" s="144"/>
      <c r="Q891" s="144"/>
      <c r="R891" s="144"/>
      <c r="S891" s="144"/>
      <c r="T891" s="144"/>
      <c r="U891" s="144"/>
      <c r="V891" s="144"/>
      <c r="W891" s="144"/>
      <c r="X891" s="144"/>
      <c r="Y891" s="144"/>
      <c r="Z891" s="144"/>
    </row>
    <row r="892" spans="1:26" ht="24.75">
      <c r="A892" s="144"/>
      <c r="B892" s="141"/>
      <c r="C892" s="142"/>
      <c r="D892" s="154"/>
      <c r="E892" s="143"/>
      <c r="F892" s="144"/>
      <c r="G892" s="151"/>
      <c r="H892" s="151"/>
      <c r="I892" s="144"/>
      <c r="J892" s="144"/>
      <c r="K892" s="144"/>
      <c r="L892" s="144"/>
      <c r="M892" s="144"/>
      <c r="N892" s="144"/>
      <c r="O892" s="144"/>
      <c r="P892" s="144"/>
      <c r="Q892" s="144"/>
      <c r="R892" s="144"/>
      <c r="S892" s="144"/>
      <c r="T892" s="144"/>
      <c r="U892" s="144"/>
      <c r="V892" s="144"/>
      <c r="W892" s="144"/>
      <c r="X892" s="144"/>
      <c r="Y892" s="144"/>
      <c r="Z892" s="144"/>
    </row>
    <row r="893" spans="1:26" ht="24.75">
      <c r="A893" s="144"/>
      <c r="B893" s="141"/>
      <c r="C893" s="142"/>
      <c r="D893" s="154"/>
      <c r="E893" s="143"/>
      <c r="F893" s="144"/>
      <c r="G893" s="153"/>
      <c r="H893" s="153"/>
      <c r="I893" s="144"/>
      <c r="J893" s="144"/>
      <c r="K893" s="144"/>
      <c r="L893" s="144"/>
      <c r="M893" s="144"/>
      <c r="N893" s="144"/>
      <c r="O893" s="144"/>
      <c r="P893" s="144"/>
      <c r="Q893" s="144"/>
      <c r="R893" s="144"/>
      <c r="S893" s="144"/>
      <c r="T893" s="144"/>
      <c r="U893" s="144"/>
      <c r="V893" s="144"/>
      <c r="W893" s="144"/>
      <c r="X893" s="144"/>
      <c r="Y893" s="144"/>
      <c r="Z893" s="144"/>
    </row>
    <row r="894" spans="1:26" ht="24.75">
      <c r="A894" s="144"/>
      <c r="B894" s="141"/>
      <c r="C894" s="142"/>
      <c r="D894" s="154"/>
      <c r="E894" s="143"/>
      <c r="F894" s="144"/>
      <c r="G894" s="151"/>
      <c r="H894" s="151"/>
      <c r="I894" s="144"/>
      <c r="J894" s="144"/>
      <c r="K894" s="144"/>
      <c r="L894" s="144"/>
      <c r="M894" s="144"/>
      <c r="N894" s="144"/>
      <c r="O894" s="144"/>
      <c r="P894" s="144"/>
      <c r="Q894" s="144"/>
      <c r="R894" s="144"/>
      <c r="S894" s="144"/>
      <c r="T894" s="144"/>
      <c r="U894" s="144"/>
      <c r="V894" s="144"/>
      <c r="W894" s="144"/>
      <c r="X894" s="144"/>
      <c r="Y894" s="144"/>
      <c r="Z894" s="144"/>
    </row>
    <row r="895" spans="1:26" ht="24.75">
      <c r="A895" s="144"/>
      <c r="B895" s="141"/>
      <c r="C895" s="142"/>
      <c r="D895" s="154"/>
      <c r="E895" s="143"/>
      <c r="F895" s="144"/>
      <c r="G895" s="153"/>
      <c r="H895" s="153"/>
      <c r="I895" s="144"/>
      <c r="J895" s="144"/>
      <c r="K895" s="144"/>
      <c r="L895" s="144"/>
      <c r="M895" s="144"/>
      <c r="N895" s="144"/>
      <c r="O895" s="144"/>
      <c r="P895" s="144"/>
      <c r="Q895" s="144"/>
      <c r="R895" s="144"/>
      <c r="S895" s="144"/>
      <c r="T895" s="144"/>
      <c r="U895" s="144"/>
      <c r="V895" s="144"/>
      <c r="W895" s="144"/>
      <c r="X895" s="144"/>
      <c r="Y895" s="144"/>
      <c r="Z895" s="144"/>
    </row>
    <row r="896" spans="1:26" ht="24.75">
      <c r="A896" s="144"/>
      <c r="B896" s="141"/>
      <c r="C896" s="142"/>
      <c r="D896" s="154"/>
      <c r="E896" s="143"/>
      <c r="F896" s="144"/>
      <c r="G896" s="151"/>
      <c r="H896" s="151"/>
      <c r="I896" s="144"/>
      <c r="J896" s="144"/>
      <c r="K896" s="144"/>
      <c r="L896" s="144"/>
      <c r="M896" s="144"/>
      <c r="N896" s="144"/>
      <c r="O896" s="144"/>
      <c r="P896" s="144"/>
      <c r="Q896" s="144"/>
      <c r="R896" s="144"/>
      <c r="S896" s="144"/>
      <c r="T896" s="144"/>
      <c r="U896" s="144"/>
      <c r="V896" s="144"/>
      <c r="W896" s="144"/>
      <c r="X896" s="144"/>
      <c r="Y896" s="144"/>
      <c r="Z896" s="144"/>
    </row>
    <row r="897" spans="1:26" ht="24.75">
      <c r="A897" s="144"/>
      <c r="B897" s="141"/>
      <c r="C897" s="142"/>
      <c r="D897" s="154"/>
      <c r="E897" s="143"/>
      <c r="F897" s="144"/>
      <c r="G897" s="153"/>
      <c r="H897" s="153"/>
      <c r="I897" s="144"/>
      <c r="J897" s="144"/>
      <c r="K897" s="144"/>
      <c r="L897" s="144"/>
      <c r="M897" s="144"/>
      <c r="N897" s="144"/>
      <c r="O897" s="144"/>
      <c r="P897" s="144"/>
      <c r="Q897" s="144"/>
      <c r="R897" s="144"/>
      <c r="S897" s="144"/>
      <c r="T897" s="144"/>
      <c r="U897" s="144"/>
      <c r="V897" s="144"/>
      <c r="W897" s="144"/>
      <c r="X897" s="144"/>
      <c r="Y897" s="144"/>
      <c r="Z897" s="144"/>
    </row>
    <row r="898" spans="1:26" ht="24.75">
      <c r="A898" s="144"/>
      <c r="B898" s="141"/>
      <c r="C898" s="142"/>
      <c r="D898" s="154"/>
      <c r="E898" s="143"/>
      <c r="F898" s="144"/>
      <c r="G898" s="151"/>
      <c r="H898" s="151"/>
      <c r="I898" s="144"/>
      <c r="J898" s="144"/>
      <c r="K898" s="144"/>
      <c r="L898" s="144"/>
      <c r="M898" s="144"/>
      <c r="N898" s="144"/>
      <c r="O898" s="144"/>
      <c r="P898" s="144"/>
      <c r="Q898" s="144"/>
      <c r="R898" s="144"/>
      <c r="S898" s="144"/>
      <c r="T898" s="144"/>
      <c r="U898" s="144"/>
      <c r="V898" s="144"/>
      <c r="W898" s="144"/>
      <c r="X898" s="144"/>
      <c r="Y898" s="144"/>
      <c r="Z898" s="144"/>
    </row>
    <row r="899" spans="1:26" ht="24.75">
      <c r="A899" s="144"/>
      <c r="B899" s="141"/>
      <c r="C899" s="142"/>
      <c r="D899" s="154"/>
      <c r="E899" s="143"/>
      <c r="F899" s="144"/>
      <c r="G899" s="153"/>
      <c r="H899" s="153"/>
      <c r="I899" s="144"/>
      <c r="J899" s="144"/>
      <c r="K899" s="144"/>
      <c r="L899" s="144"/>
      <c r="M899" s="144"/>
      <c r="N899" s="144"/>
      <c r="O899" s="144"/>
      <c r="P899" s="144"/>
      <c r="Q899" s="144"/>
      <c r="R899" s="144"/>
      <c r="S899" s="144"/>
      <c r="T899" s="144"/>
      <c r="U899" s="144"/>
      <c r="V899" s="144"/>
      <c r="W899" s="144"/>
      <c r="X899" s="144"/>
      <c r="Y899" s="144"/>
      <c r="Z899" s="144"/>
    </row>
    <row r="900" spans="1:26" ht="24.75">
      <c r="A900" s="144"/>
      <c r="B900" s="141"/>
      <c r="C900" s="142"/>
      <c r="D900" s="154"/>
      <c r="E900" s="143"/>
      <c r="F900" s="144"/>
      <c r="G900" s="151"/>
      <c r="H900" s="151"/>
      <c r="I900" s="144"/>
      <c r="J900" s="144"/>
      <c r="K900" s="144"/>
      <c r="L900" s="144"/>
      <c r="M900" s="144"/>
      <c r="N900" s="144"/>
      <c r="O900" s="144"/>
      <c r="P900" s="144"/>
      <c r="Q900" s="144"/>
      <c r="R900" s="144"/>
      <c r="S900" s="144"/>
      <c r="T900" s="144"/>
      <c r="U900" s="144"/>
      <c r="V900" s="144"/>
      <c r="W900" s="144"/>
      <c r="X900" s="144"/>
      <c r="Y900" s="144"/>
      <c r="Z900" s="144"/>
    </row>
    <row r="901" spans="1:26" ht="24.75">
      <c r="A901" s="144"/>
      <c r="B901" s="141"/>
      <c r="C901" s="142"/>
      <c r="D901" s="154"/>
      <c r="E901" s="143"/>
      <c r="F901" s="144"/>
      <c r="G901" s="153"/>
      <c r="H901" s="153"/>
      <c r="I901" s="144"/>
      <c r="J901" s="144"/>
      <c r="K901" s="144"/>
      <c r="L901" s="144"/>
      <c r="M901" s="144"/>
      <c r="N901" s="144"/>
      <c r="O901" s="144"/>
      <c r="P901" s="144"/>
      <c r="Q901" s="144"/>
      <c r="R901" s="144"/>
      <c r="S901" s="144"/>
      <c r="T901" s="144"/>
      <c r="U901" s="144"/>
      <c r="V901" s="144"/>
      <c r="W901" s="144"/>
      <c r="X901" s="144"/>
      <c r="Y901" s="144"/>
      <c r="Z901" s="144"/>
    </row>
    <row r="902" spans="1:26" ht="24.75">
      <c r="A902" s="144"/>
      <c r="B902" s="141"/>
      <c r="C902" s="142"/>
      <c r="D902" s="154"/>
      <c r="E902" s="143"/>
      <c r="F902" s="144"/>
      <c r="G902" s="151"/>
      <c r="H902" s="151"/>
      <c r="I902" s="144"/>
      <c r="J902" s="144"/>
      <c r="K902" s="144"/>
      <c r="L902" s="144"/>
      <c r="M902" s="144"/>
      <c r="N902" s="144"/>
      <c r="O902" s="144"/>
      <c r="P902" s="144"/>
      <c r="Q902" s="144"/>
      <c r="R902" s="144"/>
      <c r="S902" s="144"/>
      <c r="T902" s="144"/>
      <c r="U902" s="144"/>
      <c r="V902" s="144"/>
      <c r="W902" s="144"/>
      <c r="X902" s="144"/>
      <c r="Y902" s="144"/>
      <c r="Z902" s="144"/>
    </row>
    <row r="903" spans="1:26" ht="24.75">
      <c r="A903" s="144"/>
      <c r="B903" s="141"/>
      <c r="C903" s="142"/>
      <c r="D903" s="154"/>
      <c r="E903" s="143"/>
      <c r="F903" s="144"/>
      <c r="G903" s="153"/>
      <c r="H903" s="153"/>
      <c r="I903" s="144"/>
      <c r="J903" s="144"/>
      <c r="K903" s="144"/>
      <c r="L903" s="144"/>
      <c r="M903" s="144"/>
      <c r="N903" s="144"/>
      <c r="O903" s="144"/>
      <c r="P903" s="144"/>
      <c r="Q903" s="144"/>
      <c r="R903" s="144"/>
      <c r="S903" s="144"/>
      <c r="T903" s="144"/>
      <c r="U903" s="144"/>
      <c r="V903" s="144"/>
      <c r="W903" s="144"/>
      <c r="X903" s="144"/>
      <c r="Y903" s="144"/>
      <c r="Z903" s="144"/>
    </row>
    <row r="904" spans="1:26" ht="24.75">
      <c r="A904" s="144"/>
      <c r="B904" s="141"/>
      <c r="C904" s="142"/>
      <c r="D904" s="154"/>
      <c r="E904" s="143"/>
      <c r="F904" s="144"/>
      <c r="G904" s="151"/>
      <c r="H904" s="151"/>
      <c r="I904" s="144"/>
      <c r="J904" s="144"/>
      <c r="K904" s="144"/>
      <c r="L904" s="144"/>
      <c r="M904" s="144"/>
      <c r="N904" s="144"/>
      <c r="O904" s="144"/>
      <c r="P904" s="144"/>
      <c r="Q904" s="144"/>
      <c r="R904" s="144"/>
      <c r="S904" s="144"/>
      <c r="T904" s="144"/>
      <c r="U904" s="144"/>
      <c r="V904" s="144"/>
      <c r="W904" s="144"/>
      <c r="X904" s="144"/>
      <c r="Y904" s="144"/>
      <c r="Z904" s="144"/>
    </row>
    <row r="905" spans="1:26" ht="24.75">
      <c r="A905" s="144"/>
      <c r="B905" s="141"/>
      <c r="C905" s="142"/>
      <c r="D905" s="154"/>
      <c r="E905" s="143"/>
      <c r="F905" s="144"/>
      <c r="G905" s="153"/>
      <c r="H905" s="153"/>
      <c r="I905" s="144"/>
      <c r="J905" s="144"/>
      <c r="K905" s="144"/>
      <c r="L905" s="144"/>
      <c r="M905" s="144"/>
      <c r="N905" s="144"/>
      <c r="O905" s="144"/>
      <c r="P905" s="144"/>
      <c r="Q905" s="144"/>
      <c r="R905" s="144"/>
      <c r="S905" s="144"/>
      <c r="T905" s="144"/>
      <c r="U905" s="144"/>
      <c r="V905" s="144"/>
      <c r="W905" s="144"/>
      <c r="X905" s="144"/>
      <c r="Y905" s="144"/>
      <c r="Z905" s="144"/>
    </row>
    <row r="906" spans="1:26" ht="24.75">
      <c r="A906" s="144"/>
      <c r="B906" s="141"/>
      <c r="C906" s="142"/>
      <c r="D906" s="154"/>
      <c r="E906" s="143"/>
      <c r="F906" s="144"/>
      <c r="G906" s="151"/>
      <c r="H906" s="151"/>
      <c r="I906" s="144"/>
      <c r="J906" s="144"/>
      <c r="K906" s="144"/>
      <c r="L906" s="144"/>
      <c r="M906" s="144"/>
      <c r="N906" s="144"/>
      <c r="O906" s="144"/>
      <c r="P906" s="144"/>
      <c r="Q906" s="144"/>
      <c r="R906" s="144"/>
      <c r="S906" s="144"/>
      <c r="T906" s="144"/>
      <c r="U906" s="144"/>
      <c r="V906" s="144"/>
      <c r="W906" s="144"/>
      <c r="X906" s="144"/>
      <c r="Y906" s="144"/>
      <c r="Z906" s="144"/>
    </row>
    <row r="907" spans="1:26" ht="24.75">
      <c r="A907" s="144"/>
      <c r="B907" s="141"/>
      <c r="C907" s="142"/>
      <c r="D907" s="154"/>
      <c r="E907" s="143"/>
      <c r="F907" s="144"/>
      <c r="G907" s="153"/>
      <c r="H907" s="153"/>
      <c r="I907" s="144"/>
      <c r="J907" s="144"/>
      <c r="K907" s="144"/>
      <c r="L907" s="144"/>
      <c r="M907" s="144"/>
      <c r="N907" s="144"/>
      <c r="O907" s="144"/>
      <c r="P907" s="144"/>
      <c r="Q907" s="144"/>
      <c r="R907" s="144"/>
      <c r="S907" s="144"/>
      <c r="T907" s="144"/>
      <c r="U907" s="144"/>
      <c r="V907" s="144"/>
      <c r="W907" s="144"/>
      <c r="X907" s="144"/>
      <c r="Y907" s="144"/>
      <c r="Z907" s="144"/>
    </row>
    <row r="908" spans="1:26" ht="24.75">
      <c r="A908" s="144"/>
      <c r="B908" s="141"/>
      <c r="C908" s="142"/>
      <c r="D908" s="154"/>
      <c r="E908" s="143"/>
      <c r="F908" s="144"/>
      <c r="G908" s="151"/>
      <c r="H908" s="151"/>
      <c r="I908" s="144"/>
      <c r="J908" s="144"/>
      <c r="K908" s="144"/>
      <c r="L908" s="144"/>
      <c r="M908" s="144"/>
      <c r="N908" s="144"/>
      <c r="O908" s="144"/>
      <c r="P908" s="144"/>
      <c r="Q908" s="144"/>
      <c r="R908" s="144"/>
      <c r="S908" s="144"/>
      <c r="T908" s="144"/>
      <c r="U908" s="144"/>
      <c r="V908" s="144"/>
      <c r="W908" s="144"/>
      <c r="X908" s="144"/>
      <c r="Y908" s="144"/>
      <c r="Z908" s="144"/>
    </row>
    <row r="909" spans="1:26" ht="24.75">
      <c r="A909" s="144"/>
      <c r="B909" s="141"/>
      <c r="C909" s="142"/>
      <c r="D909" s="154"/>
      <c r="E909" s="143"/>
      <c r="F909" s="144"/>
      <c r="G909" s="153"/>
      <c r="H909" s="153"/>
      <c r="I909" s="144"/>
      <c r="J909" s="144"/>
      <c r="K909" s="144"/>
      <c r="L909" s="144"/>
      <c r="M909" s="144"/>
      <c r="N909" s="144"/>
      <c r="O909" s="144"/>
      <c r="P909" s="144"/>
      <c r="Q909" s="144"/>
      <c r="R909" s="144"/>
      <c r="S909" s="144"/>
      <c r="T909" s="144"/>
      <c r="U909" s="144"/>
      <c r="V909" s="144"/>
      <c r="W909" s="144"/>
      <c r="X909" s="144"/>
      <c r="Y909" s="144"/>
      <c r="Z909" s="144"/>
    </row>
    <row r="910" spans="1:26" ht="24.75">
      <c r="A910" s="144"/>
      <c r="B910" s="141"/>
      <c r="C910" s="142"/>
      <c r="D910" s="154"/>
      <c r="E910" s="143"/>
      <c r="F910" s="144"/>
      <c r="G910" s="151"/>
      <c r="H910" s="151"/>
      <c r="I910" s="144"/>
      <c r="J910" s="144"/>
      <c r="K910" s="144"/>
      <c r="L910" s="144"/>
      <c r="M910" s="144"/>
      <c r="N910" s="144"/>
      <c r="O910" s="144"/>
      <c r="P910" s="144"/>
      <c r="Q910" s="144"/>
      <c r="R910" s="144"/>
      <c r="S910" s="144"/>
      <c r="T910" s="144"/>
      <c r="U910" s="144"/>
      <c r="V910" s="144"/>
      <c r="W910" s="144"/>
      <c r="X910" s="144"/>
      <c r="Y910" s="144"/>
      <c r="Z910" s="144"/>
    </row>
    <row r="911" spans="1:26" ht="24.75">
      <c r="A911" s="144"/>
      <c r="B911" s="141"/>
      <c r="C911" s="142"/>
      <c r="D911" s="154"/>
      <c r="E911" s="143"/>
      <c r="F911" s="144"/>
      <c r="G911" s="153"/>
      <c r="H911" s="153"/>
      <c r="I911" s="144"/>
      <c r="J911" s="144"/>
      <c r="K911" s="144"/>
      <c r="L911" s="144"/>
      <c r="M911" s="144"/>
      <c r="N911" s="144"/>
      <c r="O911" s="144"/>
      <c r="P911" s="144"/>
      <c r="Q911" s="144"/>
      <c r="R911" s="144"/>
      <c r="S911" s="144"/>
      <c r="T911" s="144"/>
      <c r="U911" s="144"/>
      <c r="V911" s="144"/>
      <c r="W911" s="144"/>
      <c r="X911" s="144"/>
      <c r="Y911" s="144"/>
      <c r="Z911" s="144"/>
    </row>
    <row r="912" spans="1:26" ht="24.75">
      <c r="A912" s="144"/>
      <c r="B912" s="141"/>
      <c r="C912" s="142"/>
      <c r="D912" s="154"/>
      <c r="E912" s="143"/>
      <c r="F912" s="144"/>
      <c r="G912" s="151"/>
      <c r="H912" s="151"/>
      <c r="I912" s="144"/>
      <c r="J912" s="144"/>
      <c r="K912" s="144"/>
      <c r="L912" s="144"/>
      <c r="M912" s="144"/>
      <c r="N912" s="144"/>
      <c r="O912" s="144"/>
      <c r="P912" s="144"/>
      <c r="Q912" s="144"/>
      <c r="R912" s="144"/>
      <c r="S912" s="144"/>
      <c r="T912" s="144"/>
      <c r="U912" s="144"/>
      <c r="V912" s="144"/>
      <c r="W912" s="144"/>
      <c r="X912" s="144"/>
      <c r="Y912" s="144"/>
      <c r="Z912" s="144"/>
    </row>
    <row r="913" spans="1:26" ht="24.75">
      <c r="A913" s="144"/>
      <c r="B913" s="141"/>
      <c r="C913" s="142"/>
      <c r="D913" s="154"/>
      <c r="E913" s="143"/>
      <c r="F913" s="144"/>
      <c r="G913" s="153"/>
      <c r="H913" s="153"/>
      <c r="I913" s="144"/>
      <c r="J913" s="144"/>
      <c r="K913" s="144"/>
      <c r="L913" s="144"/>
      <c r="M913" s="144"/>
      <c r="N913" s="144"/>
      <c r="O913" s="144"/>
      <c r="P913" s="144"/>
      <c r="Q913" s="144"/>
      <c r="R913" s="144"/>
      <c r="S913" s="144"/>
      <c r="T913" s="144"/>
      <c r="U913" s="144"/>
      <c r="V913" s="144"/>
      <c r="W913" s="144"/>
      <c r="X913" s="144"/>
      <c r="Y913" s="144"/>
      <c r="Z913" s="144"/>
    </row>
    <row r="914" spans="1:26" ht="24.75">
      <c r="A914" s="144"/>
      <c r="B914" s="141"/>
      <c r="C914" s="142"/>
      <c r="D914" s="154"/>
      <c r="E914" s="143"/>
      <c r="F914" s="144"/>
      <c r="G914" s="151"/>
      <c r="H914" s="151"/>
      <c r="I914" s="144"/>
      <c r="J914" s="144"/>
      <c r="K914" s="144"/>
      <c r="L914" s="144"/>
      <c r="M914" s="144"/>
      <c r="N914" s="144"/>
      <c r="O914" s="144"/>
      <c r="P914" s="144"/>
      <c r="Q914" s="144"/>
      <c r="R914" s="144"/>
      <c r="S914" s="144"/>
      <c r="T914" s="144"/>
      <c r="U914" s="144"/>
      <c r="V914" s="144"/>
      <c r="W914" s="144"/>
      <c r="X914" s="144"/>
      <c r="Y914" s="144"/>
      <c r="Z914" s="144"/>
    </row>
    <row r="915" spans="1:26" ht="24.75">
      <c r="A915" s="144"/>
      <c r="B915" s="141"/>
      <c r="C915" s="142"/>
      <c r="D915" s="154"/>
      <c r="E915" s="143"/>
      <c r="F915" s="144"/>
      <c r="G915" s="153"/>
      <c r="H915" s="153"/>
      <c r="I915" s="144"/>
      <c r="J915" s="144"/>
      <c r="K915" s="144"/>
      <c r="L915" s="144"/>
      <c r="M915" s="144"/>
      <c r="N915" s="144"/>
      <c r="O915" s="144"/>
      <c r="P915" s="144"/>
      <c r="Q915" s="144"/>
      <c r="R915" s="144"/>
      <c r="S915" s="144"/>
      <c r="T915" s="144"/>
      <c r="U915" s="144"/>
      <c r="V915" s="144"/>
      <c r="W915" s="144"/>
      <c r="X915" s="144"/>
      <c r="Y915" s="144"/>
      <c r="Z915" s="144"/>
    </row>
    <row r="916" spans="1:26" ht="24.75">
      <c r="A916" s="144"/>
      <c r="B916" s="141"/>
      <c r="C916" s="142"/>
      <c r="D916" s="154"/>
      <c r="E916" s="143"/>
      <c r="F916" s="144"/>
      <c r="G916" s="151"/>
      <c r="H916" s="151"/>
      <c r="I916" s="144"/>
      <c r="J916" s="144"/>
      <c r="K916" s="144"/>
      <c r="L916" s="144"/>
      <c r="M916" s="144"/>
      <c r="N916" s="144"/>
      <c r="O916" s="144"/>
      <c r="P916" s="144"/>
      <c r="Q916" s="144"/>
      <c r="R916" s="144"/>
      <c r="S916" s="144"/>
      <c r="T916" s="144"/>
      <c r="U916" s="144"/>
      <c r="V916" s="144"/>
      <c r="W916" s="144"/>
      <c r="X916" s="144"/>
      <c r="Y916" s="144"/>
      <c r="Z916" s="144"/>
    </row>
    <row r="917" spans="1:26" ht="24.75">
      <c r="A917" s="144"/>
      <c r="B917" s="141"/>
      <c r="C917" s="142"/>
      <c r="D917" s="154"/>
      <c r="E917" s="143"/>
      <c r="F917" s="144"/>
      <c r="G917" s="153"/>
      <c r="H917" s="153"/>
      <c r="I917" s="144"/>
      <c r="J917" s="144"/>
      <c r="K917" s="144"/>
      <c r="L917" s="144"/>
      <c r="M917" s="144"/>
      <c r="N917" s="144"/>
      <c r="O917" s="144"/>
      <c r="P917" s="144"/>
      <c r="Q917" s="144"/>
      <c r="R917" s="144"/>
      <c r="S917" s="144"/>
      <c r="T917" s="144"/>
      <c r="U917" s="144"/>
      <c r="V917" s="144"/>
      <c r="W917" s="144"/>
      <c r="X917" s="144"/>
      <c r="Y917" s="144"/>
      <c r="Z917" s="144"/>
    </row>
    <row r="918" spans="1:26" ht="24.75">
      <c r="A918" s="144"/>
      <c r="B918" s="141"/>
      <c r="C918" s="142"/>
      <c r="D918" s="154"/>
      <c r="E918" s="143"/>
      <c r="F918" s="144"/>
      <c r="G918" s="151"/>
      <c r="H918" s="151"/>
      <c r="I918" s="144"/>
      <c r="J918" s="144"/>
      <c r="K918" s="144"/>
      <c r="L918" s="144"/>
      <c r="M918" s="144"/>
      <c r="N918" s="144"/>
      <c r="O918" s="144"/>
      <c r="P918" s="144"/>
      <c r="Q918" s="144"/>
      <c r="R918" s="144"/>
      <c r="S918" s="144"/>
      <c r="T918" s="144"/>
      <c r="U918" s="144"/>
      <c r="V918" s="144"/>
      <c r="W918" s="144"/>
      <c r="X918" s="144"/>
      <c r="Y918" s="144"/>
      <c r="Z918" s="144"/>
    </row>
    <row r="919" spans="1:26" ht="24.75">
      <c r="A919" s="144"/>
      <c r="B919" s="141"/>
      <c r="C919" s="142"/>
      <c r="D919" s="154"/>
      <c r="E919" s="143"/>
      <c r="F919" s="144"/>
      <c r="G919" s="153"/>
      <c r="H919" s="153"/>
      <c r="I919" s="144"/>
      <c r="J919" s="144"/>
      <c r="K919" s="144"/>
      <c r="L919" s="144"/>
      <c r="M919" s="144"/>
      <c r="N919" s="144"/>
      <c r="O919" s="144"/>
      <c r="P919" s="144"/>
      <c r="Q919" s="144"/>
      <c r="R919" s="144"/>
      <c r="S919" s="144"/>
      <c r="T919" s="144"/>
      <c r="U919" s="144"/>
      <c r="V919" s="144"/>
      <c r="W919" s="144"/>
      <c r="X919" s="144"/>
      <c r="Y919" s="144"/>
      <c r="Z919" s="144"/>
    </row>
    <row r="920" spans="1:26" ht="24.75">
      <c r="A920" s="144"/>
      <c r="B920" s="141"/>
      <c r="C920" s="142"/>
      <c r="D920" s="154"/>
      <c r="E920" s="143"/>
      <c r="F920" s="144"/>
      <c r="G920" s="151"/>
      <c r="H920" s="151"/>
      <c r="I920" s="144"/>
      <c r="J920" s="144"/>
      <c r="K920" s="144"/>
      <c r="L920" s="144"/>
      <c r="M920" s="144"/>
      <c r="N920" s="144"/>
      <c r="O920" s="144"/>
      <c r="P920" s="144"/>
      <c r="Q920" s="144"/>
      <c r="R920" s="144"/>
      <c r="S920" s="144"/>
      <c r="T920" s="144"/>
      <c r="U920" s="144"/>
      <c r="V920" s="144"/>
      <c r="W920" s="144"/>
      <c r="X920" s="144"/>
      <c r="Y920" s="144"/>
      <c r="Z920" s="144"/>
    </row>
    <row r="921" spans="1:26" ht="24.75">
      <c r="A921" s="144"/>
      <c r="B921" s="141"/>
      <c r="C921" s="142"/>
      <c r="D921" s="154"/>
      <c r="E921" s="143"/>
      <c r="F921" s="144"/>
      <c r="G921" s="153"/>
      <c r="H921" s="153"/>
      <c r="I921" s="144"/>
      <c r="J921" s="144"/>
      <c r="K921" s="144"/>
      <c r="L921" s="144"/>
      <c r="M921" s="144"/>
      <c r="N921" s="144"/>
      <c r="O921" s="144"/>
      <c r="P921" s="144"/>
      <c r="Q921" s="144"/>
      <c r="R921" s="144"/>
      <c r="S921" s="144"/>
      <c r="T921" s="144"/>
      <c r="U921" s="144"/>
      <c r="V921" s="144"/>
      <c r="W921" s="144"/>
      <c r="X921" s="144"/>
      <c r="Y921" s="144"/>
      <c r="Z921" s="144"/>
    </row>
    <row r="922" spans="1:26" ht="24.75">
      <c r="A922" s="144"/>
      <c r="B922" s="141"/>
      <c r="C922" s="142"/>
      <c r="D922" s="154"/>
      <c r="E922" s="143"/>
      <c r="F922" s="144"/>
      <c r="G922" s="151"/>
      <c r="H922" s="151"/>
      <c r="I922" s="144"/>
      <c r="J922" s="144"/>
      <c r="K922" s="144"/>
      <c r="L922" s="144"/>
      <c r="M922" s="144"/>
      <c r="N922" s="144"/>
      <c r="O922" s="144"/>
      <c r="P922" s="144"/>
      <c r="Q922" s="144"/>
      <c r="R922" s="144"/>
      <c r="S922" s="144"/>
      <c r="T922" s="144"/>
      <c r="U922" s="144"/>
      <c r="V922" s="144"/>
      <c r="W922" s="144"/>
      <c r="X922" s="144"/>
      <c r="Y922" s="144"/>
      <c r="Z922" s="144"/>
    </row>
    <row r="923" spans="1:26" ht="24.75">
      <c r="A923" s="144"/>
      <c r="B923" s="141"/>
      <c r="C923" s="142"/>
      <c r="D923" s="154"/>
      <c r="E923" s="143"/>
      <c r="F923" s="144"/>
      <c r="G923" s="153"/>
      <c r="H923" s="153"/>
      <c r="I923" s="144"/>
      <c r="J923" s="144"/>
      <c r="K923" s="144"/>
      <c r="L923" s="144"/>
      <c r="M923" s="144"/>
      <c r="N923" s="144"/>
      <c r="O923" s="144"/>
      <c r="P923" s="144"/>
      <c r="Q923" s="144"/>
      <c r="R923" s="144"/>
      <c r="S923" s="144"/>
      <c r="T923" s="144"/>
      <c r="U923" s="144"/>
      <c r="V923" s="144"/>
      <c r="W923" s="144"/>
      <c r="X923" s="144"/>
      <c r="Y923" s="144"/>
      <c r="Z923" s="144"/>
    </row>
    <row r="924" spans="1:26" ht="24.75">
      <c r="A924" s="144"/>
      <c r="B924" s="141"/>
      <c r="C924" s="142"/>
      <c r="D924" s="154"/>
      <c r="E924" s="143"/>
      <c r="F924" s="144"/>
      <c r="G924" s="151"/>
      <c r="H924" s="151"/>
      <c r="I924" s="144"/>
      <c r="J924" s="144"/>
      <c r="K924" s="144"/>
      <c r="L924" s="144"/>
      <c r="M924" s="144"/>
      <c r="N924" s="144"/>
      <c r="O924" s="144"/>
      <c r="P924" s="144"/>
      <c r="Q924" s="144"/>
      <c r="R924" s="144"/>
      <c r="S924" s="144"/>
      <c r="T924" s="144"/>
      <c r="U924" s="144"/>
      <c r="V924" s="144"/>
      <c r="W924" s="144"/>
      <c r="X924" s="144"/>
      <c r="Y924" s="144"/>
      <c r="Z924" s="144"/>
    </row>
    <row r="925" spans="1:26" ht="24.75">
      <c r="A925" s="144"/>
      <c r="B925" s="141"/>
      <c r="C925" s="142"/>
      <c r="D925" s="154"/>
      <c r="E925" s="143"/>
      <c r="F925" s="144"/>
      <c r="G925" s="153"/>
      <c r="H925" s="153"/>
      <c r="I925" s="144"/>
      <c r="J925" s="144"/>
      <c r="K925" s="144"/>
      <c r="L925" s="144"/>
      <c r="M925" s="144"/>
      <c r="N925" s="144"/>
      <c r="O925" s="144"/>
      <c r="P925" s="144"/>
      <c r="Q925" s="144"/>
      <c r="R925" s="144"/>
      <c r="S925" s="144"/>
      <c r="T925" s="144"/>
      <c r="U925" s="144"/>
      <c r="V925" s="144"/>
      <c r="W925" s="144"/>
      <c r="X925" s="144"/>
      <c r="Y925" s="144"/>
      <c r="Z925" s="144"/>
    </row>
    <row r="926" spans="1:26" ht="24.75">
      <c r="A926" s="144"/>
      <c r="B926" s="141"/>
      <c r="C926" s="142"/>
      <c r="D926" s="154"/>
      <c r="E926" s="143"/>
      <c r="F926" s="144"/>
      <c r="G926" s="151"/>
      <c r="H926" s="151"/>
      <c r="I926" s="144"/>
      <c r="J926" s="144"/>
      <c r="K926" s="144"/>
      <c r="L926" s="144"/>
      <c r="M926" s="144"/>
      <c r="N926" s="144"/>
      <c r="O926" s="144"/>
      <c r="P926" s="144"/>
      <c r="Q926" s="144"/>
      <c r="R926" s="144"/>
      <c r="S926" s="144"/>
      <c r="T926" s="144"/>
      <c r="U926" s="144"/>
      <c r="V926" s="144"/>
      <c r="W926" s="144"/>
      <c r="X926" s="144"/>
      <c r="Y926" s="144"/>
      <c r="Z926" s="144"/>
    </row>
    <row r="927" spans="1:26" ht="24.75">
      <c r="A927" s="144"/>
      <c r="B927" s="141"/>
      <c r="C927" s="142"/>
      <c r="D927" s="154"/>
      <c r="E927" s="143"/>
      <c r="F927" s="144"/>
      <c r="G927" s="153"/>
      <c r="H927" s="153"/>
      <c r="I927" s="144"/>
      <c r="J927" s="144"/>
      <c r="K927" s="144"/>
      <c r="L927" s="144"/>
      <c r="M927" s="144"/>
      <c r="N927" s="144"/>
      <c r="O927" s="144"/>
      <c r="P927" s="144"/>
      <c r="Q927" s="144"/>
      <c r="R927" s="144"/>
      <c r="S927" s="144"/>
      <c r="T927" s="144"/>
      <c r="U927" s="144"/>
      <c r="V927" s="144"/>
      <c r="W927" s="144"/>
      <c r="X927" s="144"/>
      <c r="Y927" s="144"/>
      <c r="Z927" s="144"/>
    </row>
    <row r="928" spans="1:26" ht="24.75">
      <c r="A928" s="144"/>
      <c r="B928" s="141"/>
      <c r="C928" s="142"/>
      <c r="D928" s="154"/>
      <c r="E928" s="143"/>
      <c r="F928" s="144"/>
      <c r="G928" s="151"/>
      <c r="H928" s="151"/>
      <c r="I928" s="144"/>
      <c r="J928" s="144"/>
      <c r="K928" s="144"/>
      <c r="L928" s="144"/>
      <c r="M928" s="144"/>
      <c r="N928" s="144"/>
      <c r="O928" s="144"/>
      <c r="P928" s="144"/>
      <c r="Q928" s="144"/>
      <c r="R928" s="144"/>
      <c r="S928" s="144"/>
      <c r="T928" s="144"/>
      <c r="U928" s="144"/>
      <c r="V928" s="144"/>
      <c r="W928" s="144"/>
      <c r="X928" s="144"/>
      <c r="Y928" s="144"/>
      <c r="Z928" s="144"/>
    </row>
    <row r="929" spans="1:26" ht="24.75">
      <c r="A929" s="144"/>
      <c r="B929" s="141"/>
      <c r="C929" s="142"/>
      <c r="D929" s="154"/>
      <c r="E929" s="143"/>
      <c r="F929" s="144"/>
      <c r="G929" s="153"/>
      <c r="H929" s="153"/>
      <c r="I929" s="144"/>
      <c r="J929" s="144"/>
      <c r="K929" s="144"/>
      <c r="L929" s="144"/>
      <c r="M929" s="144"/>
      <c r="N929" s="144"/>
      <c r="O929" s="144"/>
      <c r="P929" s="144"/>
      <c r="Q929" s="144"/>
      <c r="R929" s="144"/>
      <c r="S929" s="144"/>
      <c r="T929" s="144"/>
      <c r="U929" s="144"/>
      <c r="V929" s="144"/>
      <c r="W929" s="144"/>
      <c r="X929" s="144"/>
      <c r="Y929" s="144"/>
      <c r="Z929" s="144"/>
    </row>
    <row r="930" spans="1:26" ht="24.75">
      <c r="A930" s="144"/>
      <c r="B930" s="141"/>
      <c r="C930" s="142"/>
      <c r="D930" s="154"/>
      <c r="E930" s="143"/>
      <c r="F930" s="144"/>
      <c r="G930" s="151"/>
      <c r="H930" s="151"/>
      <c r="I930" s="144"/>
      <c r="J930" s="144"/>
      <c r="K930" s="144"/>
      <c r="L930" s="144"/>
      <c r="M930" s="144"/>
      <c r="N930" s="144"/>
      <c r="O930" s="144"/>
      <c r="P930" s="144"/>
      <c r="Q930" s="144"/>
      <c r="R930" s="144"/>
      <c r="S930" s="144"/>
      <c r="T930" s="144"/>
      <c r="U930" s="144"/>
      <c r="V930" s="144"/>
      <c r="W930" s="144"/>
      <c r="X930" s="144"/>
      <c r="Y930" s="144"/>
      <c r="Z930" s="144"/>
    </row>
    <row r="931" spans="1:26" ht="24.75">
      <c r="A931" s="144"/>
      <c r="B931" s="141"/>
      <c r="C931" s="142"/>
      <c r="D931" s="154"/>
      <c r="E931" s="143"/>
      <c r="F931" s="144"/>
      <c r="G931" s="153"/>
      <c r="H931" s="153"/>
      <c r="I931" s="144"/>
      <c r="J931" s="144"/>
      <c r="K931" s="144"/>
      <c r="L931" s="144"/>
      <c r="M931" s="144"/>
      <c r="N931" s="144"/>
      <c r="O931" s="144"/>
      <c r="P931" s="144"/>
      <c r="Q931" s="144"/>
      <c r="R931" s="144"/>
      <c r="S931" s="144"/>
      <c r="T931" s="144"/>
      <c r="U931" s="144"/>
      <c r="V931" s="144"/>
      <c r="W931" s="144"/>
      <c r="X931" s="144"/>
      <c r="Y931" s="144"/>
      <c r="Z931" s="144"/>
    </row>
    <row r="932" spans="1:26" ht="24.75">
      <c r="A932" s="144"/>
      <c r="B932" s="141"/>
      <c r="C932" s="142"/>
      <c r="D932" s="154"/>
      <c r="E932" s="143"/>
      <c r="F932" s="144"/>
      <c r="G932" s="151"/>
      <c r="H932" s="151"/>
      <c r="I932" s="144"/>
      <c r="J932" s="144"/>
      <c r="K932" s="144"/>
      <c r="L932" s="144"/>
      <c r="M932" s="144"/>
      <c r="N932" s="144"/>
      <c r="O932" s="144"/>
      <c r="P932" s="144"/>
      <c r="Q932" s="144"/>
      <c r="R932" s="144"/>
      <c r="S932" s="144"/>
      <c r="T932" s="144"/>
      <c r="U932" s="144"/>
      <c r="V932" s="144"/>
      <c r="W932" s="144"/>
      <c r="X932" s="144"/>
      <c r="Y932" s="144"/>
      <c r="Z932" s="144"/>
    </row>
    <row r="933" spans="1:26" ht="24.75">
      <c r="A933" s="144"/>
      <c r="B933" s="141"/>
      <c r="C933" s="142"/>
      <c r="D933" s="154"/>
      <c r="E933" s="143"/>
      <c r="F933" s="144"/>
      <c r="G933" s="153"/>
      <c r="H933" s="153"/>
      <c r="I933" s="144"/>
      <c r="J933" s="144"/>
      <c r="K933" s="144"/>
      <c r="L933" s="144"/>
      <c r="M933" s="144"/>
      <c r="N933" s="144"/>
      <c r="O933" s="144"/>
      <c r="P933" s="144"/>
      <c r="Q933" s="144"/>
      <c r="R933" s="144"/>
      <c r="S933" s="144"/>
      <c r="T933" s="144"/>
      <c r="U933" s="144"/>
      <c r="V933" s="144"/>
      <c r="W933" s="144"/>
      <c r="X933" s="144"/>
      <c r="Y933" s="144"/>
      <c r="Z933" s="144"/>
    </row>
    <row r="934" spans="1:26" ht="24.75">
      <c r="A934" s="144"/>
      <c r="B934" s="141"/>
      <c r="C934" s="142"/>
      <c r="D934" s="154"/>
      <c r="E934" s="143"/>
      <c r="F934" s="144"/>
      <c r="G934" s="151"/>
      <c r="H934" s="151"/>
      <c r="I934" s="144"/>
      <c r="J934" s="144"/>
      <c r="K934" s="144"/>
      <c r="L934" s="144"/>
      <c r="M934" s="144"/>
      <c r="N934" s="144"/>
      <c r="O934" s="144"/>
      <c r="P934" s="144"/>
      <c r="Q934" s="144"/>
      <c r="R934" s="144"/>
      <c r="S934" s="144"/>
      <c r="T934" s="144"/>
      <c r="U934" s="144"/>
      <c r="V934" s="144"/>
      <c r="W934" s="144"/>
      <c r="X934" s="144"/>
      <c r="Y934" s="144"/>
      <c r="Z934" s="144"/>
    </row>
    <row r="935" spans="1:26" ht="24.75">
      <c r="A935" s="144"/>
      <c r="B935" s="141"/>
      <c r="C935" s="142"/>
      <c r="D935" s="154"/>
      <c r="E935" s="143"/>
      <c r="F935" s="144"/>
      <c r="G935" s="153"/>
      <c r="H935" s="153"/>
      <c r="I935" s="144"/>
      <c r="J935" s="144"/>
      <c r="K935" s="144"/>
      <c r="L935" s="144"/>
      <c r="M935" s="144"/>
      <c r="N935" s="144"/>
      <c r="O935" s="144"/>
      <c r="P935" s="144"/>
      <c r="Q935" s="144"/>
      <c r="R935" s="144"/>
      <c r="S935" s="144"/>
      <c r="T935" s="144"/>
      <c r="U935" s="144"/>
      <c r="V935" s="144"/>
      <c r="W935" s="144"/>
      <c r="X935" s="144"/>
      <c r="Y935" s="144"/>
      <c r="Z935" s="144"/>
    </row>
    <row r="936" spans="1:26" ht="24.75">
      <c r="A936" s="144"/>
      <c r="B936" s="141"/>
      <c r="C936" s="142"/>
      <c r="D936" s="154"/>
      <c r="E936" s="143"/>
      <c r="F936" s="144"/>
      <c r="G936" s="151"/>
      <c r="H936" s="151"/>
      <c r="I936" s="144"/>
      <c r="J936" s="144"/>
      <c r="K936" s="144"/>
      <c r="L936" s="144"/>
      <c r="M936" s="144"/>
      <c r="N936" s="144"/>
      <c r="O936" s="144"/>
      <c r="P936" s="144"/>
      <c r="Q936" s="144"/>
      <c r="R936" s="144"/>
      <c r="S936" s="144"/>
      <c r="T936" s="144"/>
      <c r="U936" s="144"/>
      <c r="V936" s="144"/>
      <c r="W936" s="144"/>
      <c r="X936" s="144"/>
      <c r="Y936" s="144"/>
      <c r="Z936" s="144"/>
    </row>
    <row r="937" spans="1:26" ht="24.75">
      <c r="A937" s="144"/>
      <c r="B937" s="141"/>
      <c r="C937" s="142"/>
      <c r="D937" s="154"/>
      <c r="E937" s="143"/>
      <c r="F937" s="144"/>
      <c r="G937" s="153"/>
      <c r="H937" s="153"/>
      <c r="I937" s="144"/>
      <c r="J937" s="144"/>
      <c r="K937" s="144"/>
      <c r="L937" s="144"/>
      <c r="M937" s="144"/>
      <c r="N937" s="144"/>
      <c r="O937" s="144"/>
      <c r="P937" s="144"/>
      <c r="Q937" s="144"/>
      <c r="R937" s="144"/>
      <c r="S937" s="144"/>
      <c r="T937" s="144"/>
      <c r="U937" s="144"/>
      <c r="V937" s="144"/>
      <c r="W937" s="144"/>
      <c r="X937" s="144"/>
      <c r="Y937" s="144"/>
      <c r="Z937" s="144"/>
    </row>
    <row r="938" spans="1:26" ht="24.75">
      <c r="A938" s="144"/>
      <c r="B938" s="141"/>
      <c r="C938" s="142"/>
      <c r="D938" s="154"/>
      <c r="E938" s="143"/>
      <c r="F938" s="144"/>
      <c r="G938" s="151"/>
      <c r="H938" s="151"/>
      <c r="I938" s="144"/>
      <c r="J938" s="144"/>
      <c r="K938" s="144"/>
      <c r="L938" s="144"/>
      <c r="M938" s="144"/>
      <c r="N938" s="144"/>
      <c r="O938" s="144"/>
      <c r="P938" s="144"/>
      <c r="Q938" s="144"/>
      <c r="R938" s="144"/>
      <c r="S938" s="144"/>
      <c r="T938" s="144"/>
      <c r="U938" s="144"/>
      <c r="V938" s="144"/>
      <c r="W938" s="144"/>
      <c r="X938" s="144"/>
      <c r="Y938" s="144"/>
      <c r="Z938" s="144"/>
    </row>
    <row r="939" spans="1:26" ht="24.75">
      <c r="A939" s="144"/>
      <c r="B939" s="141"/>
      <c r="C939" s="142"/>
      <c r="D939" s="154"/>
      <c r="E939" s="143"/>
      <c r="F939" s="144"/>
      <c r="G939" s="153"/>
      <c r="H939" s="153"/>
      <c r="I939" s="144"/>
      <c r="J939" s="144"/>
      <c r="K939" s="144"/>
      <c r="L939" s="144"/>
      <c r="M939" s="144"/>
      <c r="N939" s="144"/>
      <c r="O939" s="144"/>
      <c r="P939" s="144"/>
      <c r="Q939" s="144"/>
      <c r="R939" s="144"/>
      <c r="S939" s="144"/>
      <c r="T939" s="144"/>
      <c r="U939" s="144"/>
      <c r="V939" s="144"/>
      <c r="W939" s="144"/>
      <c r="X939" s="144"/>
      <c r="Y939" s="144"/>
      <c r="Z939" s="144"/>
    </row>
    <row r="940" spans="1:26" ht="24.75">
      <c r="A940" s="144"/>
      <c r="B940" s="141"/>
      <c r="C940" s="142"/>
      <c r="D940" s="154"/>
      <c r="E940" s="143"/>
      <c r="F940" s="144"/>
      <c r="G940" s="151"/>
      <c r="H940" s="151"/>
      <c r="I940" s="144"/>
      <c r="J940" s="144"/>
      <c r="K940" s="144"/>
      <c r="L940" s="144"/>
      <c r="M940" s="144"/>
      <c r="N940" s="144"/>
      <c r="O940" s="144"/>
      <c r="P940" s="144"/>
      <c r="Q940" s="144"/>
      <c r="R940" s="144"/>
      <c r="S940" s="144"/>
      <c r="T940" s="144"/>
      <c r="U940" s="144"/>
      <c r="V940" s="144"/>
      <c r="W940" s="144"/>
      <c r="X940" s="144"/>
      <c r="Y940" s="144"/>
      <c r="Z940" s="144"/>
    </row>
    <row r="941" spans="1:26" ht="24.75">
      <c r="A941" s="144"/>
      <c r="B941" s="141"/>
      <c r="C941" s="142"/>
      <c r="D941" s="154"/>
      <c r="E941" s="143"/>
      <c r="F941" s="144"/>
      <c r="G941" s="153"/>
      <c r="H941" s="153"/>
      <c r="I941" s="144"/>
      <c r="J941" s="144"/>
      <c r="K941" s="144"/>
      <c r="L941" s="144"/>
      <c r="M941" s="144"/>
      <c r="N941" s="144"/>
      <c r="O941" s="144"/>
      <c r="P941" s="144"/>
      <c r="Q941" s="144"/>
      <c r="R941" s="144"/>
      <c r="S941" s="144"/>
      <c r="T941" s="144"/>
      <c r="U941" s="144"/>
      <c r="V941" s="144"/>
      <c r="W941" s="144"/>
      <c r="X941" s="144"/>
      <c r="Y941" s="144"/>
      <c r="Z941" s="144"/>
    </row>
    <row r="942" spans="1:26" ht="24.75">
      <c r="A942" s="144"/>
      <c r="B942" s="141"/>
      <c r="C942" s="142"/>
      <c r="D942" s="154"/>
      <c r="E942" s="143"/>
      <c r="F942" s="144"/>
      <c r="G942" s="151"/>
      <c r="H942" s="151"/>
      <c r="I942" s="144"/>
      <c r="J942" s="144"/>
      <c r="K942" s="144"/>
      <c r="L942" s="144"/>
      <c r="M942" s="144"/>
      <c r="N942" s="144"/>
      <c r="O942" s="144"/>
      <c r="P942" s="144"/>
      <c r="Q942" s="144"/>
      <c r="R942" s="144"/>
      <c r="S942" s="144"/>
      <c r="T942" s="144"/>
      <c r="U942" s="144"/>
      <c r="V942" s="144"/>
      <c r="W942" s="144"/>
      <c r="X942" s="144"/>
      <c r="Y942" s="144"/>
      <c r="Z942" s="144"/>
    </row>
    <row r="943" spans="1:26" ht="24.75">
      <c r="A943" s="144"/>
      <c r="B943" s="141"/>
      <c r="C943" s="142"/>
      <c r="D943" s="154"/>
      <c r="E943" s="143"/>
      <c r="F943" s="144"/>
      <c r="G943" s="153"/>
      <c r="H943" s="153"/>
      <c r="I943" s="144"/>
      <c r="J943" s="144"/>
      <c r="K943" s="144"/>
      <c r="L943" s="144"/>
      <c r="M943" s="144"/>
      <c r="N943" s="144"/>
      <c r="O943" s="144"/>
      <c r="P943" s="144"/>
      <c r="Q943" s="144"/>
      <c r="R943" s="144"/>
      <c r="S943" s="144"/>
      <c r="T943" s="144"/>
      <c r="U943" s="144"/>
      <c r="V943" s="144"/>
      <c r="W943" s="144"/>
      <c r="X943" s="144"/>
      <c r="Y943" s="144"/>
      <c r="Z943" s="144"/>
    </row>
    <row r="944" spans="1:26" ht="24.75">
      <c r="A944" s="144"/>
      <c r="B944" s="141"/>
      <c r="C944" s="142"/>
      <c r="D944" s="154"/>
      <c r="E944" s="143"/>
      <c r="F944" s="144"/>
      <c r="G944" s="151"/>
      <c r="H944" s="151"/>
      <c r="I944" s="144"/>
      <c r="J944" s="144"/>
      <c r="K944" s="144"/>
      <c r="L944" s="144"/>
      <c r="M944" s="144"/>
      <c r="N944" s="144"/>
      <c r="O944" s="144"/>
      <c r="P944" s="144"/>
      <c r="Q944" s="144"/>
      <c r="R944" s="144"/>
      <c r="S944" s="144"/>
      <c r="T944" s="144"/>
      <c r="U944" s="144"/>
      <c r="V944" s="144"/>
      <c r="W944" s="144"/>
      <c r="X944" s="144"/>
      <c r="Y944" s="144"/>
      <c r="Z944" s="144"/>
    </row>
    <row r="945" spans="1:26" ht="24.75">
      <c r="A945" s="144"/>
      <c r="B945" s="141"/>
      <c r="C945" s="142"/>
      <c r="D945" s="154"/>
      <c r="E945" s="143"/>
      <c r="F945" s="144"/>
      <c r="G945" s="153"/>
      <c r="H945" s="153"/>
      <c r="I945" s="144"/>
      <c r="J945" s="144"/>
      <c r="K945" s="144"/>
      <c r="L945" s="144"/>
      <c r="M945" s="144"/>
      <c r="N945" s="144"/>
      <c r="O945" s="144"/>
      <c r="P945" s="144"/>
      <c r="Q945" s="144"/>
      <c r="R945" s="144"/>
      <c r="S945" s="144"/>
      <c r="T945" s="144"/>
      <c r="U945" s="144"/>
      <c r="V945" s="144"/>
      <c r="W945" s="144"/>
      <c r="X945" s="144"/>
      <c r="Y945" s="144"/>
      <c r="Z945" s="144"/>
    </row>
    <row r="946" spans="1:26" ht="24.75">
      <c r="A946" s="144"/>
      <c r="B946" s="141"/>
      <c r="C946" s="142"/>
      <c r="D946" s="154"/>
      <c r="E946" s="143"/>
      <c r="F946" s="144"/>
      <c r="G946" s="151"/>
      <c r="H946" s="151"/>
      <c r="I946" s="144"/>
      <c r="J946" s="144"/>
      <c r="K946" s="144"/>
      <c r="L946" s="144"/>
      <c r="M946" s="144"/>
      <c r="N946" s="144"/>
      <c r="O946" s="144"/>
      <c r="P946" s="144"/>
      <c r="Q946" s="144"/>
      <c r="R946" s="144"/>
      <c r="S946" s="144"/>
      <c r="T946" s="144"/>
      <c r="U946" s="144"/>
      <c r="V946" s="144"/>
      <c r="W946" s="144"/>
      <c r="X946" s="144"/>
      <c r="Y946" s="144"/>
      <c r="Z946" s="144"/>
    </row>
    <row r="947" spans="1:26" ht="24.75">
      <c r="A947" s="144"/>
      <c r="B947" s="141"/>
      <c r="C947" s="142"/>
      <c r="D947" s="154"/>
      <c r="E947" s="143"/>
      <c r="F947" s="144"/>
      <c r="G947" s="153"/>
      <c r="H947" s="153"/>
      <c r="I947" s="144"/>
      <c r="J947" s="144"/>
      <c r="K947" s="144"/>
      <c r="L947" s="144"/>
      <c r="M947" s="144"/>
      <c r="N947" s="144"/>
      <c r="O947" s="144"/>
      <c r="P947" s="144"/>
      <c r="Q947" s="144"/>
      <c r="R947" s="144"/>
      <c r="S947" s="144"/>
      <c r="T947" s="144"/>
      <c r="U947" s="144"/>
      <c r="V947" s="144"/>
      <c r="W947" s="144"/>
      <c r="X947" s="144"/>
      <c r="Y947" s="144"/>
      <c r="Z947" s="144"/>
    </row>
    <row r="948" spans="1:26" ht="24.75">
      <c r="A948" s="144"/>
      <c r="B948" s="141"/>
      <c r="C948" s="142"/>
      <c r="D948" s="154"/>
      <c r="E948" s="143"/>
      <c r="F948" s="144"/>
      <c r="G948" s="151"/>
      <c r="H948" s="151"/>
      <c r="I948" s="144"/>
      <c r="J948" s="144"/>
      <c r="K948" s="144"/>
      <c r="L948" s="144"/>
      <c r="M948" s="144"/>
      <c r="N948" s="144"/>
      <c r="O948" s="144"/>
      <c r="P948" s="144"/>
      <c r="Q948" s="144"/>
      <c r="R948" s="144"/>
      <c r="S948" s="144"/>
      <c r="T948" s="144"/>
      <c r="U948" s="144"/>
      <c r="V948" s="144"/>
      <c r="W948" s="144"/>
      <c r="X948" s="144"/>
      <c r="Y948" s="144"/>
      <c r="Z948" s="144"/>
    </row>
    <row r="949" spans="1:26" ht="24.75">
      <c r="A949" s="144"/>
      <c r="B949" s="141"/>
      <c r="C949" s="142"/>
      <c r="D949" s="154"/>
      <c r="E949" s="143"/>
      <c r="F949" s="144"/>
      <c r="G949" s="153"/>
      <c r="H949" s="153"/>
      <c r="I949" s="144"/>
      <c r="J949" s="144"/>
      <c r="K949" s="144"/>
      <c r="L949" s="144"/>
      <c r="M949" s="144"/>
      <c r="N949" s="144"/>
      <c r="O949" s="144"/>
      <c r="P949" s="144"/>
      <c r="Q949" s="144"/>
      <c r="R949" s="144"/>
      <c r="S949" s="144"/>
      <c r="T949" s="144"/>
      <c r="U949" s="144"/>
      <c r="V949" s="144"/>
      <c r="W949" s="144"/>
      <c r="X949" s="144"/>
      <c r="Y949" s="144"/>
      <c r="Z949" s="144"/>
    </row>
    <row r="950" spans="1:26" ht="24.75">
      <c r="A950" s="144"/>
      <c r="B950" s="141"/>
      <c r="C950" s="142"/>
      <c r="D950" s="154"/>
      <c r="E950" s="143"/>
      <c r="F950" s="144"/>
      <c r="G950" s="151"/>
      <c r="H950" s="151"/>
      <c r="I950" s="144"/>
      <c r="J950" s="144"/>
      <c r="K950" s="144"/>
      <c r="L950" s="144"/>
      <c r="M950" s="144"/>
      <c r="N950" s="144"/>
      <c r="O950" s="144"/>
      <c r="P950" s="144"/>
      <c r="Q950" s="144"/>
      <c r="R950" s="144"/>
      <c r="S950" s="144"/>
      <c r="T950" s="144"/>
      <c r="U950" s="144"/>
      <c r="V950" s="144"/>
      <c r="W950" s="144"/>
      <c r="X950" s="144"/>
      <c r="Y950" s="144"/>
      <c r="Z950" s="144"/>
    </row>
    <row r="951" spans="1:26" ht="24.75">
      <c r="A951" s="144"/>
      <c r="B951" s="141"/>
      <c r="C951" s="142"/>
      <c r="D951" s="154"/>
      <c r="E951" s="143"/>
      <c r="F951" s="144"/>
      <c r="G951" s="153"/>
      <c r="H951" s="153"/>
      <c r="I951" s="144"/>
      <c r="J951" s="144"/>
      <c r="K951" s="144"/>
      <c r="L951" s="144"/>
      <c r="M951" s="144"/>
      <c r="N951" s="144"/>
      <c r="O951" s="144"/>
      <c r="P951" s="144"/>
      <c r="Q951" s="144"/>
      <c r="R951" s="144"/>
      <c r="S951" s="144"/>
      <c r="T951" s="144"/>
      <c r="U951" s="144"/>
      <c r="V951" s="144"/>
      <c r="W951" s="144"/>
      <c r="X951" s="144"/>
      <c r="Y951" s="144"/>
      <c r="Z951" s="144"/>
    </row>
    <row r="952" spans="1:26" ht="24.75">
      <c r="A952" s="144"/>
      <c r="B952" s="141"/>
      <c r="C952" s="142"/>
      <c r="D952" s="154"/>
      <c r="E952" s="143"/>
      <c r="F952" s="144"/>
      <c r="G952" s="151"/>
      <c r="H952" s="151"/>
      <c r="I952" s="144"/>
      <c r="J952" s="144"/>
      <c r="K952" s="144"/>
      <c r="L952" s="144"/>
      <c r="M952" s="144"/>
      <c r="N952" s="144"/>
      <c r="O952" s="144"/>
      <c r="P952" s="144"/>
      <c r="Q952" s="144"/>
      <c r="R952" s="144"/>
      <c r="S952" s="144"/>
      <c r="T952" s="144"/>
      <c r="U952" s="144"/>
      <c r="V952" s="144"/>
      <c r="W952" s="144"/>
      <c r="X952" s="144"/>
      <c r="Y952" s="144"/>
      <c r="Z952" s="144"/>
    </row>
    <row r="953" spans="1:26" ht="24.75">
      <c r="A953" s="144"/>
      <c r="B953" s="141"/>
      <c r="C953" s="142"/>
      <c r="D953" s="154"/>
      <c r="E953" s="143"/>
      <c r="F953" s="144"/>
      <c r="G953" s="153"/>
      <c r="H953" s="153"/>
      <c r="I953" s="144"/>
      <c r="J953" s="144"/>
      <c r="K953" s="144"/>
      <c r="L953" s="144"/>
      <c r="M953" s="144"/>
      <c r="N953" s="144"/>
      <c r="O953" s="144"/>
      <c r="P953" s="144"/>
      <c r="Q953" s="144"/>
      <c r="R953" s="144"/>
      <c r="S953" s="144"/>
      <c r="T953" s="144"/>
      <c r="U953" s="144"/>
      <c r="V953" s="144"/>
      <c r="W953" s="144"/>
      <c r="X953" s="144"/>
      <c r="Y953" s="144"/>
      <c r="Z953" s="144"/>
    </row>
    <row r="954" spans="1:26" ht="24.75">
      <c r="A954" s="144"/>
      <c r="B954" s="141"/>
      <c r="C954" s="142"/>
      <c r="D954" s="154"/>
      <c r="E954" s="143"/>
      <c r="F954" s="144"/>
      <c r="G954" s="151"/>
      <c r="H954" s="151"/>
      <c r="I954" s="144"/>
      <c r="J954" s="144"/>
      <c r="K954" s="144"/>
      <c r="L954" s="144"/>
      <c r="M954" s="144"/>
      <c r="N954" s="144"/>
      <c r="O954" s="144"/>
      <c r="P954" s="144"/>
      <c r="Q954" s="144"/>
      <c r="R954" s="144"/>
      <c r="S954" s="144"/>
      <c r="T954" s="144"/>
      <c r="U954" s="144"/>
      <c r="V954" s="144"/>
      <c r="W954" s="144"/>
      <c r="X954" s="144"/>
      <c r="Y954" s="144"/>
      <c r="Z954" s="144"/>
    </row>
    <row r="955" spans="1:26" ht="24.75">
      <c r="A955" s="144"/>
      <c r="B955" s="141"/>
      <c r="C955" s="142"/>
      <c r="D955" s="154"/>
      <c r="E955" s="143"/>
      <c r="F955" s="144"/>
      <c r="G955" s="153"/>
      <c r="H955" s="153"/>
      <c r="I955" s="144"/>
      <c r="J955" s="144"/>
      <c r="K955" s="144"/>
      <c r="L955" s="144"/>
      <c r="M955" s="144"/>
      <c r="N955" s="144"/>
      <c r="O955" s="144"/>
      <c r="P955" s="144"/>
      <c r="Q955" s="144"/>
      <c r="R955" s="144"/>
      <c r="S955" s="144"/>
      <c r="T955" s="144"/>
      <c r="U955" s="144"/>
      <c r="V955" s="144"/>
      <c r="W955" s="144"/>
      <c r="X955" s="144"/>
      <c r="Y955" s="144"/>
      <c r="Z955" s="144"/>
    </row>
    <row r="956" spans="1:26" ht="24.75">
      <c r="A956" s="144"/>
      <c r="B956" s="141"/>
      <c r="C956" s="142"/>
      <c r="D956" s="154"/>
      <c r="E956" s="143"/>
      <c r="F956" s="144"/>
      <c r="G956" s="151"/>
      <c r="H956" s="151"/>
      <c r="I956" s="144"/>
      <c r="J956" s="144"/>
      <c r="K956" s="144"/>
      <c r="L956" s="144"/>
      <c r="M956" s="144"/>
      <c r="N956" s="144"/>
      <c r="O956" s="144"/>
      <c r="P956" s="144"/>
      <c r="Q956" s="144"/>
      <c r="R956" s="144"/>
      <c r="S956" s="144"/>
      <c r="T956" s="144"/>
      <c r="U956" s="144"/>
      <c r="V956" s="144"/>
      <c r="W956" s="144"/>
      <c r="X956" s="144"/>
      <c r="Y956" s="144"/>
      <c r="Z956" s="144"/>
    </row>
    <row r="957" spans="1:26" ht="24.75">
      <c r="A957" s="144"/>
      <c r="B957" s="141"/>
      <c r="C957" s="142"/>
      <c r="D957" s="154"/>
      <c r="E957" s="143"/>
      <c r="F957" s="144"/>
      <c r="G957" s="153"/>
      <c r="H957" s="153"/>
      <c r="I957" s="144"/>
      <c r="J957" s="144"/>
      <c r="K957" s="144"/>
      <c r="L957" s="144"/>
      <c r="M957" s="144"/>
      <c r="N957" s="144"/>
      <c r="O957" s="144"/>
      <c r="P957" s="144"/>
      <c r="Q957" s="144"/>
      <c r="R957" s="144"/>
      <c r="S957" s="144"/>
      <c r="T957" s="144"/>
      <c r="U957" s="144"/>
      <c r="V957" s="144"/>
      <c r="W957" s="144"/>
      <c r="X957" s="144"/>
      <c r="Y957" s="144"/>
      <c r="Z957" s="144"/>
    </row>
    <row r="958" spans="1:26" ht="24.75">
      <c r="A958" s="144"/>
      <c r="B958" s="141"/>
      <c r="C958" s="142"/>
      <c r="D958" s="154"/>
      <c r="E958" s="143"/>
      <c r="F958" s="144"/>
      <c r="G958" s="151"/>
      <c r="H958" s="151"/>
      <c r="I958" s="144"/>
      <c r="J958" s="144"/>
      <c r="K958" s="144"/>
      <c r="L958" s="144"/>
      <c r="M958" s="144"/>
      <c r="N958" s="144"/>
      <c r="O958" s="144"/>
      <c r="P958" s="144"/>
      <c r="Q958" s="144"/>
      <c r="R958" s="144"/>
      <c r="S958" s="144"/>
      <c r="T958" s="144"/>
      <c r="U958" s="144"/>
      <c r="V958" s="144"/>
      <c r="W958" s="144"/>
      <c r="X958" s="144"/>
      <c r="Y958" s="144"/>
      <c r="Z958" s="144"/>
    </row>
    <row r="959" spans="1:26" ht="24.75">
      <c r="A959" s="144"/>
      <c r="B959" s="141"/>
      <c r="C959" s="142"/>
      <c r="D959" s="154"/>
      <c r="E959" s="143"/>
      <c r="F959" s="144"/>
      <c r="G959" s="153"/>
      <c r="H959" s="153"/>
      <c r="I959" s="144"/>
      <c r="J959" s="144"/>
      <c r="K959" s="144"/>
      <c r="L959" s="144"/>
      <c r="M959" s="144"/>
      <c r="N959" s="144"/>
      <c r="O959" s="144"/>
      <c r="P959" s="144"/>
      <c r="Q959" s="144"/>
      <c r="R959" s="144"/>
      <c r="S959" s="144"/>
      <c r="T959" s="144"/>
      <c r="U959" s="144"/>
      <c r="V959" s="144"/>
      <c r="W959" s="144"/>
      <c r="X959" s="144"/>
      <c r="Y959" s="144"/>
      <c r="Z959" s="144"/>
    </row>
    <row r="960" spans="1:26" ht="24.75">
      <c r="A960" s="144"/>
      <c r="B960" s="141"/>
      <c r="C960" s="142"/>
      <c r="D960" s="154"/>
      <c r="E960" s="143"/>
      <c r="F960" s="144"/>
      <c r="G960" s="151"/>
      <c r="H960" s="151"/>
      <c r="I960" s="144"/>
      <c r="J960" s="144"/>
      <c r="K960" s="144"/>
      <c r="L960" s="144"/>
      <c r="M960" s="144"/>
      <c r="N960" s="144"/>
      <c r="O960" s="144"/>
      <c r="P960" s="144"/>
      <c r="Q960" s="144"/>
      <c r="R960" s="144"/>
      <c r="S960" s="144"/>
      <c r="T960" s="144"/>
      <c r="U960" s="144"/>
      <c r="V960" s="144"/>
      <c r="W960" s="144"/>
      <c r="X960" s="144"/>
      <c r="Y960" s="144"/>
      <c r="Z960" s="144"/>
    </row>
    <row r="961" spans="1:26" ht="24.75">
      <c r="A961" s="144"/>
      <c r="B961" s="141"/>
      <c r="C961" s="142"/>
      <c r="D961" s="154"/>
      <c r="E961" s="143"/>
      <c r="F961" s="144"/>
      <c r="G961" s="153"/>
      <c r="H961" s="153"/>
      <c r="I961" s="144"/>
      <c r="J961" s="144"/>
      <c r="K961" s="144"/>
      <c r="L961" s="144"/>
      <c r="M961" s="144"/>
      <c r="N961" s="144"/>
      <c r="O961" s="144"/>
      <c r="P961" s="144"/>
      <c r="Q961" s="144"/>
      <c r="R961" s="144"/>
      <c r="S961" s="144"/>
      <c r="T961" s="144"/>
      <c r="U961" s="144"/>
      <c r="V961" s="144"/>
      <c r="W961" s="144"/>
      <c r="X961" s="144"/>
      <c r="Y961" s="144"/>
      <c r="Z961" s="144"/>
    </row>
    <row r="962" spans="1:26" ht="24.75">
      <c r="A962" s="144"/>
      <c r="B962" s="141"/>
      <c r="C962" s="142"/>
      <c r="D962" s="154"/>
      <c r="E962" s="143"/>
      <c r="F962" s="144"/>
      <c r="G962" s="151"/>
      <c r="H962" s="151"/>
      <c r="I962" s="144"/>
      <c r="J962" s="144"/>
      <c r="K962" s="144"/>
      <c r="L962" s="144"/>
      <c r="M962" s="144"/>
      <c r="N962" s="144"/>
      <c r="O962" s="144"/>
      <c r="P962" s="144"/>
      <c r="Q962" s="144"/>
      <c r="R962" s="144"/>
      <c r="S962" s="144"/>
      <c r="T962" s="144"/>
      <c r="U962" s="144"/>
      <c r="V962" s="144"/>
      <c r="W962" s="144"/>
      <c r="X962" s="144"/>
      <c r="Y962" s="144"/>
      <c r="Z962" s="144"/>
    </row>
    <row r="963" spans="1:26" ht="24.75">
      <c r="A963" s="144"/>
      <c r="B963" s="141"/>
      <c r="C963" s="142"/>
      <c r="D963" s="154"/>
      <c r="E963" s="143"/>
      <c r="F963" s="144"/>
      <c r="G963" s="153"/>
      <c r="H963" s="153"/>
      <c r="I963" s="144"/>
      <c r="J963" s="144"/>
      <c r="K963" s="144"/>
      <c r="L963" s="144"/>
      <c r="M963" s="144"/>
      <c r="N963" s="144"/>
      <c r="O963" s="144"/>
      <c r="P963" s="144"/>
      <c r="Q963" s="144"/>
      <c r="R963" s="144"/>
      <c r="S963" s="144"/>
      <c r="T963" s="144"/>
      <c r="U963" s="144"/>
      <c r="V963" s="144"/>
      <c r="W963" s="144"/>
      <c r="X963" s="144"/>
      <c r="Y963" s="144"/>
      <c r="Z963" s="144"/>
    </row>
    <row r="964" spans="1:26" ht="24.75">
      <c r="A964" s="144"/>
      <c r="B964" s="141"/>
      <c r="C964" s="142"/>
      <c r="D964" s="154"/>
      <c r="E964" s="143"/>
      <c r="F964" s="144"/>
      <c r="G964" s="151"/>
      <c r="H964" s="151"/>
      <c r="I964" s="144"/>
      <c r="J964" s="144"/>
      <c r="K964" s="144"/>
      <c r="L964" s="144"/>
      <c r="M964" s="144"/>
      <c r="N964" s="144"/>
      <c r="O964" s="144"/>
      <c r="P964" s="144"/>
      <c r="Q964" s="144"/>
      <c r="R964" s="144"/>
      <c r="S964" s="144"/>
      <c r="T964" s="144"/>
      <c r="U964" s="144"/>
      <c r="V964" s="144"/>
      <c r="W964" s="144"/>
      <c r="X964" s="144"/>
      <c r="Y964" s="144"/>
      <c r="Z964" s="144"/>
    </row>
    <row r="965" spans="1:26" ht="24.75">
      <c r="A965" s="144"/>
      <c r="B965" s="141"/>
      <c r="C965" s="142"/>
      <c r="D965" s="154"/>
      <c r="E965" s="143"/>
      <c r="F965" s="144"/>
      <c r="G965" s="153"/>
      <c r="H965" s="153"/>
      <c r="I965" s="144"/>
      <c r="J965" s="144"/>
      <c r="K965" s="144"/>
      <c r="L965" s="144"/>
      <c r="M965" s="144"/>
      <c r="N965" s="144"/>
      <c r="O965" s="144"/>
      <c r="P965" s="144"/>
      <c r="Q965" s="144"/>
      <c r="R965" s="144"/>
      <c r="S965" s="144"/>
      <c r="T965" s="144"/>
      <c r="U965" s="144"/>
      <c r="V965" s="144"/>
      <c r="W965" s="144"/>
      <c r="X965" s="144"/>
      <c r="Y965" s="144"/>
      <c r="Z965" s="144"/>
    </row>
    <row r="966" spans="1:26" ht="24.75">
      <c r="A966" s="144"/>
      <c r="B966" s="141"/>
      <c r="C966" s="142"/>
      <c r="D966" s="154"/>
      <c r="E966" s="143"/>
      <c r="F966" s="144"/>
      <c r="G966" s="151"/>
      <c r="H966" s="151"/>
      <c r="I966" s="144"/>
      <c r="J966" s="144"/>
      <c r="K966" s="144"/>
      <c r="L966" s="144"/>
      <c r="M966" s="144"/>
      <c r="N966" s="144"/>
      <c r="O966" s="144"/>
      <c r="P966" s="144"/>
      <c r="Q966" s="144"/>
      <c r="R966" s="144"/>
      <c r="S966" s="144"/>
      <c r="T966" s="144"/>
      <c r="U966" s="144"/>
      <c r="V966" s="144"/>
      <c r="W966" s="144"/>
      <c r="X966" s="144"/>
      <c r="Y966" s="144"/>
      <c r="Z966" s="144"/>
    </row>
    <row r="967" spans="1:26" ht="24.75">
      <c r="A967" s="144"/>
      <c r="B967" s="141"/>
      <c r="C967" s="142"/>
      <c r="D967" s="154"/>
      <c r="E967" s="143"/>
      <c r="F967" s="144"/>
      <c r="G967" s="153"/>
      <c r="H967" s="153"/>
      <c r="I967" s="144"/>
      <c r="J967" s="144"/>
      <c r="K967" s="144"/>
      <c r="L967" s="144"/>
      <c r="M967" s="144"/>
      <c r="N967" s="144"/>
      <c r="O967" s="144"/>
      <c r="P967" s="144"/>
      <c r="Q967" s="144"/>
      <c r="R967" s="144"/>
      <c r="S967" s="144"/>
      <c r="T967" s="144"/>
      <c r="U967" s="144"/>
      <c r="V967" s="144"/>
      <c r="W967" s="144"/>
      <c r="X967" s="144"/>
      <c r="Y967" s="144"/>
      <c r="Z967" s="144"/>
    </row>
    <row r="968" spans="1:26" ht="24.75">
      <c r="A968" s="144"/>
      <c r="B968" s="141"/>
      <c r="C968" s="142"/>
      <c r="D968" s="154"/>
      <c r="E968" s="143"/>
      <c r="F968" s="144"/>
      <c r="G968" s="151"/>
      <c r="H968" s="151"/>
      <c r="I968" s="144"/>
      <c r="J968" s="144"/>
      <c r="K968" s="144"/>
      <c r="L968" s="144"/>
      <c r="M968" s="144"/>
      <c r="N968" s="144"/>
      <c r="O968" s="144"/>
      <c r="P968" s="144"/>
      <c r="Q968" s="144"/>
      <c r="R968" s="144"/>
      <c r="S968" s="144"/>
      <c r="T968" s="144"/>
      <c r="U968" s="144"/>
      <c r="V968" s="144"/>
      <c r="W968" s="144"/>
      <c r="X968" s="144"/>
      <c r="Y968" s="144"/>
      <c r="Z968" s="144"/>
    </row>
    <row r="969" spans="1:26" ht="24.75">
      <c r="A969" s="144"/>
      <c r="B969" s="141"/>
      <c r="C969" s="142"/>
      <c r="D969" s="154"/>
      <c r="E969" s="143"/>
      <c r="F969" s="144"/>
      <c r="G969" s="153"/>
      <c r="H969" s="153"/>
      <c r="I969" s="144"/>
      <c r="J969" s="144"/>
      <c r="K969" s="144"/>
      <c r="L969" s="144"/>
      <c r="M969" s="144"/>
      <c r="N969" s="144"/>
      <c r="O969" s="144"/>
      <c r="P969" s="144"/>
      <c r="Q969" s="144"/>
      <c r="R969" s="144"/>
      <c r="S969" s="144"/>
      <c r="T969" s="144"/>
      <c r="U969" s="144"/>
      <c r="V969" s="144"/>
      <c r="W969" s="144"/>
      <c r="X969" s="144"/>
      <c r="Y969" s="144"/>
      <c r="Z969" s="144"/>
    </row>
    <row r="970" spans="1:26" ht="24.75">
      <c r="A970" s="144"/>
      <c r="B970" s="141"/>
      <c r="C970" s="142"/>
      <c r="D970" s="154"/>
      <c r="E970" s="143"/>
      <c r="F970" s="144"/>
      <c r="G970" s="151"/>
      <c r="H970" s="151"/>
      <c r="I970" s="144"/>
      <c r="J970" s="144"/>
      <c r="K970" s="144"/>
      <c r="L970" s="144"/>
      <c r="M970" s="144"/>
      <c r="N970" s="144"/>
      <c r="O970" s="144"/>
      <c r="P970" s="144"/>
      <c r="Q970" s="144"/>
      <c r="R970" s="144"/>
      <c r="S970" s="144"/>
      <c r="T970" s="144"/>
      <c r="U970" s="144"/>
      <c r="V970" s="144"/>
      <c r="W970" s="144"/>
      <c r="X970" s="144"/>
      <c r="Y970" s="144"/>
      <c r="Z970" s="144"/>
    </row>
    <row r="971" spans="1:26" ht="24.75">
      <c r="A971" s="144"/>
      <c r="B971" s="141"/>
      <c r="C971" s="142"/>
      <c r="D971" s="154"/>
      <c r="E971" s="143"/>
      <c r="F971" s="144"/>
      <c r="G971" s="153"/>
      <c r="H971" s="153"/>
      <c r="I971" s="144"/>
      <c r="J971" s="144"/>
      <c r="K971" s="144"/>
      <c r="L971" s="144"/>
      <c r="M971" s="144"/>
      <c r="N971" s="144"/>
      <c r="O971" s="144"/>
      <c r="P971" s="144"/>
      <c r="Q971" s="144"/>
      <c r="R971" s="144"/>
      <c r="S971" s="144"/>
      <c r="T971" s="144"/>
      <c r="U971" s="144"/>
      <c r="V971" s="144"/>
      <c r="W971" s="144"/>
      <c r="X971" s="144"/>
      <c r="Y971" s="144"/>
      <c r="Z971" s="144"/>
    </row>
    <row r="972" spans="1:26" ht="24.75">
      <c r="A972" s="144"/>
      <c r="B972" s="141"/>
      <c r="C972" s="142"/>
      <c r="D972" s="154"/>
      <c r="E972" s="143"/>
      <c r="F972" s="144"/>
      <c r="G972" s="151"/>
      <c r="H972" s="151"/>
      <c r="I972" s="144"/>
      <c r="J972" s="144"/>
      <c r="K972" s="144"/>
      <c r="L972" s="144"/>
      <c r="M972" s="144"/>
      <c r="N972" s="144"/>
      <c r="O972" s="144"/>
      <c r="P972" s="144"/>
      <c r="Q972" s="144"/>
      <c r="R972" s="144"/>
      <c r="S972" s="144"/>
      <c r="T972" s="144"/>
      <c r="U972" s="144"/>
      <c r="V972" s="144"/>
      <c r="W972" s="144"/>
      <c r="X972" s="144"/>
      <c r="Y972" s="144"/>
      <c r="Z972" s="144"/>
    </row>
    <row r="973" spans="1:26" ht="24.75">
      <c r="A973" s="144"/>
      <c r="B973" s="141"/>
      <c r="C973" s="142"/>
      <c r="D973" s="154"/>
      <c r="E973" s="143"/>
      <c r="F973" s="144"/>
      <c r="G973" s="153"/>
      <c r="H973" s="153"/>
      <c r="I973" s="144"/>
      <c r="J973" s="144"/>
      <c r="K973" s="144"/>
      <c r="L973" s="144"/>
      <c r="M973" s="144"/>
      <c r="N973" s="144"/>
      <c r="O973" s="144"/>
      <c r="P973" s="144"/>
      <c r="Q973" s="144"/>
      <c r="R973" s="144"/>
      <c r="S973" s="144"/>
      <c r="T973" s="144"/>
      <c r="U973" s="144"/>
      <c r="V973" s="144"/>
      <c r="W973" s="144"/>
      <c r="X973" s="144"/>
      <c r="Y973" s="144"/>
      <c r="Z973" s="144"/>
    </row>
    <row r="974" spans="1:26" ht="24.75">
      <c r="A974" s="144"/>
      <c r="B974" s="141"/>
      <c r="C974" s="142"/>
      <c r="D974" s="154"/>
      <c r="E974" s="143"/>
      <c r="F974" s="144"/>
      <c r="G974" s="151"/>
      <c r="H974" s="151"/>
      <c r="I974" s="144"/>
      <c r="J974" s="144"/>
      <c r="K974" s="144"/>
      <c r="L974" s="144"/>
      <c r="M974" s="144"/>
      <c r="N974" s="144"/>
      <c r="O974" s="144"/>
      <c r="P974" s="144"/>
      <c r="Q974" s="144"/>
      <c r="R974" s="144"/>
      <c r="S974" s="144"/>
      <c r="T974" s="144"/>
      <c r="U974" s="144"/>
      <c r="V974" s="144"/>
      <c r="W974" s="144"/>
      <c r="X974" s="144"/>
      <c r="Y974" s="144"/>
      <c r="Z974" s="144"/>
    </row>
    <row r="975" spans="1:26" ht="24.75">
      <c r="A975" s="144"/>
      <c r="B975" s="141"/>
      <c r="C975" s="142"/>
      <c r="D975" s="154"/>
      <c r="E975" s="143"/>
      <c r="F975" s="144"/>
      <c r="G975" s="153"/>
      <c r="H975" s="153"/>
      <c r="I975" s="144"/>
      <c r="J975" s="144"/>
      <c r="K975" s="144"/>
      <c r="L975" s="144"/>
      <c r="M975" s="144"/>
      <c r="N975" s="144"/>
      <c r="O975" s="144"/>
      <c r="P975" s="144"/>
      <c r="Q975" s="144"/>
      <c r="R975" s="144"/>
      <c r="S975" s="144"/>
      <c r="T975" s="144"/>
      <c r="U975" s="144"/>
      <c r="V975" s="144"/>
      <c r="W975" s="144"/>
      <c r="X975" s="144"/>
      <c r="Y975" s="144"/>
      <c r="Z975" s="144"/>
    </row>
    <row r="976" spans="1:26" ht="24.75">
      <c r="A976" s="144"/>
      <c r="B976" s="141"/>
      <c r="C976" s="142"/>
      <c r="D976" s="154"/>
      <c r="E976" s="143"/>
      <c r="F976" s="144"/>
      <c r="G976" s="151"/>
      <c r="H976" s="151"/>
      <c r="I976" s="144"/>
      <c r="J976" s="144"/>
      <c r="K976" s="144"/>
      <c r="L976" s="144"/>
      <c r="M976" s="144"/>
      <c r="N976" s="144"/>
      <c r="O976" s="144"/>
      <c r="P976" s="144"/>
      <c r="Q976" s="144"/>
      <c r="R976" s="144"/>
      <c r="S976" s="144"/>
      <c r="T976" s="144"/>
      <c r="U976" s="144"/>
      <c r="V976" s="144"/>
      <c r="W976" s="144"/>
      <c r="X976" s="144"/>
      <c r="Y976" s="144"/>
      <c r="Z976" s="144"/>
    </row>
    <row r="977" spans="1:26" ht="24.75">
      <c r="A977" s="144"/>
      <c r="B977" s="141"/>
      <c r="C977" s="142"/>
      <c r="D977" s="154"/>
      <c r="E977" s="143"/>
      <c r="F977" s="144"/>
      <c r="G977" s="153"/>
      <c r="H977" s="153"/>
      <c r="I977" s="144"/>
      <c r="J977" s="144"/>
      <c r="K977" s="144"/>
      <c r="L977" s="144"/>
      <c r="M977" s="144"/>
      <c r="N977" s="144"/>
      <c r="O977" s="144"/>
      <c r="P977" s="144"/>
      <c r="Q977" s="144"/>
      <c r="R977" s="144"/>
      <c r="S977" s="144"/>
      <c r="T977" s="144"/>
      <c r="U977" s="144"/>
      <c r="V977" s="144"/>
      <c r="W977" s="144"/>
      <c r="X977" s="144"/>
      <c r="Y977" s="144"/>
      <c r="Z977" s="144"/>
    </row>
    <row r="978" spans="1:26" ht="24.75">
      <c r="A978" s="144"/>
      <c r="B978" s="141"/>
      <c r="C978" s="142"/>
      <c r="D978" s="154"/>
      <c r="E978" s="143"/>
      <c r="F978" s="144"/>
      <c r="G978" s="151"/>
      <c r="H978" s="151"/>
      <c r="I978" s="144"/>
      <c r="J978" s="144"/>
      <c r="K978" s="144"/>
      <c r="L978" s="144"/>
      <c r="M978" s="144"/>
      <c r="N978" s="144"/>
      <c r="O978" s="144"/>
      <c r="P978" s="144"/>
      <c r="Q978" s="144"/>
      <c r="R978" s="144"/>
      <c r="S978" s="144"/>
      <c r="T978" s="144"/>
      <c r="U978" s="144"/>
      <c r="V978" s="144"/>
      <c r="W978" s="144"/>
      <c r="X978" s="144"/>
      <c r="Y978" s="144"/>
      <c r="Z978" s="144"/>
    </row>
    <row r="979" spans="1:26" ht="24.75">
      <c r="A979" s="144"/>
      <c r="B979" s="141"/>
      <c r="C979" s="142"/>
      <c r="D979" s="154"/>
      <c r="E979" s="143"/>
      <c r="F979" s="144"/>
      <c r="G979" s="153"/>
      <c r="H979" s="153"/>
      <c r="I979" s="144"/>
      <c r="J979" s="144"/>
      <c r="K979" s="144"/>
      <c r="L979" s="144"/>
      <c r="M979" s="144"/>
      <c r="N979" s="144"/>
      <c r="O979" s="144"/>
      <c r="P979" s="144"/>
      <c r="Q979" s="144"/>
      <c r="R979" s="144"/>
      <c r="S979" s="144"/>
      <c r="T979" s="144"/>
      <c r="U979" s="144"/>
      <c r="V979" s="144"/>
      <c r="W979" s="144"/>
      <c r="X979" s="144"/>
      <c r="Y979" s="144"/>
      <c r="Z979" s="144"/>
    </row>
    <row r="980" spans="1:26" ht="24.75">
      <c r="A980" s="144"/>
      <c r="B980" s="141"/>
      <c r="C980" s="142"/>
      <c r="D980" s="154"/>
      <c r="E980" s="143"/>
      <c r="F980" s="144"/>
      <c r="G980" s="151"/>
      <c r="H980" s="151"/>
      <c r="I980" s="144"/>
      <c r="J980" s="144"/>
      <c r="K980" s="144"/>
      <c r="L980" s="144"/>
      <c r="M980" s="144"/>
      <c r="N980" s="144"/>
      <c r="O980" s="144"/>
      <c r="P980" s="144"/>
      <c r="Q980" s="144"/>
      <c r="R980" s="144"/>
      <c r="S980" s="144"/>
      <c r="T980" s="144"/>
      <c r="U980" s="144"/>
      <c r="V980" s="144"/>
      <c r="W980" s="144"/>
      <c r="X980" s="144"/>
      <c r="Y980" s="144"/>
      <c r="Z980" s="144"/>
    </row>
    <row r="981" spans="1:26" ht="24.75">
      <c r="A981" s="144"/>
      <c r="B981" s="141"/>
      <c r="C981" s="142"/>
      <c r="D981" s="154"/>
      <c r="E981" s="143"/>
      <c r="F981" s="144"/>
      <c r="G981" s="153"/>
      <c r="H981" s="153"/>
      <c r="I981" s="144"/>
      <c r="J981" s="144"/>
      <c r="K981" s="144"/>
      <c r="L981" s="144"/>
      <c r="M981" s="144"/>
      <c r="N981" s="144"/>
      <c r="O981" s="144"/>
      <c r="P981" s="144"/>
      <c r="Q981" s="144"/>
      <c r="R981" s="144"/>
      <c r="S981" s="144"/>
      <c r="T981" s="144"/>
      <c r="U981" s="144"/>
      <c r="V981" s="144"/>
      <c r="W981" s="144"/>
      <c r="X981" s="144"/>
      <c r="Y981" s="144"/>
      <c r="Z981" s="144"/>
    </row>
    <row r="982" spans="1:26" ht="24.75">
      <c r="A982" s="144"/>
      <c r="B982" s="141"/>
      <c r="C982" s="142"/>
      <c r="D982" s="154"/>
      <c r="E982" s="143"/>
      <c r="F982" s="144"/>
      <c r="G982" s="151"/>
      <c r="H982" s="151"/>
      <c r="I982" s="144"/>
      <c r="J982" s="144"/>
      <c r="K982" s="144"/>
      <c r="L982" s="144"/>
      <c r="M982" s="144"/>
      <c r="N982" s="144"/>
      <c r="O982" s="144"/>
      <c r="P982" s="144"/>
      <c r="Q982" s="144"/>
      <c r="R982" s="144"/>
      <c r="S982" s="144"/>
      <c r="T982" s="144"/>
      <c r="U982" s="144"/>
      <c r="V982" s="144"/>
      <c r="W982" s="144"/>
      <c r="X982" s="144"/>
      <c r="Y982" s="144"/>
      <c r="Z982" s="144"/>
    </row>
    <row r="983" spans="1:26" ht="24.75">
      <c r="A983" s="144"/>
      <c r="B983" s="141"/>
      <c r="C983" s="142"/>
      <c r="D983" s="154"/>
      <c r="E983" s="143"/>
      <c r="F983" s="144"/>
      <c r="G983" s="153"/>
      <c r="H983" s="153"/>
      <c r="I983" s="144"/>
      <c r="J983" s="144"/>
      <c r="K983" s="144"/>
      <c r="L983" s="144"/>
      <c r="M983" s="144"/>
      <c r="N983" s="144"/>
      <c r="O983" s="144"/>
      <c r="P983" s="144"/>
      <c r="Q983" s="144"/>
      <c r="R983" s="144"/>
      <c r="S983" s="144"/>
      <c r="T983" s="144"/>
      <c r="U983" s="144"/>
      <c r="V983" s="144"/>
      <c r="W983" s="144"/>
      <c r="X983" s="144"/>
      <c r="Y983" s="144"/>
      <c r="Z983" s="144"/>
    </row>
    <row r="984" spans="1:26" ht="24.75">
      <c r="A984" s="144"/>
      <c r="B984" s="141"/>
      <c r="C984" s="142"/>
      <c r="D984" s="154"/>
      <c r="E984" s="143"/>
      <c r="F984" s="144"/>
      <c r="G984" s="151"/>
      <c r="H984" s="151"/>
      <c r="I984" s="144"/>
      <c r="J984" s="144"/>
      <c r="K984" s="144"/>
      <c r="L984" s="144"/>
      <c r="M984" s="144"/>
      <c r="N984" s="144"/>
      <c r="O984" s="144"/>
      <c r="P984" s="144"/>
      <c r="Q984" s="144"/>
      <c r="R984" s="144"/>
      <c r="S984" s="144"/>
      <c r="T984" s="144"/>
      <c r="U984" s="144"/>
      <c r="V984" s="144"/>
      <c r="W984" s="144"/>
      <c r="X984" s="144"/>
      <c r="Y984" s="144"/>
      <c r="Z984" s="144"/>
    </row>
    <row r="985" spans="1:26" ht="24.75">
      <c r="A985" s="144"/>
      <c r="B985" s="141"/>
      <c r="C985" s="142"/>
      <c r="D985" s="154"/>
      <c r="E985" s="143"/>
      <c r="F985" s="144"/>
      <c r="G985" s="153"/>
      <c r="H985" s="153"/>
      <c r="I985" s="144"/>
      <c r="J985" s="144"/>
      <c r="K985" s="144"/>
      <c r="L985" s="144"/>
      <c r="M985" s="144"/>
      <c r="N985" s="144"/>
      <c r="O985" s="144"/>
      <c r="P985" s="144"/>
      <c r="Q985" s="144"/>
      <c r="R985" s="144"/>
      <c r="S985" s="144"/>
      <c r="T985" s="144"/>
      <c r="U985" s="144"/>
      <c r="V985" s="144"/>
      <c r="W985" s="144"/>
      <c r="X985" s="144"/>
      <c r="Y985" s="144"/>
      <c r="Z985" s="144"/>
    </row>
    <row r="986" spans="1:26" ht="24.75">
      <c r="A986" s="144"/>
      <c r="B986" s="141"/>
      <c r="C986" s="142"/>
      <c r="D986" s="154"/>
      <c r="E986" s="143"/>
      <c r="F986" s="144"/>
      <c r="G986" s="151"/>
      <c r="H986" s="151"/>
      <c r="I986" s="144"/>
      <c r="J986" s="144"/>
      <c r="K986" s="144"/>
      <c r="L986" s="144"/>
      <c r="M986" s="144"/>
      <c r="N986" s="144"/>
      <c r="O986" s="144"/>
      <c r="P986" s="144"/>
      <c r="Q986" s="144"/>
      <c r="R986" s="144"/>
      <c r="S986" s="144"/>
      <c r="T986" s="144"/>
      <c r="U986" s="144"/>
      <c r="V986" s="144"/>
      <c r="W986" s="144"/>
      <c r="X986" s="144"/>
      <c r="Y986" s="144"/>
      <c r="Z986" s="144"/>
    </row>
    <row r="987" spans="1:26" ht="24.75">
      <c r="A987" s="144"/>
      <c r="B987" s="141"/>
      <c r="C987" s="142"/>
      <c r="D987" s="154"/>
      <c r="E987" s="143"/>
      <c r="F987" s="144"/>
      <c r="G987" s="153"/>
      <c r="H987" s="153"/>
      <c r="I987" s="144"/>
      <c r="J987" s="144"/>
      <c r="K987" s="144"/>
      <c r="L987" s="144"/>
      <c r="M987" s="144"/>
      <c r="N987" s="144"/>
      <c r="O987" s="144"/>
      <c r="P987" s="144"/>
      <c r="Q987" s="144"/>
      <c r="R987" s="144"/>
      <c r="S987" s="144"/>
      <c r="T987" s="144"/>
      <c r="U987" s="144"/>
      <c r="V987" s="144"/>
      <c r="W987" s="144"/>
      <c r="X987" s="144"/>
      <c r="Y987" s="144"/>
      <c r="Z987" s="144"/>
    </row>
    <row r="988" spans="1:26" ht="24.75">
      <c r="A988" s="144"/>
      <c r="B988" s="141"/>
      <c r="C988" s="142"/>
      <c r="D988" s="154"/>
      <c r="E988" s="143"/>
      <c r="F988" s="144"/>
      <c r="G988" s="151"/>
      <c r="H988" s="151"/>
      <c r="I988" s="144"/>
      <c r="J988" s="144"/>
      <c r="K988" s="144"/>
      <c r="L988" s="144"/>
      <c r="M988" s="144"/>
      <c r="N988" s="144"/>
      <c r="O988" s="144"/>
      <c r="P988" s="144"/>
      <c r="Q988" s="144"/>
      <c r="R988" s="144"/>
      <c r="S988" s="144"/>
      <c r="T988" s="144"/>
      <c r="U988" s="144"/>
      <c r="V988" s="144"/>
      <c r="W988" s="144"/>
      <c r="X988" s="144"/>
      <c r="Y988" s="144"/>
      <c r="Z988" s="144"/>
    </row>
    <row r="989" spans="1:26" ht="24.75">
      <c r="A989" s="144"/>
      <c r="B989" s="141"/>
      <c r="C989" s="142"/>
      <c r="D989" s="154"/>
      <c r="E989" s="143"/>
      <c r="F989" s="144"/>
      <c r="G989" s="153"/>
      <c r="H989" s="153"/>
      <c r="I989" s="144"/>
      <c r="J989" s="144"/>
      <c r="K989" s="144"/>
      <c r="L989" s="144"/>
      <c r="M989" s="144"/>
      <c r="N989" s="144"/>
      <c r="O989" s="144"/>
      <c r="P989" s="144"/>
      <c r="Q989" s="144"/>
      <c r="R989" s="144"/>
      <c r="S989" s="144"/>
      <c r="T989" s="144"/>
      <c r="U989" s="144"/>
      <c r="V989" s="144"/>
      <c r="W989" s="144"/>
      <c r="X989" s="144"/>
      <c r="Y989" s="144"/>
      <c r="Z989" s="144"/>
    </row>
    <row r="990" spans="1:26" ht="24.75">
      <c r="A990" s="144"/>
      <c r="B990" s="141"/>
      <c r="C990" s="142"/>
      <c r="D990" s="154"/>
      <c r="E990" s="143"/>
      <c r="F990" s="144"/>
      <c r="G990" s="151"/>
      <c r="H990" s="151"/>
      <c r="I990" s="144"/>
      <c r="J990" s="144"/>
      <c r="K990" s="144"/>
      <c r="L990" s="144"/>
      <c r="M990" s="144"/>
      <c r="N990" s="144"/>
      <c r="O990" s="144"/>
      <c r="P990" s="144"/>
      <c r="Q990" s="144"/>
      <c r="R990" s="144"/>
      <c r="S990" s="144"/>
      <c r="T990" s="144"/>
      <c r="U990" s="144"/>
      <c r="V990" s="144"/>
      <c r="W990" s="144"/>
      <c r="X990" s="144"/>
      <c r="Y990" s="144"/>
      <c r="Z990" s="144"/>
    </row>
    <row r="991" spans="1:26" ht="24.75">
      <c r="A991" s="144"/>
      <c r="B991" s="141"/>
      <c r="C991" s="142"/>
      <c r="D991" s="154"/>
      <c r="E991" s="143"/>
      <c r="F991" s="144"/>
      <c r="G991" s="153"/>
      <c r="H991" s="153"/>
      <c r="I991" s="144"/>
      <c r="J991" s="144"/>
      <c r="K991" s="144"/>
      <c r="L991" s="144"/>
      <c r="M991" s="144"/>
      <c r="N991" s="144"/>
      <c r="O991" s="144"/>
      <c r="P991" s="144"/>
      <c r="Q991" s="144"/>
      <c r="R991" s="144"/>
      <c r="S991" s="144"/>
      <c r="T991" s="144"/>
      <c r="U991" s="144"/>
      <c r="V991" s="144"/>
      <c r="W991" s="144"/>
      <c r="X991" s="144"/>
      <c r="Y991" s="144"/>
      <c r="Z991" s="144"/>
    </row>
    <row r="992" spans="1:26" ht="24.75">
      <c r="A992" s="144"/>
      <c r="B992" s="141"/>
      <c r="C992" s="142"/>
      <c r="D992" s="154"/>
      <c r="E992" s="143"/>
      <c r="F992" s="144"/>
      <c r="G992" s="151"/>
      <c r="H992" s="151"/>
      <c r="I992" s="144"/>
      <c r="J992" s="144"/>
      <c r="K992" s="144"/>
      <c r="L992" s="144"/>
      <c r="M992" s="144"/>
      <c r="N992" s="144"/>
      <c r="O992" s="144"/>
      <c r="P992" s="144"/>
      <c r="Q992" s="144"/>
      <c r="R992" s="144"/>
      <c r="S992" s="144"/>
      <c r="T992" s="144"/>
      <c r="U992" s="144"/>
      <c r="V992" s="144"/>
      <c r="W992" s="144"/>
      <c r="X992" s="144"/>
      <c r="Y992" s="144"/>
      <c r="Z992" s="144"/>
    </row>
    <row r="993" spans="1:26" ht="24.75">
      <c r="A993" s="144"/>
      <c r="B993" s="141"/>
      <c r="C993" s="142"/>
      <c r="D993" s="154"/>
      <c r="E993" s="143"/>
      <c r="F993" s="144"/>
      <c r="G993" s="153"/>
      <c r="H993" s="153"/>
      <c r="I993" s="144"/>
      <c r="J993" s="144"/>
      <c r="K993" s="144"/>
      <c r="L993" s="144"/>
      <c r="M993" s="144"/>
      <c r="N993" s="144"/>
      <c r="O993" s="144"/>
      <c r="P993" s="144"/>
      <c r="Q993" s="144"/>
      <c r="R993" s="144"/>
      <c r="S993" s="144"/>
      <c r="T993" s="144"/>
      <c r="U993" s="144"/>
      <c r="V993" s="144"/>
      <c r="W993" s="144"/>
      <c r="X993" s="144"/>
      <c r="Y993" s="144"/>
      <c r="Z993" s="144"/>
    </row>
    <row r="994" spans="1:26" ht="24.75">
      <c r="A994" s="144"/>
      <c r="B994" s="141"/>
      <c r="C994" s="142"/>
      <c r="D994" s="154"/>
      <c r="E994" s="143"/>
      <c r="F994" s="144"/>
      <c r="G994" s="151"/>
      <c r="H994" s="151"/>
      <c r="I994" s="144"/>
      <c r="J994" s="144"/>
      <c r="K994" s="144"/>
      <c r="L994" s="144"/>
      <c r="M994" s="144"/>
      <c r="N994" s="144"/>
      <c r="O994" s="144"/>
      <c r="P994" s="144"/>
      <c r="Q994" s="144"/>
      <c r="R994" s="144"/>
      <c r="S994" s="144"/>
      <c r="T994" s="144"/>
      <c r="U994" s="144"/>
      <c r="V994" s="144"/>
      <c r="W994" s="144"/>
      <c r="X994" s="144"/>
      <c r="Y994" s="144"/>
      <c r="Z994" s="144"/>
    </row>
    <row r="995" spans="1:26" ht="24.75">
      <c r="A995" s="144"/>
      <c r="B995" s="141"/>
      <c r="C995" s="142"/>
      <c r="D995" s="154"/>
      <c r="E995" s="143"/>
      <c r="F995" s="144"/>
      <c r="G995" s="153"/>
      <c r="H995" s="153"/>
      <c r="I995" s="144"/>
      <c r="J995" s="144"/>
      <c r="K995" s="144"/>
      <c r="L995" s="144"/>
      <c r="M995" s="144"/>
      <c r="N995" s="144"/>
      <c r="O995" s="144"/>
      <c r="P995" s="144"/>
      <c r="Q995" s="144"/>
      <c r="R995" s="144"/>
      <c r="S995" s="144"/>
      <c r="T995" s="144"/>
      <c r="U995" s="144"/>
      <c r="V995" s="144"/>
      <c r="W995" s="144"/>
      <c r="X995" s="144"/>
      <c r="Y995" s="144"/>
      <c r="Z995" s="144"/>
    </row>
    <row r="996" spans="1:26" ht="24.75">
      <c r="A996" s="144"/>
      <c r="B996" s="141"/>
      <c r="C996" s="142"/>
      <c r="D996" s="154"/>
      <c r="E996" s="143"/>
      <c r="F996" s="144"/>
      <c r="G996" s="151"/>
      <c r="H996" s="151"/>
      <c r="I996" s="144"/>
      <c r="J996" s="144"/>
      <c r="K996" s="144"/>
      <c r="L996" s="144"/>
      <c r="M996" s="144"/>
      <c r="N996" s="144"/>
      <c r="O996" s="144"/>
      <c r="P996" s="144"/>
      <c r="Q996" s="144"/>
      <c r="R996" s="144"/>
      <c r="S996" s="144"/>
      <c r="T996" s="144"/>
      <c r="U996" s="144"/>
      <c r="V996" s="144"/>
      <c r="W996" s="144"/>
      <c r="X996" s="144"/>
      <c r="Y996" s="144"/>
      <c r="Z996" s="144"/>
    </row>
    <row r="997" spans="1:26" ht="24.75">
      <c r="A997" s="144"/>
      <c r="B997" s="141"/>
      <c r="C997" s="142"/>
      <c r="D997" s="154"/>
      <c r="E997" s="143"/>
      <c r="F997" s="144"/>
      <c r="G997" s="153"/>
      <c r="H997" s="153"/>
      <c r="I997" s="144"/>
      <c r="J997" s="144"/>
      <c r="K997" s="144"/>
      <c r="L997" s="144"/>
      <c r="M997" s="144"/>
      <c r="N997" s="144"/>
      <c r="O997" s="144"/>
      <c r="P997" s="144"/>
      <c r="Q997" s="144"/>
      <c r="R997" s="144"/>
      <c r="S997" s="144"/>
      <c r="T997" s="144"/>
      <c r="U997" s="144"/>
      <c r="V997" s="144"/>
      <c r="W997" s="144"/>
      <c r="X997" s="144"/>
      <c r="Y997" s="144"/>
      <c r="Z997" s="144"/>
    </row>
    <row r="998" spans="1:26" ht="24.75">
      <c r="A998" s="144"/>
      <c r="B998" s="141"/>
      <c r="C998" s="142"/>
      <c r="D998" s="154"/>
      <c r="E998" s="143"/>
      <c r="F998" s="144"/>
      <c r="G998" s="151"/>
      <c r="H998" s="151"/>
      <c r="I998" s="144"/>
      <c r="J998" s="144"/>
      <c r="K998" s="144"/>
      <c r="L998" s="144"/>
      <c r="M998" s="144"/>
      <c r="N998" s="144"/>
      <c r="O998" s="144"/>
      <c r="P998" s="144"/>
      <c r="Q998" s="144"/>
      <c r="R998" s="144"/>
      <c r="S998" s="144"/>
      <c r="T998" s="144"/>
      <c r="U998" s="144"/>
      <c r="V998" s="144"/>
      <c r="W998" s="144"/>
      <c r="X998" s="144"/>
      <c r="Y998" s="144"/>
      <c r="Z998" s="144"/>
    </row>
    <row r="999" spans="1:26" ht="24.75">
      <c r="A999" s="144"/>
      <c r="B999" s="141"/>
      <c r="C999" s="142"/>
      <c r="D999" s="154"/>
      <c r="E999" s="143"/>
      <c r="F999" s="144"/>
      <c r="G999" s="153"/>
      <c r="H999" s="153"/>
      <c r="I999" s="144"/>
      <c r="J999" s="144"/>
      <c r="K999" s="144"/>
      <c r="L999" s="144"/>
      <c r="M999" s="144"/>
      <c r="N999" s="144"/>
      <c r="O999" s="144"/>
      <c r="P999" s="144"/>
      <c r="Q999" s="144"/>
      <c r="R999" s="144"/>
      <c r="S999" s="144"/>
      <c r="T999" s="144"/>
      <c r="U999" s="144"/>
      <c r="V999" s="144"/>
      <c r="W999" s="144"/>
      <c r="X999" s="144"/>
      <c r="Y999" s="144"/>
      <c r="Z999" s="144"/>
    </row>
    <row r="1000" spans="1:26" ht="24.75">
      <c r="A1000" s="144"/>
      <c r="B1000" s="141"/>
      <c r="C1000" s="142"/>
      <c r="D1000" s="154"/>
      <c r="E1000" s="143"/>
      <c r="F1000" s="144"/>
      <c r="G1000" s="151"/>
      <c r="H1000" s="151"/>
      <c r="I1000" s="144"/>
      <c r="J1000" s="144"/>
      <c r="K1000" s="144"/>
      <c r="L1000" s="144"/>
      <c r="M1000" s="144"/>
      <c r="N1000" s="144"/>
      <c r="O1000" s="144"/>
      <c r="P1000" s="144"/>
      <c r="Q1000" s="144"/>
      <c r="R1000" s="144"/>
      <c r="S1000" s="144"/>
      <c r="T1000" s="144"/>
      <c r="U1000" s="144"/>
      <c r="V1000" s="144"/>
      <c r="W1000" s="144"/>
      <c r="X1000" s="144"/>
      <c r="Y1000" s="144"/>
      <c r="Z1000" s="144"/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657"/>
  <sheetViews>
    <sheetView workbookViewId="0"/>
  </sheetViews>
  <sheetFormatPr baseColWidth="10" defaultColWidth="14.42578125" defaultRowHeight="15" customHeight="1"/>
  <sheetData>
    <row r="1" spans="1:13">
      <c r="A1" s="42" t="str">
        <f ca="1">IFERROR(__xludf.DUMMYFUNCTION("QUERY(IMPORTRANGE(""1FwOKR1Wd8CiIMKrhY4aqdfQeQD4i3Z0kL8Yz2rETErQ"",""'ESTADÍSTICAS MIR'!A:M""),""SELECT * WHERE Col4='Guadalajara en Paz'"")"),"ID")</f>
        <v>ID</v>
      </c>
      <c r="B1" s="42" t="str">
        <f ca="1">IFERROR(__xludf.DUMMYFUNCTION("""COMPUTED_VALUE"""),"Responsable")</f>
        <v>Responsable</v>
      </c>
      <c r="C1" s="42" t="str">
        <f ca="1">IFERROR(__xludf.DUMMYFUNCTION("""COMPUTED_VALUE"""),"Coordinación")</f>
        <v>Coordinación</v>
      </c>
      <c r="D1" s="42" t="str">
        <f ca="1">IFERROR(__xludf.DUMMYFUNCTION("""COMPUTED_VALUE"""),"Eje")</f>
        <v>Eje</v>
      </c>
      <c r="E1" s="42" t="str">
        <f ca="1">IFERROR(__xludf.DUMMYFUNCTION("""COMPUTED_VALUE"""),"Programa")</f>
        <v>Programa</v>
      </c>
      <c r="F1" s="42" t="str">
        <f ca="1">IFERROR(__xludf.DUMMYFUNCTION("""COMPUTED_VALUE"""),"NIVEL")</f>
        <v>NIVEL</v>
      </c>
      <c r="G1" s="42" t="str">
        <f ca="1">IFERROR(__xludf.DUMMYFUNCTION("""COMPUTED_VALUE"""),"INDICADOR")</f>
        <v>INDICADOR</v>
      </c>
      <c r="H1" s="42" t="str">
        <f ca="1">IFERROR(__xludf.DUMMYFUNCTION("""COMPUTED_VALUE"""),"Mes-pob")</f>
        <v>Mes-pob</v>
      </c>
      <c r="I1" s="42" t="str">
        <f ca="1">IFERROR(__xludf.DUMMYFUNCTION("""COMPUTED_VALUE"""),"Mes")</f>
        <v>Mes</v>
      </c>
      <c r="J1" s="42" t="str">
        <f ca="1">IFERROR(__xludf.DUMMYFUNCTION("""COMPUTED_VALUE"""),"Pob")</f>
        <v>Pob</v>
      </c>
      <c r="K1" s="42" t="str">
        <f ca="1">IFERROR(__xludf.DUMMYFUNCTION("""COMPUTED_VALUE"""),"Total")</f>
        <v>Total</v>
      </c>
      <c r="L1" s="42" t="str">
        <f ca="1">IFERROR(__xludf.DUMMYFUNCTION("""COMPUTED_VALUE"""),"TRIMESTRE")</f>
        <v>TRIMESTRE</v>
      </c>
      <c r="M1" s="42" t="str">
        <f ca="1">IFERROR(__xludf.DUMMYFUNCTION("""COMPUTED_VALUE"""),"GRUPO ETARIO")</f>
        <v>GRUPO ETARIO</v>
      </c>
    </row>
    <row r="2" spans="1:13">
      <c r="A2" s="42" t="str">
        <f ca="1">IFERROR(__xludf.DUMMYFUNCTION("""COMPUTED_VALUE"""),"2.1.1.1")</f>
        <v>2.1.1.1</v>
      </c>
      <c r="B2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2" s="42" t="str">
        <f ca="1">IFERROR(__xludf.DUMMYFUNCTION("""COMPUTED_VALUE"""),"3. Operación")</f>
        <v>3. Operación</v>
      </c>
      <c r="D2" s="42" t="str">
        <f ca="1">IFERROR(__xludf.DUMMYFUNCTION("""COMPUTED_VALUE"""),"Guadalajara en Paz")</f>
        <v>Guadalajara en Paz</v>
      </c>
      <c r="E2" s="42" t="str">
        <f ca="1">IFERROR(__xludf.DUMMYFUNCTION("""COMPUTED_VALUE"""),"Trabajo Social Asistencial")</f>
        <v>Trabajo Social Asistencial</v>
      </c>
      <c r="F2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2" s="42" t="str">
        <f ca="1">IFERROR(__xludf.DUMMYFUNCTION("""COMPUTED_VALUE"""),"Apoyos asistenciales entregados en 2023")</f>
        <v>Apoyos asistenciales entregados en 2023</v>
      </c>
      <c r="H2" s="42" t="str">
        <f ca="1">IFERROR(__xludf.DUMMYFUNCTION("""COMPUTED_VALUE"""),"NAS enero")</f>
        <v>NAS enero</v>
      </c>
      <c r="I2" s="42" t="str">
        <f ca="1">IFERROR(__xludf.DUMMYFUNCTION("""COMPUTED_VALUE"""),"Enero")</f>
        <v>Enero</v>
      </c>
      <c r="J2" s="42" t="str">
        <f ca="1">IFERROR(__xludf.DUMMYFUNCTION("""COMPUTED_VALUE"""),"NAS")</f>
        <v>NAS</v>
      </c>
      <c r="K2" s="98">
        <f ca="1">IFERROR(__xludf.DUMMYFUNCTION("""COMPUTED_VALUE"""),0)</f>
        <v>0</v>
      </c>
      <c r="L2" s="42" t="str">
        <f ca="1">IFERROR(__xludf.DUMMYFUNCTION("""COMPUTED_VALUE"""),"TRIMESTRE 1")</f>
        <v>TRIMESTRE 1</v>
      </c>
      <c r="M2" s="42" t="str">
        <f ca="1">IFERROR(__xludf.DUMMYFUNCTION("""COMPUTED_VALUE"""),"NIÑAS")</f>
        <v>NIÑAS</v>
      </c>
    </row>
    <row r="3" spans="1:13">
      <c r="A3" s="42" t="str">
        <f ca="1">IFERROR(__xludf.DUMMYFUNCTION("""COMPUTED_VALUE"""),"2.1.1.1")</f>
        <v>2.1.1.1</v>
      </c>
      <c r="B3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3" s="42" t="str">
        <f ca="1">IFERROR(__xludf.DUMMYFUNCTION("""COMPUTED_VALUE"""),"3. Operación")</f>
        <v>3. Operación</v>
      </c>
      <c r="D3" s="42" t="str">
        <f ca="1">IFERROR(__xludf.DUMMYFUNCTION("""COMPUTED_VALUE"""),"Guadalajara en Paz")</f>
        <v>Guadalajara en Paz</v>
      </c>
      <c r="E3" s="42" t="str">
        <f ca="1">IFERROR(__xludf.DUMMYFUNCTION("""COMPUTED_VALUE"""),"Trabajo Social Asistencial")</f>
        <v>Trabajo Social Asistencial</v>
      </c>
      <c r="F3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3" s="42" t="str">
        <f ca="1">IFERROR(__xludf.DUMMYFUNCTION("""COMPUTED_VALUE"""),"Apoyos asistenciales entregados en 2023")</f>
        <v>Apoyos asistenciales entregados en 2023</v>
      </c>
      <c r="H3" s="42" t="str">
        <f ca="1">IFERROR(__xludf.DUMMYFUNCTION("""COMPUTED_VALUE"""),"NOS enero")</f>
        <v>NOS enero</v>
      </c>
      <c r="I3" s="42" t="str">
        <f ca="1">IFERROR(__xludf.DUMMYFUNCTION("""COMPUTED_VALUE"""),"Enero")</f>
        <v>Enero</v>
      </c>
      <c r="J3" s="42" t="str">
        <f ca="1">IFERROR(__xludf.DUMMYFUNCTION("""COMPUTED_VALUE"""),"NOS")</f>
        <v>NOS</v>
      </c>
      <c r="K3" s="98">
        <f ca="1">IFERROR(__xludf.DUMMYFUNCTION("""COMPUTED_VALUE"""),0)</f>
        <v>0</v>
      </c>
      <c r="L3" s="42" t="str">
        <f ca="1">IFERROR(__xludf.DUMMYFUNCTION("""COMPUTED_VALUE"""),"TRIMESTRE 1")</f>
        <v>TRIMESTRE 1</v>
      </c>
      <c r="M3" s="42" t="str">
        <f ca="1">IFERROR(__xludf.DUMMYFUNCTION("""COMPUTED_VALUE"""),"NIÑOS")</f>
        <v>NIÑOS</v>
      </c>
    </row>
    <row r="4" spans="1:13">
      <c r="A4" s="42" t="str">
        <f ca="1">IFERROR(__xludf.DUMMYFUNCTION("""COMPUTED_VALUE"""),"2.1.1.1")</f>
        <v>2.1.1.1</v>
      </c>
      <c r="B4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4" s="42" t="str">
        <f ca="1">IFERROR(__xludf.DUMMYFUNCTION("""COMPUTED_VALUE"""),"3. Operación")</f>
        <v>3. Operación</v>
      </c>
      <c r="D4" s="42" t="str">
        <f ca="1">IFERROR(__xludf.DUMMYFUNCTION("""COMPUTED_VALUE"""),"Guadalajara en Paz")</f>
        <v>Guadalajara en Paz</v>
      </c>
      <c r="E4" s="42" t="str">
        <f ca="1">IFERROR(__xludf.DUMMYFUNCTION("""COMPUTED_VALUE"""),"Trabajo Social Asistencial")</f>
        <v>Trabajo Social Asistencial</v>
      </c>
      <c r="F4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4" s="42" t="str">
        <f ca="1">IFERROR(__xludf.DUMMYFUNCTION("""COMPUTED_VALUE"""),"Apoyos asistenciales entregados en 2023")</f>
        <v>Apoyos asistenciales entregados en 2023</v>
      </c>
      <c r="H4" s="42" t="str">
        <f ca="1">IFERROR(__xludf.DUMMYFUNCTION("""COMPUTED_VALUE"""),"AM enero")</f>
        <v>AM enero</v>
      </c>
      <c r="I4" s="42" t="str">
        <f ca="1">IFERROR(__xludf.DUMMYFUNCTION("""COMPUTED_VALUE"""),"Enero")</f>
        <v>Enero</v>
      </c>
      <c r="J4" s="42" t="str">
        <f ca="1">IFERROR(__xludf.DUMMYFUNCTION("""COMPUTED_VALUE"""),"AM")</f>
        <v>AM</v>
      </c>
      <c r="K4" s="98">
        <f ca="1">IFERROR(__xludf.DUMMYFUNCTION("""COMPUTED_VALUE"""),0)</f>
        <v>0</v>
      </c>
      <c r="L4" s="42" t="str">
        <f ca="1">IFERROR(__xludf.DUMMYFUNCTION("""COMPUTED_VALUE"""),"TRIMESTRE 1")</f>
        <v>TRIMESTRE 1</v>
      </c>
      <c r="M4" s="42" t="str">
        <f ca="1">IFERROR(__xludf.DUMMYFUNCTION("""COMPUTED_VALUE"""),"ADOLESCENTES MUJERES")</f>
        <v>ADOLESCENTES MUJERES</v>
      </c>
    </row>
    <row r="5" spans="1:13">
      <c r="A5" s="42" t="str">
        <f ca="1">IFERROR(__xludf.DUMMYFUNCTION("""COMPUTED_VALUE"""),"2.1.1.1")</f>
        <v>2.1.1.1</v>
      </c>
      <c r="B5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5" s="42" t="str">
        <f ca="1">IFERROR(__xludf.DUMMYFUNCTION("""COMPUTED_VALUE"""),"3. Operación")</f>
        <v>3. Operación</v>
      </c>
      <c r="D5" s="42" t="str">
        <f ca="1">IFERROR(__xludf.DUMMYFUNCTION("""COMPUTED_VALUE"""),"Guadalajara en Paz")</f>
        <v>Guadalajara en Paz</v>
      </c>
      <c r="E5" s="42" t="str">
        <f ca="1">IFERROR(__xludf.DUMMYFUNCTION("""COMPUTED_VALUE"""),"Trabajo Social Asistencial")</f>
        <v>Trabajo Social Asistencial</v>
      </c>
      <c r="F5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5" s="42" t="str">
        <f ca="1">IFERROR(__xludf.DUMMYFUNCTION("""COMPUTED_VALUE"""),"Apoyos asistenciales entregados en 2023")</f>
        <v>Apoyos asistenciales entregados en 2023</v>
      </c>
      <c r="H5" s="42" t="str">
        <f ca="1">IFERROR(__xludf.DUMMYFUNCTION("""COMPUTED_VALUE"""),"AH enero")</f>
        <v>AH enero</v>
      </c>
      <c r="I5" s="42" t="str">
        <f ca="1">IFERROR(__xludf.DUMMYFUNCTION("""COMPUTED_VALUE"""),"Enero")</f>
        <v>Enero</v>
      </c>
      <c r="J5" s="42" t="str">
        <f ca="1">IFERROR(__xludf.DUMMYFUNCTION("""COMPUTED_VALUE"""),"AH")</f>
        <v>AH</v>
      </c>
      <c r="K5" s="98">
        <f ca="1">IFERROR(__xludf.DUMMYFUNCTION("""COMPUTED_VALUE"""),0)</f>
        <v>0</v>
      </c>
      <c r="L5" s="42" t="str">
        <f ca="1">IFERROR(__xludf.DUMMYFUNCTION("""COMPUTED_VALUE"""),"TRIMESTRE 1")</f>
        <v>TRIMESTRE 1</v>
      </c>
      <c r="M5" s="42" t="str">
        <f ca="1">IFERROR(__xludf.DUMMYFUNCTION("""COMPUTED_VALUE"""),"ADOLESCENTES HOMBRES")</f>
        <v>ADOLESCENTES HOMBRES</v>
      </c>
    </row>
    <row r="6" spans="1:13">
      <c r="A6" s="42" t="str">
        <f ca="1">IFERROR(__xludf.DUMMYFUNCTION("""COMPUTED_VALUE"""),"2.1.1.1")</f>
        <v>2.1.1.1</v>
      </c>
      <c r="B6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6" s="42" t="str">
        <f ca="1">IFERROR(__xludf.DUMMYFUNCTION("""COMPUTED_VALUE"""),"3. Operación")</f>
        <v>3. Operación</v>
      </c>
      <c r="D6" s="42" t="str">
        <f ca="1">IFERROR(__xludf.DUMMYFUNCTION("""COMPUTED_VALUE"""),"Guadalajara en Paz")</f>
        <v>Guadalajara en Paz</v>
      </c>
      <c r="E6" s="42" t="str">
        <f ca="1">IFERROR(__xludf.DUMMYFUNCTION("""COMPUTED_VALUE"""),"Trabajo Social Asistencial")</f>
        <v>Trabajo Social Asistencial</v>
      </c>
      <c r="F6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6" s="42" t="str">
        <f ca="1">IFERROR(__xludf.DUMMYFUNCTION("""COMPUTED_VALUE"""),"Apoyos asistenciales entregados en 2023")</f>
        <v>Apoyos asistenciales entregados en 2023</v>
      </c>
      <c r="H6" s="42" t="str">
        <f ca="1">IFERROR(__xludf.DUMMYFUNCTION("""COMPUTED_VALUE"""),"MUJ enero")</f>
        <v>MUJ enero</v>
      </c>
      <c r="I6" s="42" t="str">
        <f ca="1">IFERROR(__xludf.DUMMYFUNCTION("""COMPUTED_VALUE"""),"Enero")</f>
        <v>Enero</v>
      </c>
      <c r="J6" s="42" t="str">
        <f ca="1">IFERROR(__xludf.DUMMYFUNCTION("""COMPUTED_VALUE"""),"MUJ")</f>
        <v>MUJ</v>
      </c>
      <c r="K6" s="98">
        <f ca="1">IFERROR(__xludf.DUMMYFUNCTION("""COMPUTED_VALUE"""),0)</f>
        <v>0</v>
      </c>
      <c r="L6" s="42" t="str">
        <f ca="1">IFERROR(__xludf.DUMMYFUNCTION("""COMPUTED_VALUE"""),"TRIMESTRE 1")</f>
        <v>TRIMESTRE 1</v>
      </c>
      <c r="M6" s="42" t="str">
        <f ca="1">IFERROR(__xludf.DUMMYFUNCTION("""COMPUTED_VALUE"""),"MUJERES ADULTAS")</f>
        <v>MUJERES ADULTAS</v>
      </c>
    </row>
    <row r="7" spans="1:13">
      <c r="A7" s="42" t="str">
        <f ca="1">IFERROR(__xludf.DUMMYFUNCTION("""COMPUTED_VALUE"""),"2.1.1.1")</f>
        <v>2.1.1.1</v>
      </c>
      <c r="B7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7" s="42" t="str">
        <f ca="1">IFERROR(__xludf.DUMMYFUNCTION("""COMPUTED_VALUE"""),"3. Operación")</f>
        <v>3. Operación</v>
      </c>
      <c r="D7" s="42" t="str">
        <f ca="1">IFERROR(__xludf.DUMMYFUNCTION("""COMPUTED_VALUE"""),"Guadalajara en Paz")</f>
        <v>Guadalajara en Paz</v>
      </c>
      <c r="E7" s="42" t="str">
        <f ca="1">IFERROR(__xludf.DUMMYFUNCTION("""COMPUTED_VALUE"""),"Trabajo Social Asistencial")</f>
        <v>Trabajo Social Asistencial</v>
      </c>
      <c r="F7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7" s="42" t="str">
        <f ca="1">IFERROR(__xludf.DUMMYFUNCTION("""COMPUTED_VALUE"""),"Apoyos asistenciales entregados en 2023")</f>
        <v>Apoyos asistenciales entregados en 2023</v>
      </c>
      <c r="H7" s="42" t="str">
        <f ca="1">IFERROR(__xludf.DUMMYFUNCTION("""COMPUTED_VALUE"""),"HOM enero")</f>
        <v>HOM enero</v>
      </c>
      <c r="I7" s="42" t="str">
        <f ca="1">IFERROR(__xludf.DUMMYFUNCTION("""COMPUTED_VALUE"""),"Enero")</f>
        <v>Enero</v>
      </c>
      <c r="J7" s="42" t="str">
        <f ca="1">IFERROR(__xludf.DUMMYFUNCTION("""COMPUTED_VALUE"""),"HOM")</f>
        <v>HOM</v>
      </c>
      <c r="K7" s="98">
        <f ca="1">IFERROR(__xludf.DUMMYFUNCTION("""COMPUTED_VALUE"""),0)</f>
        <v>0</v>
      </c>
      <c r="L7" s="42" t="str">
        <f ca="1">IFERROR(__xludf.DUMMYFUNCTION("""COMPUTED_VALUE"""),"TRIMESTRE 1")</f>
        <v>TRIMESTRE 1</v>
      </c>
      <c r="M7" s="42" t="str">
        <f ca="1">IFERROR(__xludf.DUMMYFUNCTION("""COMPUTED_VALUE"""),"HOMBRES ADULTOS")</f>
        <v>HOMBRES ADULTOS</v>
      </c>
    </row>
    <row r="8" spans="1:13">
      <c r="A8" s="42" t="str">
        <f ca="1">IFERROR(__xludf.DUMMYFUNCTION("""COMPUTED_VALUE"""),"2.1.1.1")</f>
        <v>2.1.1.1</v>
      </c>
      <c r="B8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8" s="42" t="str">
        <f ca="1">IFERROR(__xludf.DUMMYFUNCTION("""COMPUTED_VALUE"""),"3. Operación")</f>
        <v>3. Operación</v>
      </c>
      <c r="D8" s="42" t="str">
        <f ca="1">IFERROR(__xludf.DUMMYFUNCTION("""COMPUTED_VALUE"""),"Guadalajara en Paz")</f>
        <v>Guadalajara en Paz</v>
      </c>
      <c r="E8" s="42" t="str">
        <f ca="1">IFERROR(__xludf.DUMMYFUNCTION("""COMPUTED_VALUE"""),"Trabajo Social Asistencial")</f>
        <v>Trabajo Social Asistencial</v>
      </c>
      <c r="F8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8" s="42" t="str">
        <f ca="1">IFERROR(__xludf.DUMMYFUNCTION("""COMPUTED_VALUE"""),"Apoyos asistenciales entregados en 2023")</f>
        <v>Apoyos asistenciales entregados en 2023</v>
      </c>
      <c r="H8" s="42" t="str">
        <f ca="1">IFERROR(__xludf.DUMMYFUNCTION("""COMPUTED_VALUE"""),"AMM enero")</f>
        <v>AMM enero</v>
      </c>
      <c r="I8" s="42" t="str">
        <f ca="1">IFERROR(__xludf.DUMMYFUNCTION("""COMPUTED_VALUE"""),"Enero")</f>
        <v>Enero</v>
      </c>
      <c r="J8" s="42" t="str">
        <f ca="1">IFERROR(__xludf.DUMMYFUNCTION("""COMPUTED_VALUE"""),"AMM")</f>
        <v>AMM</v>
      </c>
      <c r="K8" s="98">
        <f ca="1">IFERROR(__xludf.DUMMYFUNCTION("""COMPUTED_VALUE"""),0)</f>
        <v>0</v>
      </c>
      <c r="L8" s="42" t="str">
        <f ca="1">IFERROR(__xludf.DUMMYFUNCTION("""COMPUTED_VALUE"""),"TRIMESTRE 1")</f>
        <v>TRIMESTRE 1</v>
      </c>
      <c r="M8" s="42" t="str">
        <f ca="1">IFERROR(__xludf.DUMMYFUNCTION("""COMPUTED_VALUE"""),"ADULTA MAYOR MUJER")</f>
        <v>ADULTA MAYOR MUJER</v>
      </c>
    </row>
    <row r="9" spans="1:13">
      <c r="A9" s="42" t="str">
        <f ca="1">IFERROR(__xludf.DUMMYFUNCTION("""COMPUTED_VALUE"""),"2.1.1.1")</f>
        <v>2.1.1.1</v>
      </c>
      <c r="B9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9" s="42" t="str">
        <f ca="1">IFERROR(__xludf.DUMMYFUNCTION("""COMPUTED_VALUE"""),"3. Operación")</f>
        <v>3. Operación</v>
      </c>
      <c r="D9" s="42" t="str">
        <f ca="1">IFERROR(__xludf.DUMMYFUNCTION("""COMPUTED_VALUE"""),"Guadalajara en Paz")</f>
        <v>Guadalajara en Paz</v>
      </c>
      <c r="E9" s="42" t="str">
        <f ca="1">IFERROR(__xludf.DUMMYFUNCTION("""COMPUTED_VALUE"""),"Trabajo Social Asistencial")</f>
        <v>Trabajo Social Asistencial</v>
      </c>
      <c r="F9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9" s="42" t="str">
        <f ca="1">IFERROR(__xludf.DUMMYFUNCTION("""COMPUTED_VALUE"""),"Apoyos asistenciales entregados en 2023")</f>
        <v>Apoyos asistenciales entregados en 2023</v>
      </c>
      <c r="H9" s="42" t="str">
        <f ca="1">IFERROR(__xludf.DUMMYFUNCTION("""COMPUTED_VALUE"""),"AMH enero")</f>
        <v>AMH enero</v>
      </c>
      <c r="I9" s="42" t="str">
        <f ca="1">IFERROR(__xludf.DUMMYFUNCTION("""COMPUTED_VALUE"""),"Enero")</f>
        <v>Enero</v>
      </c>
      <c r="J9" s="42" t="str">
        <f ca="1">IFERROR(__xludf.DUMMYFUNCTION("""COMPUTED_VALUE"""),"AMH")</f>
        <v>AMH</v>
      </c>
      <c r="K9" s="98">
        <f ca="1">IFERROR(__xludf.DUMMYFUNCTION("""COMPUTED_VALUE"""),0)</f>
        <v>0</v>
      </c>
      <c r="L9" s="42" t="str">
        <f ca="1">IFERROR(__xludf.DUMMYFUNCTION("""COMPUTED_VALUE"""),"TRIMESTRE 1")</f>
        <v>TRIMESTRE 1</v>
      </c>
      <c r="M9" s="42" t="str">
        <f ca="1">IFERROR(__xludf.DUMMYFUNCTION("""COMPUTED_VALUE"""),"ADULTO MAYOR HOMBRE")</f>
        <v>ADULTO MAYOR HOMBRE</v>
      </c>
    </row>
    <row r="10" spans="1:13">
      <c r="A10" s="42" t="str">
        <f ca="1">IFERROR(__xludf.DUMMYFUNCTION("""COMPUTED_VALUE"""),"2.1.1.1")</f>
        <v>2.1.1.1</v>
      </c>
      <c r="B10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10" s="42" t="str">
        <f ca="1">IFERROR(__xludf.DUMMYFUNCTION("""COMPUTED_VALUE"""),"3. Operación")</f>
        <v>3. Operación</v>
      </c>
      <c r="D10" s="42" t="str">
        <f ca="1">IFERROR(__xludf.DUMMYFUNCTION("""COMPUTED_VALUE"""),"Guadalajara en Paz")</f>
        <v>Guadalajara en Paz</v>
      </c>
      <c r="E10" s="42" t="str">
        <f ca="1">IFERROR(__xludf.DUMMYFUNCTION("""COMPUTED_VALUE"""),"Trabajo Social Asistencial")</f>
        <v>Trabajo Social Asistencial</v>
      </c>
      <c r="F10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10" s="42" t="str">
        <f ca="1">IFERROR(__xludf.DUMMYFUNCTION("""COMPUTED_VALUE"""),"Apoyos asistenciales entregados en 2023")</f>
        <v>Apoyos asistenciales entregados en 2023</v>
      </c>
      <c r="H10" s="42" t="str">
        <f ca="1">IFERROR(__xludf.DUMMYFUNCTION("""COMPUTED_VALUE"""),"NAS Febrero")</f>
        <v>NAS Febrero</v>
      </c>
      <c r="I10" s="42" t="str">
        <f ca="1">IFERROR(__xludf.DUMMYFUNCTION("""COMPUTED_VALUE"""),"Febrero")</f>
        <v>Febrero</v>
      </c>
      <c r="J10" s="42" t="str">
        <f ca="1">IFERROR(__xludf.DUMMYFUNCTION("""COMPUTED_VALUE"""),"NAS")</f>
        <v>NAS</v>
      </c>
      <c r="K10" s="98">
        <f ca="1">IFERROR(__xludf.DUMMYFUNCTION("""COMPUTED_VALUE"""),0)</f>
        <v>0</v>
      </c>
      <c r="L10" s="42" t="str">
        <f ca="1">IFERROR(__xludf.DUMMYFUNCTION("""COMPUTED_VALUE"""),"TRIMESTRE 1")</f>
        <v>TRIMESTRE 1</v>
      </c>
      <c r="M10" s="42" t="str">
        <f ca="1">IFERROR(__xludf.DUMMYFUNCTION("""COMPUTED_VALUE"""),"NIÑAS")</f>
        <v>NIÑAS</v>
      </c>
    </row>
    <row r="11" spans="1:13">
      <c r="A11" s="42" t="str">
        <f ca="1">IFERROR(__xludf.DUMMYFUNCTION("""COMPUTED_VALUE"""),"2.1.1.1")</f>
        <v>2.1.1.1</v>
      </c>
      <c r="B11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11" s="42" t="str">
        <f ca="1">IFERROR(__xludf.DUMMYFUNCTION("""COMPUTED_VALUE"""),"3. Operación")</f>
        <v>3. Operación</v>
      </c>
      <c r="D11" s="42" t="str">
        <f ca="1">IFERROR(__xludf.DUMMYFUNCTION("""COMPUTED_VALUE"""),"Guadalajara en Paz")</f>
        <v>Guadalajara en Paz</v>
      </c>
      <c r="E11" s="42" t="str">
        <f ca="1">IFERROR(__xludf.DUMMYFUNCTION("""COMPUTED_VALUE"""),"Trabajo Social Asistencial")</f>
        <v>Trabajo Social Asistencial</v>
      </c>
      <c r="F11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11" s="42" t="str">
        <f ca="1">IFERROR(__xludf.DUMMYFUNCTION("""COMPUTED_VALUE"""),"Apoyos asistenciales entregados en 2023")</f>
        <v>Apoyos asistenciales entregados en 2023</v>
      </c>
      <c r="H11" s="42" t="str">
        <f ca="1">IFERROR(__xludf.DUMMYFUNCTION("""COMPUTED_VALUE"""),"NOS Febrero")</f>
        <v>NOS Febrero</v>
      </c>
      <c r="I11" s="42" t="str">
        <f ca="1">IFERROR(__xludf.DUMMYFUNCTION("""COMPUTED_VALUE"""),"Febrero")</f>
        <v>Febrero</v>
      </c>
      <c r="J11" s="42" t="str">
        <f ca="1">IFERROR(__xludf.DUMMYFUNCTION("""COMPUTED_VALUE"""),"NOS")</f>
        <v>NOS</v>
      </c>
      <c r="K11" s="98">
        <f ca="1">IFERROR(__xludf.DUMMYFUNCTION("""COMPUTED_VALUE"""),1)</f>
        <v>1</v>
      </c>
      <c r="L11" s="42" t="str">
        <f ca="1">IFERROR(__xludf.DUMMYFUNCTION("""COMPUTED_VALUE"""),"TRIMESTRE 1")</f>
        <v>TRIMESTRE 1</v>
      </c>
      <c r="M11" s="42" t="str">
        <f ca="1">IFERROR(__xludf.DUMMYFUNCTION("""COMPUTED_VALUE"""),"NIÑOS")</f>
        <v>NIÑOS</v>
      </c>
    </row>
    <row r="12" spans="1:13">
      <c r="A12" s="42" t="str">
        <f ca="1">IFERROR(__xludf.DUMMYFUNCTION("""COMPUTED_VALUE"""),"2.1.1.1")</f>
        <v>2.1.1.1</v>
      </c>
      <c r="B12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12" s="42" t="str">
        <f ca="1">IFERROR(__xludf.DUMMYFUNCTION("""COMPUTED_VALUE"""),"3. Operación")</f>
        <v>3. Operación</v>
      </c>
      <c r="D12" s="42" t="str">
        <f ca="1">IFERROR(__xludf.DUMMYFUNCTION("""COMPUTED_VALUE"""),"Guadalajara en Paz")</f>
        <v>Guadalajara en Paz</v>
      </c>
      <c r="E12" s="42" t="str">
        <f ca="1">IFERROR(__xludf.DUMMYFUNCTION("""COMPUTED_VALUE"""),"Trabajo Social Asistencial")</f>
        <v>Trabajo Social Asistencial</v>
      </c>
      <c r="F12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12" s="42" t="str">
        <f ca="1">IFERROR(__xludf.DUMMYFUNCTION("""COMPUTED_VALUE"""),"Apoyos asistenciales entregados en 2023")</f>
        <v>Apoyos asistenciales entregados en 2023</v>
      </c>
      <c r="H12" s="42" t="str">
        <f ca="1">IFERROR(__xludf.DUMMYFUNCTION("""COMPUTED_VALUE"""),"AM FEBRERO")</f>
        <v>AM FEBRERO</v>
      </c>
      <c r="I12" s="42" t="str">
        <f ca="1">IFERROR(__xludf.DUMMYFUNCTION("""COMPUTED_VALUE"""),"Febrero")</f>
        <v>Febrero</v>
      </c>
      <c r="J12" s="42" t="str">
        <f ca="1">IFERROR(__xludf.DUMMYFUNCTION("""COMPUTED_VALUE"""),"AM")</f>
        <v>AM</v>
      </c>
      <c r="K12" s="98">
        <f ca="1">IFERROR(__xludf.DUMMYFUNCTION("""COMPUTED_VALUE"""),0)</f>
        <v>0</v>
      </c>
      <c r="L12" s="42" t="str">
        <f ca="1">IFERROR(__xludf.DUMMYFUNCTION("""COMPUTED_VALUE"""),"TRIMESTRE 1")</f>
        <v>TRIMESTRE 1</v>
      </c>
      <c r="M12" s="42" t="str">
        <f ca="1">IFERROR(__xludf.DUMMYFUNCTION("""COMPUTED_VALUE"""),"ADOLESCENTES MUJERES")</f>
        <v>ADOLESCENTES MUJERES</v>
      </c>
    </row>
    <row r="13" spans="1:13">
      <c r="A13" s="42" t="str">
        <f ca="1">IFERROR(__xludf.DUMMYFUNCTION("""COMPUTED_VALUE"""),"2.1.1.1")</f>
        <v>2.1.1.1</v>
      </c>
      <c r="B13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13" s="42" t="str">
        <f ca="1">IFERROR(__xludf.DUMMYFUNCTION("""COMPUTED_VALUE"""),"3. Operación")</f>
        <v>3. Operación</v>
      </c>
      <c r="D13" s="42" t="str">
        <f ca="1">IFERROR(__xludf.DUMMYFUNCTION("""COMPUTED_VALUE"""),"Guadalajara en Paz")</f>
        <v>Guadalajara en Paz</v>
      </c>
      <c r="E13" s="42" t="str">
        <f ca="1">IFERROR(__xludf.DUMMYFUNCTION("""COMPUTED_VALUE"""),"Trabajo Social Asistencial")</f>
        <v>Trabajo Social Asistencial</v>
      </c>
      <c r="F13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13" s="42" t="str">
        <f ca="1">IFERROR(__xludf.DUMMYFUNCTION("""COMPUTED_VALUE"""),"Apoyos asistenciales entregados en 2023")</f>
        <v>Apoyos asistenciales entregados en 2023</v>
      </c>
      <c r="H13" s="42" t="str">
        <f ca="1">IFERROR(__xludf.DUMMYFUNCTION("""COMPUTED_VALUE"""),"AH FEBRERO")</f>
        <v>AH FEBRERO</v>
      </c>
      <c r="I13" s="42" t="str">
        <f ca="1">IFERROR(__xludf.DUMMYFUNCTION("""COMPUTED_VALUE"""),"Febrero")</f>
        <v>Febrero</v>
      </c>
      <c r="J13" s="42" t="str">
        <f ca="1">IFERROR(__xludf.DUMMYFUNCTION("""COMPUTED_VALUE"""),"AH")</f>
        <v>AH</v>
      </c>
      <c r="K13" s="98">
        <f ca="1">IFERROR(__xludf.DUMMYFUNCTION("""COMPUTED_VALUE"""),0)</f>
        <v>0</v>
      </c>
      <c r="L13" s="42" t="str">
        <f ca="1">IFERROR(__xludf.DUMMYFUNCTION("""COMPUTED_VALUE"""),"TRIMESTRE 1")</f>
        <v>TRIMESTRE 1</v>
      </c>
      <c r="M13" s="42" t="str">
        <f ca="1">IFERROR(__xludf.DUMMYFUNCTION("""COMPUTED_VALUE"""),"ADOLESCENTES HOMBRES")</f>
        <v>ADOLESCENTES HOMBRES</v>
      </c>
    </row>
    <row r="14" spans="1:13">
      <c r="A14" s="42" t="str">
        <f ca="1">IFERROR(__xludf.DUMMYFUNCTION("""COMPUTED_VALUE"""),"2.1.1.1")</f>
        <v>2.1.1.1</v>
      </c>
      <c r="B14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14" s="42" t="str">
        <f ca="1">IFERROR(__xludf.DUMMYFUNCTION("""COMPUTED_VALUE"""),"3. Operación")</f>
        <v>3. Operación</v>
      </c>
      <c r="D14" s="42" t="str">
        <f ca="1">IFERROR(__xludf.DUMMYFUNCTION("""COMPUTED_VALUE"""),"Guadalajara en Paz")</f>
        <v>Guadalajara en Paz</v>
      </c>
      <c r="E14" s="42" t="str">
        <f ca="1">IFERROR(__xludf.DUMMYFUNCTION("""COMPUTED_VALUE"""),"Trabajo Social Asistencial")</f>
        <v>Trabajo Social Asistencial</v>
      </c>
      <c r="F14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14" s="42" t="str">
        <f ca="1">IFERROR(__xludf.DUMMYFUNCTION("""COMPUTED_VALUE"""),"Apoyos asistenciales entregados en 2023")</f>
        <v>Apoyos asistenciales entregados en 2023</v>
      </c>
      <c r="H14" s="42" t="str">
        <f ca="1">IFERROR(__xludf.DUMMYFUNCTION("""COMPUTED_VALUE"""),"MUJ Febrero")</f>
        <v>MUJ Febrero</v>
      </c>
      <c r="I14" s="42" t="str">
        <f ca="1">IFERROR(__xludf.DUMMYFUNCTION("""COMPUTED_VALUE"""),"Febrero")</f>
        <v>Febrero</v>
      </c>
      <c r="J14" s="42" t="str">
        <f ca="1">IFERROR(__xludf.DUMMYFUNCTION("""COMPUTED_VALUE"""),"MUJ")</f>
        <v>MUJ</v>
      </c>
      <c r="K14" s="98">
        <f ca="1">IFERROR(__xludf.DUMMYFUNCTION("""COMPUTED_VALUE"""),1)</f>
        <v>1</v>
      </c>
      <c r="L14" s="42" t="str">
        <f ca="1">IFERROR(__xludf.DUMMYFUNCTION("""COMPUTED_VALUE"""),"TRIMESTRE 1")</f>
        <v>TRIMESTRE 1</v>
      </c>
      <c r="M14" s="42" t="str">
        <f ca="1">IFERROR(__xludf.DUMMYFUNCTION("""COMPUTED_VALUE"""),"MUJERES ADULTAS")</f>
        <v>MUJERES ADULTAS</v>
      </c>
    </row>
    <row r="15" spans="1:13">
      <c r="A15" s="42" t="str">
        <f ca="1">IFERROR(__xludf.DUMMYFUNCTION("""COMPUTED_VALUE"""),"2.1.1.1")</f>
        <v>2.1.1.1</v>
      </c>
      <c r="B15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15" s="42" t="str">
        <f ca="1">IFERROR(__xludf.DUMMYFUNCTION("""COMPUTED_VALUE"""),"3. Operación")</f>
        <v>3. Operación</v>
      </c>
      <c r="D15" s="42" t="str">
        <f ca="1">IFERROR(__xludf.DUMMYFUNCTION("""COMPUTED_VALUE"""),"Guadalajara en Paz")</f>
        <v>Guadalajara en Paz</v>
      </c>
      <c r="E15" s="42" t="str">
        <f ca="1">IFERROR(__xludf.DUMMYFUNCTION("""COMPUTED_VALUE"""),"Trabajo Social Asistencial")</f>
        <v>Trabajo Social Asistencial</v>
      </c>
      <c r="F15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15" s="42" t="str">
        <f ca="1">IFERROR(__xludf.DUMMYFUNCTION("""COMPUTED_VALUE"""),"Apoyos asistenciales entregados en 2023")</f>
        <v>Apoyos asistenciales entregados en 2023</v>
      </c>
      <c r="H15" s="42" t="str">
        <f ca="1">IFERROR(__xludf.DUMMYFUNCTION("""COMPUTED_VALUE"""),"HOM Febrero")</f>
        <v>HOM Febrero</v>
      </c>
      <c r="I15" s="42" t="str">
        <f ca="1">IFERROR(__xludf.DUMMYFUNCTION("""COMPUTED_VALUE"""),"Febrero")</f>
        <v>Febrero</v>
      </c>
      <c r="J15" s="42" t="str">
        <f ca="1">IFERROR(__xludf.DUMMYFUNCTION("""COMPUTED_VALUE"""),"HOM")</f>
        <v>HOM</v>
      </c>
      <c r="K15" s="98">
        <f ca="1">IFERROR(__xludf.DUMMYFUNCTION("""COMPUTED_VALUE"""),1)</f>
        <v>1</v>
      </c>
      <c r="L15" s="42" t="str">
        <f ca="1">IFERROR(__xludf.DUMMYFUNCTION("""COMPUTED_VALUE"""),"TRIMESTRE 1")</f>
        <v>TRIMESTRE 1</v>
      </c>
      <c r="M15" s="42" t="str">
        <f ca="1">IFERROR(__xludf.DUMMYFUNCTION("""COMPUTED_VALUE"""),"HOMBRES ADULTOS")</f>
        <v>HOMBRES ADULTOS</v>
      </c>
    </row>
    <row r="16" spans="1:13">
      <c r="A16" s="42" t="str">
        <f ca="1">IFERROR(__xludf.DUMMYFUNCTION("""COMPUTED_VALUE"""),"2.1.1.1")</f>
        <v>2.1.1.1</v>
      </c>
      <c r="B16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16" s="42" t="str">
        <f ca="1">IFERROR(__xludf.DUMMYFUNCTION("""COMPUTED_VALUE"""),"3. Operación")</f>
        <v>3. Operación</v>
      </c>
      <c r="D16" s="42" t="str">
        <f ca="1">IFERROR(__xludf.DUMMYFUNCTION("""COMPUTED_VALUE"""),"Guadalajara en Paz")</f>
        <v>Guadalajara en Paz</v>
      </c>
      <c r="E16" s="42" t="str">
        <f ca="1">IFERROR(__xludf.DUMMYFUNCTION("""COMPUTED_VALUE"""),"Trabajo Social Asistencial")</f>
        <v>Trabajo Social Asistencial</v>
      </c>
      <c r="F16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16" s="42" t="str">
        <f ca="1">IFERROR(__xludf.DUMMYFUNCTION("""COMPUTED_VALUE"""),"Apoyos asistenciales entregados en 2023")</f>
        <v>Apoyos asistenciales entregados en 2023</v>
      </c>
      <c r="H16" s="42" t="str">
        <f ca="1">IFERROR(__xludf.DUMMYFUNCTION("""COMPUTED_VALUE"""),"AMM Febrero")</f>
        <v>AMM Febrero</v>
      </c>
      <c r="I16" s="42" t="str">
        <f ca="1">IFERROR(__xludf.DUMMYFUNCTION("""COMPUTED_VALUE"""),"Febrero")</f>
        <v>Febrero</v>
      </c>
      <c r="J16" s="42" t="str">
        <f ca="1">IFERROR(__xludf.DUMMYFUNCTION("""COMPUTED_VALUE"""),"AMM")</f>
        <v>AMM</v>
      </c>
      <c r="K16" s="98">
        <f ca="1">IFERROR(__xludf.DUMMYFUNCTION("""COMPUTED_VALUE"""),2)</f>
        <v>2</v>
      </c>
      <c r="L16" s="42" t="str">
        <f ca="1">IFERROR(__xludf.DUMMYFUNCTION("""COMPUTED_VALUE"""),"TRIMESTRE 1")</f>
        <v>TRIMESTRE 1</v>
      </c>
      <c r="M16" s="42" t="str">
        <f ca="1">IFERROR(__xludf.DUMMYFUNCTION("""COMPUTED_VALUE"""),"ADULTA MAYOR MUJER")</f>
        <v>ADULTA MAYOR MUJER</v>
      </c>
    </row>
    <row r="17" spans="1:13">
      <c r="A17" s="42" t="str">
        <f ca="1">IFERROR(__xludf.DUMMYFUNCTION("""COMPUTED_VALUE"""),"2.1.1.1")</f>
        <v>2.1.1.1</v>
      </c>
      <c r="B17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17" s="42" t="str">
        <f ca="1">IFERROR(__xludf.DUMMYFUNCTION("""COMPUTED_VALUE"""),"3. Operación")</f>
        <v>3. Operación</v>
      </c>
      <c r="D17" s="42" t="str">
        <f ca="1">IFERROR(__xludf.DUMMYFUNCTION("""COMPUTED_VALUE"""),"Guadalajara en Paz")</f>
        <v>Guadalajara en Paz</v>
      </c>
      <c r="E17" s="42" t="str">
        <f ca="1">IFERROR(__xludf.DUMMYFUNCTION("""COMPUTED_VALUE"""),"Trabajo Social Asistencial")</f>
        <v>Trabajo Social Asistencial</v>
      </c>
      <c r="F17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17" s="42" t="str">
        <f ca="1">IFERROR(__xludf.DUMMYFUNCTION("""COMPUTED_VALUE"""),"Apoyos asistenciales entregados en 2023")</f>
        <v>Apoyos asistenciales entregados en 2023</v>
      </c>
      <c r="H17" s="42" t="str">
        <f ca="1">IFERROR(__xludf.DUMMYFUNCTION("""COMPUTED_VALUE"""),"AMH Febrero")</f>
        <v>AMH Febrero</v>
      </c>
      <c r="I17" s="42" t="str">
        <f ca="1">IFERROR(__xludf.DUMMYFUNCTION("""COMPUTED_VALUE"""),"Febrero")</f>
        <v>Febrero</v>
      </c>
      <c r="J17" s="42" t="str">
        <f ca="1">IFERROR(__xludf.DUMMYFUNCTION("""COMPUTED_VALUE"""),"AMH")</f>
        <v>AMH</v>
      </c>
      <c r="K17" s="98">
        <f ca="1">IFERROR(__xludf.DUMMYFUNCTION("""COMPUTED_VALUE"""),1)</f>
        <v>1</v>
      </c>
      <c r="L17" s="42" t="str">
        <f ca="1">IFERROR(__xludf.DUMMYFUNCTION("""COMPUTED_VALUE"""),"TRIMESTRE 1")</f>
        <v>TRIMESTRE 1</v>
      </c>
      <c r="M17" s="42" t="str">
        <f ca="1">IFERROR(__xludf.DUMMYFUNCTION("""COMPUTED_VALUE"""),"ADULTO MAYOR HOMBRE")</f>
        <v>ADULTO MAYOR HOMBRE</v>
      </c>
    </row>
    <row r="18" spans="1:13">
      <c r="A18" s="42" t="str">
        <f ca="1">IFERROR(__xludf.DUMMYFUNCTION("""COMPUTED_VALUE"""),"2.1.1.1")</f>
        <v>2.1.1.1</v>
      </c>
      <c r="B18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18" s="42" t="str">
        <f ca="1">IFERROR(__xludf.DUMMYFUNCTION("""COMPUTED_VALUE"""),"3. Operación")</f>
        <v>3. Operación</v>
      </c>
      <c r="D18" s="42" t="str">
        <f ca="1">IFERROR(__xludf.DUMMYFUNCTION("""COMPUTED_VALUE"""),"Guadalajara en Paz")</f>
        <v>Guadalajara en Paz</v>
      </c>
      <c r="E18" s="42" t="str">
        <f ca="1">IFERROR(__xludf.DUMMYFUNCTION("""COMPUTED_VALUE"""),"Trabajo Social Asistencial")</f>
        <v>Trabajo Social Asistencial</v>
      </c>
      <c r="F18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18" s="42" t="str">
        <f ca="1">IFERROR(__xludf.DUMMYFUNCTION("""COMPUTED_VALUE"""),"Apoyos asistenciales entregados en 2023")</f>
        <v>Apoyos asistenciales entregados en 2023</v>
      </c>
      <c r="H18" s="42" t="str">
        <f ca="1">IFERROR(__xludf.DUMMYFUNCTION("""COMPUTED_VALUE"""),"NAS Marzo")</f>
        <v>NAS Marzo</v>
      </c>
      <c r="I18" s="42" t="str">
        <f ca="1">IFERROR(__xludf.DUMMYFUNCTION("""COMPUTED_VALUE"""),"Marzo")</f>
        <v>Marzo</v>
      </c>
      <c r="J18" s="42" t="str">
        <f ca="1">IFERROR(__xludf.DUMMYFUNCTION("""COMPUTED_VALUE"""),"NAS")</f>
        <v>NAS</v>
      </c>
      <c r="K18" s="98">
        <f ca="1">IFERROR(__xludf.DUMMYFUNCTION("""COMPUTED_VALUE"""),9)</f>
        <v>9</v>
      </c>
      <c r="L18" s="42" t="str">
        <f ca="1">IFERROR(__xludf.DUMMYFUNCTION("""COMPUTED_VALUE"""),"TRIMESTRE 1")</f>
        <v>TRIMESTRE 1</v>
      </c>
      <c r="M18" s="42" t="str">
        <f ca="1">IFERROR(__xludf.DUMMYFUNCTION("""COMPUTED_VALUE"""),"NIÑAS")</f>
        <v>NIÑAS</v>
      </c>
    </row>
    <row r="19" spans="1:13">
      <c r="A19" s="42" t="str">
        <f ca="1">IFERROR(__xludf.DUMMYFUNCTION("""COMPUTED_VALUE"""),"2.1.1.1")</f>
        <v>2.1.1.1</v>
      </c>
      <c r="B19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19" s="42" t="str">
        <f ca="1">IFERROR(__xludf.DUMMYFUNCTION("""COMPUTED_VALUE"""),"3. Operación")</f>
        <v>3. Operación</v>
      </c>
      <c r="D19" s="42" t="str">
        <f ca="1">IFERROR(__xludf.DUMMYFUNCTION("""COMPUTED_VALUE"""),"Guadalajara en Paz")</f>
        <v>Guadalajara en Paz</v>
      </c>
      <c r="E19" s="42" t="str">
        <f ca="1">IFERROR(__xludf.DUMMYFUNCTION("""COMPUTED_VALUE"""),"Trabajo Social Asistencial")</f>
        <v>Trabajo Social Asistencial</v>
      </c>
      <c r="F19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19" s="42" t="str">
        <f ca="1">IFERROR(__xludf.DUMMYFUNCTION("""COMPUTED_VALUE"""),"Apoyos asistenciales entregados en 2023")</f>
        <v>Apoyos asistenciales entregados en 2023</v>
      </c>
      <c r="H19" s="42" t="str">
        <f ca="1">IFERROR(__xludf.DUMMYFUNCTION("""COMPUTED_VALUE"""),"NOS Marzo")</f>
        <v>NOS Marzo</v>
      </c>
      <c r="I19" s="42" t="str">
        <f ca="1">IFERROR(__xludf.DUMMYFUNCTION("""COMPUTED_VALUE"""),"Marzo")</f>
        <v>Marzo</v>
      </c>
      <c r="J19" s="42" t="str">
        <f ca="1">IFERROR(__xludf.DUMMYFUNCTION("""COMPUTED_VALUE"""),"NOS")</f>
        <v>NOS</v>
      </c>
      <c r="K19" s="98">
        <f ca="1">IFERROR(__xludf.DUMMYFUNCTION("""COMPUTED_VALUE"""),8)</f>
        <v>8</v>
      </c>
      <c r="L19" s="42" t="str">
        <f ca="1">IFERROR(__xludf.DUMMYFUNCTION("""COMPUTED_VALUE"""),"TRIMESTRE 1")</f>
        <v>TRIMESTRE 1</v>
      </c>
      <c r="M19" s="42" t="str">
        <f ca="1">IFERROR(__xludf.DUMMYFUNCTION("""COMPUTED_VALUE"""),"NIÑOS")</f>
        <v>NIÑOS</v>
      </c>
    </row>
    <row r="20" spans="1:13">
      <c r="A20" s="42" t="str">
        <f ca="1">IFERROR(__xludf.DUMMYFUNCTION("""COMPUTED_VALUE"""),"2.1.1.1")</f>
        <v>2.1.1.1</v>
      </c>
      <c r="B20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20" s="42" t="str">
        <f ca="1">IFERROR(__xludf.DUMMYFUNCTION("""COMPUTED_VALUE"""),"3. Operación")</f>
        <v>3. Operación</v>
      </c>
      <c r="D20" s="42" t="str">
        <f ca="1">IFERROR(__xludf.DUMMYFUNCTION("""COMPUTED_VALUE"""),"Guadalajara en Paz")</f>
        <v>Guadalajara en Paz</v>
      </c>
      <c r="E20" s="42" t="str">
        <f ca="1">IFERROR(__xludf.DUMMYFUNCTION("""COMPUTED_VALUE"""),"Trabajo Social Asistencial")</f>
        <v>Trabajo Social Asistencial</v>
      </c>
      <c r="F20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20" s="42" t="str">
        <f ca="1">IFERROR(__xludf.DUMMYFUNCTION("""COMPUTED_VALUE"""),"Apoyos asistenciales entregados en 2023")</f>
        <v>Apoyos asistenciales entregados en 2023</v>
      </c>
      <c r="H20" s="42" t="str">
        <f ca="1">IFERROR(__xludf.DUMMYFUNCTION("""COMPUTED_VALUE"""),"AM MARZO")</f>
        <v>AM MARZO</v>
      </c>
      <c r="I20" s="42" t="str">
        <f ca="1">IFERROR(__xludf.DUMMYFUNCTION("""COMPUTED_VALUE"""),"Marzo")</f>
        <v>Marzo</v>
      </c>
      <c r="J20" s="42" t="str">
        <f ca="1">IFERROR(__xludf.DUMMYFUNCTION("""COMPUTED_VALUE"""),"AM")</f>
        <v>AM</v>
      </c>
      <c r="K20" s="98">
        <f ca="1">IFERROR(__xludf.DUMMYFUNCTION("""COMPUTED_VALUE"""),12)</f>
        <v>12</v>
      </c>
      <c r="L20" s="42" t="str">
        <f ca="1">IFERROR(__xludf.DUMMYFUNCTION("""COMPUTED_VALUE"""),"TRIMESTRE 1")</f>
        <v>TRIMESTRE 1</v>
      </c>
      <c r="M20" s="42" t="str">
        <f ca="1">IFERROR(__xludf.DUMMYFUNCTION("""COMPUTED_VALUE"""),"ADOLESCENTES MUJERES")</f>
        <v>ADOLESCENTES MUJERES</v>
      </c>
    </row>
    <row r="21" spans="1:13">
      <c r="A21" s="42" t="str">
        <f ca="1">IFERROR(__xludf.DUMMYFUNCTION("""COMPUTED_VALUE"""),"2.1.1.1")</f>
        <v>2.1.1.1</v>
      </c>
      <c r="B21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21" s="42" t="str">
        <f ca="1">IFERROR(__xludf.DUMMYFUNCTION("""COMPUTED_VALUE"""),"3. Operación")</f>
        <v>3. Operación</v>
      </c>
      <c r="D21" s="42" t="str">
        <f ca="1">IFERROR(__xludf.DUMMYFUNCTION("""COMPUTED_VALUE"""),"Guadalajara en Paz")</f>
        <v>Guadalajara en Paz</v>
      </c>
      <c r="E21" s="42" t="str">
        <f ca="1">IFERROR(__xludf.DUMMYFUNCTION("""COMPUTED_VALUE"""),"Trabajo Social Asistencial")</f>
        <v>Trabajo Social Asistencial</v>
      </c>
      <c r="F21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21" s="42" t="str">
        <f ca="1">IFERROR(__xludf.DUMMYFUNCTION("""COMPUTED_VALUE"""),"Apoyos asistenciales entregados en 2023")</f>
        <v>Apoyos asistenciales entregados en 2023</v>
      </c>
      <c r="H21" s="42" t="str">
        <f ca="1">IFERROR(__xludf.DUMMYFUNCTION("""COMPUTED_VALUE"""),"AH MARZO")</f>
        <v>AH MARZO</v>
      </c>
      <c r="I21" s="42" t="str">
        <f ca="1">IFERROR(__xludf.DUMMYFUNCTION("""COMPUTED_VALUE"""),"Marzo")</f>
        <v>Marzo</v>
      </c>
      <c r="J21" s="42" t="str">
        <f ca="1">IFERROR(__xludf.DUMMYFUNCTION("""COMPUTED_VALUE"""),"AH")</f>
        <v>AH</v>
      </c>
      <c r="K21" s="98">
        <f ca="1">IFERROR(__xludf.DUMMYFUNCTION("""COMPUTED_VALUE"""),5)</f>
        <v>5</v>
      </c>
      <c r="L21" s="42" t="str">
        <f ca="1">IFERROR(__xludf.DUMMYFUNCTION("""COMPUTED_VALUE"""),"TRIMESTRE 1")</f>
        <v>TRIMESTRE 1</v>
      </c>
      <c r="M21" s="42" t="str">
        <f ca="1">IFERROR(__xludf.DUMMYFUNCTION("""COMPUTED_VALUE"""),"ADOLESCENTES HOMBRES")</f>
        <v>ADOLESCENTES HOMBRES</v>
      </c>
    </row>
    <row r="22" spans="1:13">
      <c r="A22" s="42" t="str">
        <f ca="1">IFERROR(__xludf.DUMMYFUNCTION("""COMPUTED_VALUE"""),"2.1.1.1")</f>
        <v>2.1.1.1</v>
      </c>
      <c r="B22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22" s="42" t="str">
        <f ca="1">IFERROR(__xludf.DUMMYFUNCTION("""COMPUTED_VALUE"""),"3. Operación")</f>
        <v>3. Operación</v>
      </c>
      <c r="D22" s="42" t="str">
        <f ca="1">IFERROR(__xludf.DUMMYFUNCTION("""COMPUTED_VALUE"""),"Guadalajara en Paz")</f>
        <v>Guadalajara en Paz</v>
      </c>
      <c r="E22" s="42" t="str">
        <f ca="1">IFERROR(__xludf.DUMMYFUNCTION("""COMPUTED_VALUE"""),"Trabajo Social Asistencial")</f>
        <v>Trabajo Social Asistencial</v>
      </c>
      <c r="F22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22" s="42" t="str">
        <f ca="1">IFERROR(__xludf.DUMMYFUNCTION("""COMPUTED_VALUE"""),"Apoyos asistenciales entregados en 2023")</f>
        <v>Apoyos asistenciales entregados en 2023</v>
      </c>
      <c r="H22" s="42" t="str">
        <f ca="1">IFERROR(__xludf.DUMMYFUNCTION("""COMPUTED_VALUE"""),"MUJ Marzo")</f>
        <v>MUJ Marzo</v>
      </c>
      <c r="I22" s="42" t="str">
        <f ca="1">IFERROR(__xludf.DUMMYFUNCTION("""COMPUTED_VALUE"""),"Marzo")</f>
        <v>Marzo</v>
      </c>
      <c r="J22" s="42" t="str">
        <f ca="1">IFERROR(__xludf.DUMMYFUNCTION("""COMPUTED_VALUE"""),"MUJ")</f>
        <v>MUJ</v>
      </c>
      <c r="K22" s="98">
        <f ca="1">IFERROR(__xludf.DUMMYFUNCTION("""COMPUTED_VALUE"""),295)</f>
        <v>295</v>
      </c>
      <c r="L22" s="42" t="str">
        <f ca="1">IFERROR(__xludf.DUMMYFUNCTION("""COMPUTED_VALUE"""),"TRIMESTRE 1")</f>
        <v>TRIMESTRE 1</v>
      </c>
      <c r="M22" s="42" t="str">
        <f ca="1">IFERROR(__xludf.DUMMYFUNCTION("""COMPUTED_VALUE"""),"MUJERES ADULTAS")</f>
        <v>MUJERES ADULTAS</v>
      </c>
    </row>
    <row r="23" spans="1:13">
      <c r="A23" s="42" t="str">
        <f ca="1">IFERROR(__xludf.DUMMYFUNCTION("""COMPUTED_VALUE"""),"2.1.1.1")</f>
        <v>2.1.1.1</v>
      </c>
      <c r="B23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23" s="42" t="str">
        <f ca="1">IFERROR(__xludf.DUMMYFUNCTION("""COMPUTED_VALUE"""),"3. Operación")</f>
        <v>3. Operación</v>
      </c>
      <c r="D23" s="42" t="str">
        <f ca="1">IFERROR(__xludf.DUMMYFUNCTION("""COMPUTED_VALUE"""),"Guadalajara en Paz")</f>
        <v>Guadalajara en Paz</v>
      </c>
      <c r="E23" s="42" t="str">
        <f ca="1">IFERROR(__xludf.DUMMYFUNCTION("""COMPUTED_VALUE"""),"Trabajo Social Asistencial")</f>
        <v>Trabajo Social Asistencial</v>
      </c>
      <c r="F23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23" s="42" t="str">
        <f ca="1">IFERROR(__xludf.DUMMYFUNCTION("""COMPUTED_VALUE"""),"Apoyos asistenciales entregados en 2023")</f>
        <v>Apoyos asistenciales entregados en 2023</v>
      </c>
      <c r="H23" s="42" t="str">
        <f ca="1">IFERROR(__xludf.DUMMYFUNCTION("""COMPUTED_VALUE"""),"HOM Marzo")</f>
        <v>HOM Marzo</v>
      </c>
      <c r="I23" s="42" t="str">
        <f ca="1">IFERROR(__xludf.DUMMYFUNCTION("""COMPUTED_VALUE"""),"Marzo")</f>
        <v>Marzo</v>
      </c>
      <c r="J23" s="42" t="str">
        <f ca="1">IFERROR(__xludf.DUMMYFUNCTION("""COMPUTED_VALUE"""),"HOM")</f>
        <v>HOM</v>
      </c>
      <c r="K23" s="98">
        <f ca="1">IFERROR(__xludf.DUMMYFUNCTION("""COMPUTED_VALUE"""),35)</f>
        <v>35</v>
      </c>
      <c r="L23" s="42" t="str">
        <f ca="1">IFERROR(__xludf.DUMMYFUNCTION("""COMPUTED_VALUE"""),"TRIMESTRE 1")</f>
        <v>TRIMESTRE 1</v>
      </c>
      <c r="M23" s="42" t="str">
        <f ca="1">IFERROR(__xludf.DUMMYFUNCTION("""COMPUTED_VALUE"""),"HOMBRES ADULTOS")</f>
        <v>HOMBRES ADULTOS</v>
      </c>
    </row>
    <row r="24" spans="1:13">
      <c r="A24" s="42" t="str">
        <f ca="1">IFERROR(__xludf.DUMMYFUNCTION("""COMPUTED_VALUE"""),"2.1.1.1")</f>
        <v>2.1.1.1</v>
      </c>
      <c r="B24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24" s="42" t="str">
        <f ca="1">IFERROR(__xludf.DUMMYFUNCTION("""COMPUTED_VALUE"""),"3. Operación")</f>
        <v>3. Operación</v>
      </c>
      <c r="D24" s="42" t="str">
        <f ca="1">IFERROR(__xludf.DUMMYFUNCTION("""COMPUTED_VALUE"""),"Guadalajara en Paz")</f>
        <v>Guadalajara en Paz</v>
      </c>
      <c r="E24" s="42" t="str">
        <f ca="1">IFERROR(__xludf.DUMMYFUNCTION("""COMPUTED_VALUE"""),"Trabajo Social Asistencial")</f>
        <v>Trabajo Social Asistencial</v>
      </c>
      <c r="F24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24" s="42" t="str">
        <f ca="1">IFERROR(__xludf.DUMMYFUNCTION("""COMPUTED_VALUE"""),"Apoyos asistenciales entregados en 2023")</f>
        <v>Apoyos asistenciales entregados en 2023</v>
      </c>
      <c r="H24" s="42" t="str">
        <f ca="1">IFERROR(__xludf.DUMMYFUNCTION("""COMPUTED_VALUE"""),"AMM Marzo")</f>
        <v>AMM Marzo</v>
      </c>
      <c r="I24" s="42" t="str">
        <f ca="1">IFERROR(__xludf.DUMMYFUNCTION("""COMPUTED_VALUE"""),"Marzo")</f>
        <v>Marzo</v>
      </c>
      <c r="J24" s="42" t="str">
        <f ca="1">IFERROR(__xludf.DUMMYFUNCTION("""COMPUTED_VALUE"""),"AMM")</f>
        <v>AMM</v>
      </c>
      <c r="K24" s="98">
        <f ca="1">IFERROR(__xludf.DUMMYFUNCTION("""COMPUTED_VALUE"""),73)</f>
        <v>73</v>
      </c>
      <c r="L24" s="42" t="str">
        <f ca="1">IFERROR(__xludf.DUMMYFUNCTION("""COMPUTED_VALUE"""),"TRIMESTRE 1")</f>
        <v>TRIMESTRE 1</v>
      </c>
      <c r="M24" s="42" t="str">
        <f ca="1">IFERROR(__xludf.DUMMYFUNCTION("""COMPUTED_VALUE"""),"ADULTA MAYOR MUJER")</f>
        <v>ADULTA MAYOR MUJER</v>
      </c>
    </row>
    <row r="25" spans="1:13">
      <c r="A25" s="42" t="str">
        <f ca="1">IFERROR(__xludf.DUMMYFUNCTION("""COMPUTED_VALUE"""),"2.1.1.1")</f>
        <v>2.1.1.1</v>
      </c>
      <c r="B25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25" s="42" t="str">
        <f ca="1">IFERROR(__xludf.DUMMYFUNCTION("""COMPUTED_VALUE"""),"3. Operación")</f>
        <v>3. Operación</v>
      </c>
      <c r="D25" s="42" t="str">
        <f ca="1">IFERROR(__xludf.DUMMYFUNCTION("""COMPUTED_VALUE"""),"Guadalajara en Paz")</f>
        <v>Guadalajara en Paz</v>
      </c>
      <c r="E25" s="42" t="str">
        <f ca="1">IFERROR(__xludf.DUMMYFUNCTION("""COMPUTED_VALUE"""),"Trabajo Social Asistencial")</f>
        <v>Trabajo Social Asistencial</v>
      </c>
      <c r="F25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25" s="42" t="str">
        <f ca="1">IFERROR(__xludf.DUMMYFUNCTION("""COMPUTED_VALUE"""),"Apoyos asistenciales entregados en 2023")</f>
        <v>Apoyos asistenciales entregados en 2023</v>
      </c>
      <c r="H25" s="42" t="str">
        <f ca="1">IFERROR(__xludf.DUMMYFUNCTION("""COMPUTED_VALUE"""),"AMH Marzo")</f>
        <v>AMH Marzo</v>
      </c>
      <c r="I25" s="42" t="str">
        <f ca="1">IFERROR(__xludf.DUMMYFUNCTION("""COMPUTED_VALUE"""),"Marzo")</f>
        <v>Marzo</v>
      </c>
      <c r="J25" s="42" t="str">
        <f ca="1">IFERROR(__xludf.DUMMYFUNCTION("""COMPUTED_VALUE"""),"AMH")</f>
        <v>AMH</v>
      </c>
      <c r="K25" s="98">
        <f ca="1">IFERROR(__xludf.DUMMYFUNCTION("""COMPUTED_VALUE"""),20)</f>
        <v>20</v>
      </c>
      <c r="L25" s="42" t="str">
        <f ca="1">IFERROR(__xludf.DUMMYFUNCTION("""COMPUTED_VALUE"""),"TRIMESTRE 1")</f>
        <v>TRIMESTRE 1</v>
      </c>
      <c r="M25" s="42" t="str">
        <f ca="1">IFERROR(__xludf.DUMMYFUNCTION("""COMPUTED_VALUE"""),"ADULTO MAYOR HOMBRE")</f>
        <v>ADULTO MAYOR HOMBRE</v>
      </c>
    </row>
    <row r="26" spans="1:13">
      <c r="A26" s="42" t="str">
        <f ca="1">IFERROR(__xludf.DUMMYFUNCTION("""COMPUTED_VALUE"""),"2.1.1.1")</f>
        <v>2.1.1.1</v>
      </c>
      <c r="B26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26" s="42" t="str">
        <f ca="1">IFERROR(__xludf.DUMMYFUNCTION("""COMPUTED_VALUE"""),"3. Operación")</f>
        <v>3. Operación</v>
      </c>
      <c r="D26" s="42" t="str">
        <f ca="1">IFERROR(__xludf.DUMMYFUNCTION("""COMPUTED_VALUE"""),"Guadalajara en Paz")</f>
        <v>Guadalajara en Paz</v>
      </c>
      <c r="E26" s="42" t="str">
        <f ca="1">IFERROR(__xludf.DUMMYFUNCTION("""COMPUTED_VALUE"""),"Trabajo Social Asistencial")</f>
        <v>Trabajo Social Asistencial</v>
      </c>
      <c r="F26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26" s="42" t="str">
        <f ca="1">IFERROR(__xludf.DUMMYFUNCTION("""COMPUTED_VALUE"""),"Apoyos asistenciales entregados en 2023")</f>
        <v>Apoyos asistenciales entregados en 2023</v>
      </c>
      <c r="H26" s="42" t="str">
        <f ca="1">IFERROR(__xludf.DUMMYFUNCTION("""COMPUTED_VALUE"""),"NAS Abril")</f>
        <v>NAS Abril</v>
      </c>
      <c r="I26" s="42" t="str">
        <f ca="1">IFERROR(__xludf.DUMMYFUNCTION("""COMPUTED_VALUE"""),"Abril")</f>
        <v>Abril</v>
      </c>
      <c r="J26" s="42" t="str">
        <f ca="1">IFERROR(__xludf.DUMMYFUNCTION("""COMPUTED_VALUE"""),"NAS")</f>
        <v>NAS</v>
      </c>
      <c r="K26" s="98">
        <f ca="1">IFERROR(__xludf.DUMMYFUNCTION("""COMPUTED_VALUE"""),26)</f>
        <v>26</v>
      </c>
      <c r="L26" s="42" t="str">
        <f ca="1">IFERROR(__xludf.DUMMYFUNCTION("""COMPUTED_VALUE"""),"TRIMESTRE 2")</f>
        <v>TRIMESTRE 2</v>
      </c>
      <c r="M26" s="42" t="str">
        <f ca="1">IFERROR(__xludf.DUMMYFUNCTION("""COMPUTED_VALUE"""),"NIÑAS")</f>
        <v>NIÑAS</v>
      </c>
    </row>
    <row r="27" spans="1:13">
      <c r="A27" s="42" t="str">
        <f ca="1">IFERROR(__xludf.DUMMYFUNCTION("""COMPUTED_VALUE"""),"2.1.1.1")</f>
        <v>2.1.1.1</v>
      </c>
      <c r="B27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27" s="42" t="str">
        <f ca="1">IFERROR(__xludf.DUMMYFUNCTION("""COMPUTED_VALUE"""),"3. Operación")</f>
        <v>3. Operación</v>
      </c>
      <c r="D27" s="42" t="str">
        <f ca="1">IFERROR(__xludf.DUMMYFUNCTION("""COMPUTED_VALUE"""),"Guadalajara en Paz")</f>
        <v>Guadalajara en Paz</v>
      </c>
      <c r="E27" s="42" t="str">
        <f ca="1">IFERROR(__xludf.DUMMYFUNCTION("""COMPUTED_VALUE"""),"Trabajo Social Asistencial")</f>
        <v>Trabajo Social Asistencial</v>
      </c>
      <c r="F27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27" s="42" t="str">
        <f ca="1">IFERROR(__xludf.DUMMYFUNCTION("""COMPUTED_VALUE"""),"Apoyos asistenciales entregados en 2023")</f>
        <v>Apoyos asistenciales entregados en 2023</v>
      </c>
      <c r="H27" s="42" t="str">
        <f ca="1">IFERROR(__xludf.DUMMYFUNCTION("""COMPUTED_VALUE"""),"NOS Abril")</f>
        <v>NOS Abril</v>
      </c>
      <c r="I27" s="42" t="str">
        <f ca="1">IFERROR(__xludf.DUMMYFUNCTION("""COMPUTED_VALUE"""),"Abril")</f>
        <v>Abril</v>
      </c>
      <c r="J27" s="42" t="str">
        <f ca="1">IFERROR(__xludf.DUMMYFUNCTION("""COMPUTED_VALUE"""),"NOS")</f>
        <v>NOS</v>
      </c>
      <c r="K27" s="98">
        <f ca="1">IFERROR(__xludf.DUMMYFUNCTION("""COMPUTED_VALUE"""),22)</f>
        <v>22</v>
      </c>
      <c r="L27" s="42" t="str">
        <f ca="1">IFERROR(__xludf.DUMMYFUNCTION("""COMPUTED_VALUE"""),"TRIMESTRE 2")</f>
        <v>TRIMESTRE 2</v>
      </c>
      <c r="M27" s="42" t="str">
        <f ca="1">IFERROR(__xludf.DUMMYFUNCTION("""COMPUTED_VALUE"""),"NIÑOS")</f>
        <v>NIÑOS</v>
      </c>
    </row>
    <row r="28" spans="1:13">
      <c r="A28" s="42" t="str">
        <f ca="1">IFERROR(__xludf.DUMMYFUNCTION("""COMPUTED_VALUE"""),"2.1.1.1")</f>
        <v>2.1.1.1</v>
      </c>
      <c r="B28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28" s="42" t="str">
        <f ca="1">IFERROR(__xludf.DUMMYFUNCTION("""COMPUTED_VALUE"""),"3. Operación")</f>
        <v>3. Operación</v>
      </c>
      <c r="D28" s="42" t="str">
        <f ca="1">IFERROR(__xludf.DUMMYFUNCTION("""COMPUTED_VALUE"""),"Guadalajara en Paz")</f>
        <v>Guadalajara en Paz</v>
      </c>
      <c r="E28" s="42" t="str">
        <f ca="1">IFERROR(__xludf.DUMMYFUNCTION("""COMPUTED_VALUE"""),"Trabajo Social Asistencial")</f>
        <v>Trabajo Social Asistencial</v>
      </c>
      <c r="F28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28" s="42" t="str">
        <f ca="1">IFERROR(__xludf.DUMMYFUNCTION("""COMPUTED_VALUE"""),"Apoyos asistenciales entregados en 2023")</f>
        <v>Apoyos asistenciales entregados en 2023</v>
      </c>
      <c r="H28" s="42" t="str">
        <f ca="1">IFERROR(__xludf.DUMMYFUNCTION("""COMPUTED_VALUE"""),"AM ABRIL")</f>
        <v>AM ABRIL</v>
      </c>
      <c r="I28" s="42" t="str">
        <f ca="1">IFERROR(__xludf.DUMMYFUNCTION("""COMPUTED_VALUE"""),"Abril")</f>
        <v>Abril</v>
      </c>
      <c r="J28" s="42" t="str">
        <f ca="1">IFERROR(__xludf.DUMMYFUNCTION("""COMPUTED_VALUE"""),"AM")</f>
        <v>AM</v>
      </c>
      <c r="K28" s="98">
        <f ca="1">IFERROR(__xludf.DUMMYFUNCTION("""COMPUTED_VALUE"""),19)</f>
        <v>19</v>
      </c>
      <c r="L28" s="42" t="str">
        <f ca="1">IFERROR(__xludf.DUMMYFUNCTION("""COMPUTED_VALUE"""),"TRIMESTRE 2")</f>
        <v>TRIMESTRE 2</v>
      </c>
      <c r="M28" s="42" t="str">
        <f ca="1">IFERROR(__xludf.DUMMYFUNCTION("""COMPUTED_VALUE"""),"ADOLESCENTES MUJERES")</f>
        <v>ADOLESCENTES MUJERES</v>
      </c>
    </row>
    <row r="29" spans="1:13">
      <c r="A29" s="42" t="str">
        <f ca="1">IFERROR(__xludf.DUMMYFUNCTION("""COMPUTED_VALUE"""),"2.1.1.1")</f>
        <v>2.1.1.1</v>
      </c>
      <c r="B29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29" s="42" t="str">
        <f ca="1">IFERROR(__xludf.DUMMYFUNCTION("""COMPUTED_VALUE"""),"3. Operación")</f>
        <v>3. Operación</v>
      </c>
      <c r="D29" s="42" t="str">
        <f ca="1">IFERROR(__xludf.DUMMYFUNCTION("""COMPUTED_VALUE"""),"Guadalajara en Paz")</f>
        <v>Guadalajara en Paz</v>
      </c>
      <c r="E29" s="42" t="str">
        <f ca="1">IFERROR(__xludf.DUMMYFUNCTION("""COMPUTED_VALUE"""),"Trabajo Social Asistencial")</f>
        <v>Trabajo Social Asistencial</v>
      </c>
      <c r="F29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29" s="42" t="str">
        <f ca="1">IFERROR(__xludf.DUMMYFUNCTION("""COMPUTED_VALUE"""),"Apoyos asistenciales entregados en 2023")</f>
        <v>Apoyos asistenciales entregados en 2023</v>
      </c>
      <c r="H29" s="42" t="str">
        <f ca="1">IFERROR(__xludf.DUMMYFUNCTION("""COMPUTED_VALUE"""),"AH ABRIL")</f>
        <v>AH ABRIL</v>
      </c>
      <c r="I29" s="42" t="str">
        <f ca="1">IFERROR(__xludf.DUMMYFUNCTION("""COMPUTED_VALUE"""),"Abril")</f>
        <v>Abril</v>
      </c>
      <c r="J29" s="42" t="str">
        <f ca="1">IFERROR(__xludf.DUMMYFUNCTION("""COMPUTED_VALUE"""),"AH")</f>
        <v>AH</v>
      </c>
      <c r="K29" s="98">
        <f ca="1">IFERROR(__xludf.DUMMYFUNCTION("""COMPUTED_VALUE"""),5)</f>
        <v>5</v>
      </c>
      <c r="L29" s="42" t="str">
        <f ca="1">IFERROR(__xludf.DUMMYFUNCTION("""COMPUTED_VALUE"""),"TRIMESTRE 2")</f>
        <v>TRIMESTRE 2</v>
      </c>
      <c r="M29" s="42" t="str">
        <f ca="1">IFERROR(__xludf.DUMMYFUNCTION("""COMPUTED_VALUE"""),"ADOLESCENTES HOMBRES")</f>
        <v>ADOLESCENTES HOMBRES</v>
      </c>
    </row>
    <row r="30" spans="1:13">
      <c r="A30" s="42" t="str">
        <f ca="1">IFERROR(__xludf.DUMMYFUNCTION("""COMPUTED_VALUE"""),"2.1.1.1")</f>
        <v>2.1.1.1</v>
      </c>
      <c r="B30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30" s="42" t="str">
        <f ca="1">IFERROR(__xludf.DUMMYFUNCTION("""COMPUTED_VALUE"""),"3. Operación")</f>
        <v>3. Operación</v>
      </c>
      <c r="D30" s="42" t="str">
        <f ca="1">IFERROR(__xludf.DUMMYFUNCTION("""COMPUTED_VALUE"""),"Guadalajara en Paz")</f>
        <v>Guadalajara en Paz</v>
      </c>
      <c r="E30" s="42" t="str">
        <f ca="1">IFERROR(__xludf.DUMMYFUNCTION("""COMPUTED_VALUE"""),"Trabajo Social Asistencial")</f>
        <v>Trabajo Social Asistencial</v>
      </c>
      <c r="F30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30" s="42" t="str">
        <f ca="1">IFERROR(__xludf.DUMMYFUNCTION("""COMPUTED_VALUE"""),"Apoyos asistenciales entregados en 2023")</f>
        <v>Apoyos asistenciales entregados en 2023</v>
      </c>
      <c r="H30" s="42" t="str">
        <f ca="1">IFERROR(__xludf.DUMMYFUNCTION("""COMPUTED_VALUE"""),"MUJ Abril")</f>
        <v>MUJ Abril</v>
      </c>
      <c r="I30" s="42" t="str">
        <f ca="1">IFERROR(__xludf.DUMMYFUNCTION("""COMPUTED_VALUE"""),"Abril")</f>
        <v>Abril</v>
      </c>
      <c r="J30" s="42" t="str">
        <f ca="1">IFERROR(__xludf.DUMMYFUNCTION("""COMPUTED_VALUE"""),"MUJ")</f>
        <v>MUJ</v>
      </c>
      <c r="K30" s="98">
        <f ca="1">IFERROR(__xludf.DUMMYFUNCTION("""COMPUTED_VALUE"""),615)</f>
        <v>615</v>
      </c>
      <c r="L30" s="42" t="str">
        <f ca="1">IFERROR(__xludf.DUMMYFUNCTION("""COMPUTED_VALUE"""),"TRIMESTRE 2")</f>
        <v>TRIMESTRE 2</v>
      </c>
      <c r="M30" s="42" t="str">
        <f ca="1">IFERROR(__xludf.DUMMYFUNCTION("""COMPUTED_VALUE"""),"MUJERES ADULTAS")</f>
        <v>MUJERES ADULTAS</v>
      </c>
    </row>
    <row r="31" spans="1:13">
      <c r="A31" s="42" t="str">
        <f ca="1">IFERROR(__xludf.DUMMYFUNCTION("""COMPUTED_VALUE"""),"2.1.1.1")</f>
        <v>2.1.1.1</v>
      </c>
      <c r="B31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31" s="42" t="str">
        <f ca="1">IFERROR(__xludf.DUMMYFUNCTION("""COMPUTED_VALUE"""),"3. Operación")</f>
        <v>3. Operación</v>
      </c>
      <c r="D31" s="42" t="str">
        <f ca="1">IFERROR(__xludf.DUMMYFUNCTION("""COMPUTED_VALUE"""),"Guadalajara en Paz")</f>
        <v>Guadalajara en Paz</v>
      </c>
      <c r="E31" s="42" t="str">
        <f ca="1">IFERROR(__xludf.DUMMYFUNCTION("""COMPUTED_VALUE"""),"Trabajo Social Asistencial")</f>
        <v>Trabajo Social Asistencial</v>
      </c>
      <c r="F31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31" s="42" t="str">
        <f ca="1">IFERROR(__xludf.DUMMYFUNCTION("""COMPUTED_VALUE"""),"Apoyos asistenciales entregados en 2023")</f>
        <v>Apoyos asistenciales entregados en 2023</v>
      </c>
      <c r="H31" s="42" t="str">
        <f ca="1">IFERROR(__xludf.DUMMYFUNCTION("""COMPUTED_VALUE"""),"HOM Abril")</f>
        <v>HOM Abril</v>
      </c>
      <c r="I31" s="42" t="str">
        <f ca="1">IFERROR(__xludf.DUMMYFUNCTION("""COMPUTED_VALUE"""),"Abril")</f>
        <v>Abril</v>
      </c>
      <c r="J31" s="42" t="str">
        <f ca="1">IFERROR(__xludf.DUMMYFUNCTION("""COMPUTED_VALUE"""),"HOM")</f>
        <v>HOM</v>
      </c>
      <c r="K31" s="98">
        <f ca="1">IFERROR(__xludf.DUMMYFUNCTION("""COMPUTED_VALUE"""),81)</f>
        <v>81</v>
      </c>
      <c r="L31" s="42" t="str">
        <f ca="1">IFERROR(__xludf.DUMMYFUNCTION("""COMPUTED_VALUE"""),"TRIMESTRE 2")</f>
        <v>TRIMESTRE 2</v>
      </c>
      <c r="M31" s="42" t="str">
        <f ca="1">IFERROR(__xludf.DUMMYFUNCTION("""COMPUTED_VALUE"""),"HOMBRES ADULTOS")</f>
        <v>HOMBRES ADULTOS</v>
      </c>
    </row>
    <row r="32" spans="1:13">
      <c r="A32" s="42" t="str">
        <f ca="1">IFERROR(__xludf.DUMMYFUNCTION("""COMPUTED_VALUE"""),"2.1.1.1")</f>
        <v>2.1.1.1</v>
      </c>
      <c r="B32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32" s="42" t="str">
        <f ca="1">IFERROR(__xludf.DUMMYFUNCTION("""COMPUTED_VALUE"""),"3. Operación")</f>
        <v>3. Operación</v>
      </c>
      <c r="D32" s="42" t="str">
        <f ca="1">IFERROR(__xludf.DUMMYFUNCTION("""COMPUTED_VALUE"""),"Guadalajara en Paz")</f>
        <v>Guadalajara en Paz</v>
      </c>
      <c r="E32" s="42" t="str">
        <f ca="1">IFERROR(__xludf.DUMMYFUNCTION("""COMPUTED_VALUE"""),"Trabajo Social Asistencial")</f>
        <v>Trabajo Social Asistencial</v>
      </c>
      <c r="F32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32" s="42" t="str">
        <f ca="1">IFERROR(__xludf.DUMMYFUNCTION("""COMPUTED_VALUE"""),"Apoyos asistenciales entregados en 2023")</f>
        <v>Apoyos asistenciales entregados en 2023</v>
      </c>
      <c r="H32" s="42" t="str">
        <f ca="1">IFERROR(__xludf.DUMMYFUNCTION("""COMPUTED_VALUE"""),"AMM Abril")</f>
        <v>AMM Abril</v>
      </c>
      <c r="I32" s="42" t="str">
        <f ca="1">IFERROR(__xludf.DUMMYFUNCTION("""COMPUTED_VALUE"""),"Abril")</f>
        <v>Abril</v>
      </c>
      <c r="J32" s="42" t="str">
        <f ca="1">IFERROR(__xludf.DUMMYFUNCTION("""COMPUTED_VALUE"""),"AMM")</f>
        <v>AMM</v>
      </c>
      <c r="K32" s="98">
        <f ca="1">IFERROR(__xludf.DUMMYFUNCTION("""COMPUTED_VALUE"""),187)</f>
        <v>187</v>
      </c>
      <c r="L32" s="42" t="str">
        <f ca="1">IFERROR(__xludf.DUMMYFUNCTION("""COMPUTED_VALUE"""),"TRIMESTRE 2")</f>
        <v>TRIMESTRE 2</v>
      </c>
      <c r="M32" s="42" t="str">
        <f ca="1">IFERROR(__xludf.DUMMYFUNCTION("""COMPUTED_VALUE"""),"ADULTA MAYOR MUJER")</f>
        <v>ADULTA MAYOR MUJER</v>
      </c>
    </row>
    <row r="33" spans="1:13">
      <c r="A33" s="42" t="str">
        <f ca="1">IFERROR(__xludf.DUMMYFUNCTION("""COMPUTED_VALUE"""),"2.1.1.1")</f>
        <v>2.1.1.1</v>
      </c>
      <c r="B33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33" s="42" t="str">
        <f ca="1">IFERROR(__xludf.DUMMYFUNCTION("""COMPUTED_VALUE"""),"3. Operación")</f>
        <v>3. Operación</v>
      </c>
      <c r="D33" s="42" t="str">
        <f ca="1">IFERROR(__xludf.DUMMYFUNCTION("""COMPUTED_VALUE"""),"Guadalajara en Paz")</f>
        <v>Guadalajara en Paz</v>
      </c>
      <c r="E33" s="42" t="str">
        <f ca="1">IFERROR(__xludf.DUMMYFUNCTION("""COMPUTED_VALUE"""),"Trabajo Social Asistencial")</f>
        <v>Trabajo Social Asistencial</v>
      </c>
      <c r="F33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33" s="42" t="str">
        <f ca="1">IFERROR(__xludf.DUMMYFUNCTION("""COMPUTED_VALUE"""),"Apoyos asistenciales entregados en 2023")</f>
        <v>Apoyos asistenciales entregados en 2023</v>
      </c>
      <c r="H33" s="42" t="str">
        <f ca="1">IFERROR(__xludf.DUMMYFUNCTION("""COMPUTED_VALUE"""),"AMH Abril")</f>
        <v>AMH Abril</v>
      </c>
      <c r="I33" s="42" t="str">
        <f ca="1">IFERROR(__xludf.DUMMYFUNCTION("""COMPUTED_VALUE"""),"Abril")</f>
        <v>Abril</v>
      </c>
      <c r="J33" s="42" t="str">
        <f ca="1">IFERROR(__xludf.DUMMYFUNCTION("""COMPUTED_VALUE"""),"AMH")</f>
        <v>AMH</v>
      </c>
      <c r="K33" s="98">
        <f ca="1">IFERROR(__xludf.DUMMYFUNCTION("""COMPUTED_VALUE"""),64)</f>
        <v>64</v>
      </c>
      <c r="L33" s="42" t="str">
        <f ca="1">IFERROR(__xludf.DUMMYFUNCTION("""COMPUTED_VALUE"""),"TRIMESTRE 2")</f>
        <v>TRIMESTRE 2</v>
      </c>
      <c r="M33" s="42" t="str">
        <f ca="1">IFERROR(__xludf.DUMMYFUNCTION("""COMPUTED_VALUE"""),"ADULTO MAYOR HOMBRE")</f>
        <v>ADULTO MAYOR HOMBRE</v>
      </c>
    </row>
    <row r="34" spans="1:13">
      <c r="A34" s="42" t="str">
        <f ca="1">IFERROR(__xludf.DUMMYFUNCTION("""COMPUTED_VALUE"""),"2.1.1.1")</f>
        <v>2.1.1.1</v>
      </c>
      <c r="B34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34" s="42" t="str">
        <f ca="1">IFERROR(__xludf.DUMMYFUNCTION("""COMPUTED_VALUE"""),"3. Operación")</f>
        <v>3. Operación</v>
      </c>
      <c r="D34" s="42" t="str">
        <f ca="1">IFERROR(__xludf.DUMMYFUNCTION("""COMPUTED_VALUE"""),"Guadalajara en Paz")</f>
        <v>Guadalajara en Paz</v>
      </c>
      <c r="E34" s="42" t="str">
        <f ca="1">IFERROR(__xludf.DUMMYFUNCTION("""COMPUTED_VALUE"""),"Trabajo Social Asistencial")</f>
        <v>Trabajo Social Asistencial</v>
      </c>
      <c r="F34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34" s="42" t="str">
        <f ca="1">IFERROR(__xludf.DUMMYFUNCTION("""COMPUTED_VALUE"""),"Apoyos asistenciales entregados en 2023")</f>
        <v>Apoyos asistenciales entregados en 2023</v>
      </c>
      <c r="H34" s="42" t="str">
        <f ca="1">IFERROR(__xludf.DUMMYFUNCTION("""COMPUTED_VALUE"""),"NAS Mayo")</f>
        <v>NAS Mayo</v>
      </c>
      <c r="I34" s="42" t="str">
        <f ca="1">IFERROR(__xludf.DUMMYFUNCTION("""COMPUTED_VALUE"""),"Mayo")</f>
        <v>Mayo</v>
      </c>
      <c r="J34" s="42" t="str">
        <f ca="1">IFERROR(__xludf.DUMMYFUNCTION("""COMPUTED_VALUE"""),"NAS")</f>
        <v>NAS</v>
      </c>
      <c r="K34" s="98">
        <f ca="1">IFERROR(__xludf.DUMMYFUNCTION("""COMPUTED_VALUE"""),13)</f>
        <v>13</v>
      </c>
      <c r="L34" s="42" t="str">
        <f ca="1">IFERROR(__xludf.DUMMYFUNCTION("""COMPUTED_VALUE"""),"TRIMESTRE 2")</f>
        <v>TRIMESTRE 2</v>
      </c>
      <c r="M34" s="42" t="str">
        <f ca="1">IFERROR(__xludf.DUMMYFUNCTION("""COMPUTED_VALUE"""),"NIÑAS")</f>
        <v>NIÑAS</v>
      </c>
    </row>
    <row r="35" spans="1:13">
      <c r="A35" s="42" t="str">
        <f ca="1">IFERROR(__xludf.DUMMYFUNCTION("""COMPUTED_VALUE"""),"2.1.1.1")</f>
        <v>2.1.1.1</v>
      </c>
      <c r="B35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35" s="42" t="str">
        <f ca="1">IFERROR(__xludf.DUMMYFUNCTION("""COMPUTED_VALUE"""),"3. Operación")</f>
        <v>3. Operación</v>
      </c>
      <c r="D35" s="42" t="str">
        <f ca="1">IFERROR(__xludf.DUMMYFUNCTION("""COMPUTED_VALUE"""),"Guadalajara en Paz")</f>
        <v>Guadalajara en Paz</v>
      </c>
      <c r="E35" s="42" t="str">
        <f ca="1">IFERROR(__xludf.DUMMYFUNCTION("""COMPUTED_VALUE"""),"Trabajo Social Asistencial")</f>
        <v>Trabajo Social Asistencial</v>
      </c>
      <c r="F35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35" s="42" t="str">
        <f ca="1">IFERROR(__xludf.DUMMYFUNCTION("""COMPUTED_VALUE"""),"Apoyos asistenciales entregados en 2023")</f>
        <v>Apoyos asistenciales entregados en 2023</v>
      </c>
      <c r="H35" s="42" t="str">
        <f ca="1">IFERROR(__xludf.DUMMYFUNCTION("""COMPUTED_VALUE"""),"NOS Mayo")</f>
        <v>NOS Mayo</v>
      </c>
      <c r="I35" s="42" t="str">
        <f ca="1">IFERROR(__xludf.DUMMYFUNCTION("""COMPUTED_VALUE"""),"Mayo")</f>
        <v>Mayo</v>
      </c>
      <c r="J35" s="42" t="str">
        <f ca="1">IFERROR(__xludf.DUMMYFUNCTION("""COMPUTED_VALUE"""),"NOS")</f>
        <v>NOS</v>
      </c>
      <c r="K35" s="98">
        <f ca="1">IFERROR(__xludf.DUMMYFUNCTION("""COMPUTED_VALUE"""),15)</f>
        <v>15</v>
      </c>
      <c r="L35" s="42" t="str">
        <f ca="1">IFERROR(__xludf.DUMMYFUNCTION("""COMPUTED_VALUE"""),"TRIMESTRE 2")</f>
        <v>TRIMESTRE 2</v>
      </c>
      <c r="M35" s="42" t="str">
        <f ca="1">IFERROR(__xludf.DUMMYFUNCTION("""COMPUTED_VALUE"""),"NIÑOS")</f>
        <v>NIÑOS</v>
      </c>
    </row>
    <row r="36" spans="1:13">
      <c r="A36" s="42" t="str">
        <f ca="1">IFERROR(__xludf.DUMMYFUNCTION("""COMPUTED_VALUE"""),"2.1.1.1")</f>
        <v>2.1.1.1</v>
      </c>
      <c r="B36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36" s="42" t="str">
        <f ca="1">IFERROR(__xludf.DUMMYFUNCTION("""COMPUTED_VALUE"""),"3. Operación")</f>
        <v>3. Operación</v>
      </c>
      <c r="D36" s="42" t="str">
        <f ca="1">IFERROR(__xludf.DUMMYFUNCTION("""COMPUTED_VALUE"""),"Guadalajara en Paz")</f>
        <v>Guadalajara en Paz</v>
      </c>
      <c r="E36" s="42" t="str">
        <f ca="1">IFERROR(__xludf.DUMMYFUNCTION("""COMPUTED_VALUE"""),"Trabajo Social Asistencial")</f>
        <v>Trabajo Social Asistencial</v>
      </c>
      <c r="F36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36" s="42" t="str">
        <f ca="1">IFERROR(__xludf.DUMMYFUNCTION("""COMPUTED_VALUE"""),"Apoyos asistenciales entregados en 2023")</f>
        <v>Apoyos asistenciales entregados en 2023</v>
      </c>
      <c r="H36" s="42" t="str">
        <f ca="1">IFERROR(__xludf.DUMMYFUNCTION("""COMPUTED_VALUE"""),"AM MAYO")</f>
        <v>AM MAYO</v>
      </c>
      <c r="I36" s="42" t="str">
        <f ca="1">IFERROR(__xludf.DUMMYFUNCTION("""COMPUTED_VALUE"""),"Mayo")</f>
        <v>Mayo</v>
      </c>
      <c r="J36" s="42" t="str">
        <f ca="1">IFERROR(__xludf.DUMMYFUNCTION("""COMPUTED_VALUE"""),"AM")</f>
        <v>AM</v>
      </c>
      <c r="K36" s="98">
        <f ca="1">IFERROR(__xludf.DUMMYFUNCTION("""COMPUTED_VALUE"""),15)</f>
        <v>15</v>
      </c>
      <c r="L36" s="42" t="str">
        <f ca="1">IFERROR(__xludf.DUMMYFUNCTION("""COMPUTED_VALUE"""),"TRIMESTRE 2")</f>
        <v>TRIMESTRE 2</v>
      </c>
      <c r="M36" s="42" t="str">
        <f ca="1">IFERROR(__xludf.DUMMYFUNCTION("""COMPUTED_VALUE"""),"ADOLESCENTES MUJERES")</f>
        <v>ADOLESCENTES MUJERES</v>
      </c>
    </row>
    <row r="37" spans="1:13">
      <c r="A37" s="42" t="str">
        <f ca="1">IFERROR(__xludf.DUMMYFUNCTION("""COMPUTED_VALUE"""),"2.1.1.1")</f>
        <v>2.1.1.1</v>
      </c>
      <c r="B37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37" s="42" t="str">
        <f ca="1">IFERROR(__xludf.DUMMYFUNCTION("""COMPUTED_VALUE"""),"3. Operación")</f>
        <v>3. Operación</v>
      </c>
      <c r="D37" s="42" t="str">
        <f ca="1">IFERROR(__xludf.DUMMYFUNCTION("""COMPUTED_VALUE"""),"Guadalajara en Paz")</f>
        <v>Guadalajara en Paz</v>
      </c>
      <c r="E37" s="42" t="str">
        <f ca="1">IFERROR(__xludf.DUMMYFUNCTION("""COMPUTED_VALUE"""),"Trabajo Social Asistencial")</f>
        <v>Trabajo Social Asistencial</v>
      </c>
      <c r="F37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37" s="42" t="str">
        <f ca="1">IFERROR(__xludf.DUMMYFUNCTION("""COMPUTED_VALUE"""),"Apoyos asistenciales entregados en 2023")</f>
        <v>Apoyos asistenciales entregados en 2023</v>
      </c>
      <c r="H37" s="42" t="str">
        <f ca="1">IFERROR(__xludf.DUMMYFUNCTION("""COMPUTED_VALUE"""),"AH MAYO")</f>
        <v>AH MAYO</v>
      </c>
      <c r="I37" s="42" t="str">
        <f ca="1">IFERROR(__xludf.DUMMYFUNCTION("""COMPUTED_VALUE"""),"Mayo")</f>
        <v>Mayo</v>
      </c>
      <c r="J37" s="42" t="str">
        <f ca="1">IFERROR(__xludf.DUMMYFUNCTION("""COMPUTED_VALUE"""),"AH")</f>
        <v>AH</v>
      </c>
      <c r="K37" s="98">
        <f ca="1">IFERROR(__xludf.DUMMYFUNCTION("""COMPUTED_VALUE"""),5)</f>
        <v>5</v>
      </c>
      <c r="L37" s="42" t="str">
        <f ca="1">IFERROR(__xludf.DUMMYFUNCTION("""COMPUTED_VALUE"""),"TRIMESTRE 2")</f>
        <v>TRIMESTRE 2</v>
      </c>
      <c r="M37" s="42" t="str">
        <f ca="1">IFERROR(__xludf.DUMMYFUNCTION("""COMPUTED_VALUE"""),"ADOLESCENTES HOMBRES")</f>
        <v>ADOLESCENTES HOMBRES</v>
      </c>
    </row>
    <row r="38" spans="1:13">
      <c r="A38" s="42" t="str">
        <f ca="1">IFERROR(__xludf.DUMMYFUNCTION("""COMPUTED_VALUE"""),"2.1.1.1")</f>
        <v>2.1.1.1</v>
      </c>
      <c r="B38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38" s="42" t="str">
        <f ca="1">IFERROR(__xludf.DUMMYFUNCTION("""COMPUTED_VALUE"""),"3. Operación")</f>
        <v>3. Operación</v>
      </c>
      <c r="D38" s="42" t="str">
        <f ca="1">IFERROR(__xludf.DUMMYFUNCTION("""COMPUTED_VALUE"""),"Guadalajara en Paz")</f>
        <v>Guadalajara en Paz</v>
      </c>
      <c r="E38" s="42" t="str">
        <f ca="1">IFERROR(__xludf.DUMMYFUNCTION("""COMPUTED_VALUE"""),"Trabajo Social Asistencial")</f>
        <v>Trabajo Social Asistencial</v>
      </c>
      <c r="F38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38" s="42" t="str">
        <f ca="1">IFERROR(__xludf.DUMMYFUNCTION("""COMPUTED_VALUE"""),"Apoyos asistenciales entregados en 2023")</f>
        <v>Apoyos asistenciales entregados en 2023</v>
      </c>
      <c r="H38" s="42" t="str">
        <f ca="1">IFERROR(__xludf.DUMMYFUNCTION("""COMPUTED_VALUE"""),"MUJ Mayo")</f>
        <v>MUJ Mayo</v>
      </c>
      <c r="I38" s="42" t="str">
        <f ca="1">IFERROR(__xludf.DUMMYFUNCTION("""COMPUTED_VALUE"""),"Mayo")</f>
        <v>Mayo</v>
      </c>
      <c r="J38" s="42" t="str">
        <f ca="1">IFERROR(__xludf.DUMMYFUNCTION("""COMPUTED_VALUE"""),"MUJ")</f>
        <v>MUJ</v>
      </c>
      <c r="K38" s="98">
        <f ca="1">IFERROR(__xludf.DUMMYFUNCTION("""COMPUTED_VALUE"""),442)</f>
        <v>442</v>
      </c>
      <c r="L38" s="42" t="str">
        <f ca="1">IFERROR(__xludf.DUMMYFUNCTION("""COMPUTED_VALUE"""),"TRIMESTRE 2")</f>
        <v>TRIMESTRE 2</v>
      </c>
      <c r="M38" s="42" t="str">
        <f ca="1">IFERROR(__xludf.DUMMYFUNCTION("""COMPUTED_VALUE"""),"MUJERES ADULTAS")</f>
        <v>MUJERES ADULTAS</v>
      </c>
    </row>
    <row r="39" spans="1:13">
      <c r="A39" s="42" t="str">
        <f ca="1">IFERROR(__xludf.DUMMYFUNCTION("""COMPUTED_VALUE"""),"2.1.1.1")</f>
        <v>2.1.1.1</v>
      </c>
      <c r="B39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39" s="42" t="str">
        <f ca="1">IFERROR(__xludf.DUMMYFUNCTION("""COMPUTED_VALUE"""),"3. Operación")</f>
        <v>3. Operación</v>
      </c>
      <c r="D39" s="42" t="str">
        <f ca="1">IFERROR(__xludf.DUMMYFUNCTION("""COMPUTED_VALUE"""),"Guadalajara en Paz")</f>
        <v>Guadalajara en Paz</v>
      </c>
      <c r="E39" s="42" t="str">
        <f ca="1">IFERROR(__xludf.DUMMYFUNCTION("""COMPUTED_VALUE"""),"Trabajo Social Asistencial")</f>
        <v>Trabajo Social Asistencial</v>
      </c>
      <c r="F39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39" s="42" t="str">
        <f ca="1">IFERROR(__xludf.DUMMYFUNCTION("""COMPUTED_VALUE"""),"Apoyos asistenciales entregados en 2023")</f>
        <v>Apoyos asistenciales entregados en 2023</v>
      </c>
      <c r="H39" s="42" t="str">
        <f ca="1">IFERROR(__xludf.DUMMYFUNCTION("""COMPUTED_VALUE"""),"HOM Mayo")</f>
        <v>HOM Mayo</v>
      </c>
      <c r="I39" s="42" t="str">
        <f ca="1">IFERROR(__xludf.DUMMYFUNCTION("""COMPUTED_VALUE"""),"Mayo")</f>
        <v>Mayo</v>
      </c>
      <c r="J39" s="42" t="str">
        <f ca="1">IFERROR(__xludf.DUMMYFUNCTION("""COMPUTED_VALUE"""),"HOM")</f>
        <v>HOM</v>
      </c>
      <c r="K39" s="98">
        <f ca="1">IFERROR(__xludf.DUMMYFUNCTION("""COMPUTED_VALUE"""),70)</f>
        <v>70</v>
      </c>
      <c r="L39" s="42" t="str">
        <f ca="1">IFERROR(__xludf.DUMMYFUNCTION("""COMPUTED_VALUE"""),"TRIMESTRE 2")</f>
        <v>TRIMESTRE 2</v>
      </c>
      <c r="M39" s="42" t="str">
        <f ca="1">IFERROR(__xludf.DUMMYFUNCTION("""COMPUTED_VALUE"""),"HOMBRES ADULTOS")</f>
        <v>HOMBRES ADULTOS</v>
      </c>
    </row>
    <row r="40" spans="1:13">
      <c r="A40" s="42" t="str">
        <f ca="1">IFERROR(__xludf.DUMMYFUNCTION("""COMPUTED_VALUE"""),"2.1.1.1")</f>
        <v>2.1.1.1</v>
      </c>
      <c r="B40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40" s="42" t="str">
        <f ca="1">IFERROR(__xludf.DUMMYFUNCTION("""COMPUTED_VALUE"""),"3. Operación")</f>
        <v>3. Operación</v>
      </c>
      <c r="D40" s="42" t="str">
        <f ca="1">IFERROR(__xludf.DUMMYFUNCTION("""COMPUTED_VALUE"""),"Guadalajara en Paz")</f>
        <v>Guadalajara en Paz</v>
      </c>
      <c r="E40" s="42" t="str">
        <f ca="1">IFERROR(__xludf.DUMMYFUNCTION("""COMPUTED_VALUE"""),"Trabajo Social Asistencial")</f>
        <v>Trabajo Social Asistencial</v>
      </c>
      <c r="F40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40" s="42" t="str">
        <f ca="1">IFERROR(__xludf.DUMMYFUNCTION("""COMPUTED_VALUE"""),"Apoyos asistenciales entregados en 2023")</f>
        <v>Apoyos asistenciales entregados en 2023</v>
      </c>
      <c r="H40" s="42" t="str">
        <f ca="1">IFERROR(__xludf.DUMMYFUNCTION("""COMPUTED_VALUE"""),"AMM Mayo")</f>
        <v>AMM Mayo</v>
      </c>
      <c r="I40" s="42" t="str">
        <f ca="1">IFERROR(__xludf.DUMMYFUNCTION("""COMPUTED_VALUE"""),"Mayo")</f>
        <v>Mayo</v>
      </c>
      <c r="J40" s="42" t="str">
        <f ca="1">IFERROR(__xludf.DUMMYFUNCTION("""COMPUTED_VALUE"""),"AMM")</f>
        <v>AMM</v>
      </c>
      <c r="K40" s="98">
        <f ca="1">IFERROR(__xludf.DUMMYFUNCTION("""COMPUTED_VALUE"""),127)</f>
        <v>127</v>
      </c>
      <c r="L40" s="42" t="str">
        <f ca="1">IFERROR(__xludf.DUMMYFUNCTION("""COMPUTED_VALUE"""),"TRIMESTRE 2")</f>
        <v>TRIMESTRE 2</v>
      </c>
      <c r="M40" s="42" t="str">
        <f ca="1">IFERROR(__xludf.DUMMYFUNCTION("""COMPUTED_VALUE"""),"ADULTA MAYOR MUJER")</f>
        <v>ADULTA MAYOR MUJER</v>
      </c>
    </row>
    <row r="41" spans="1:13">
      <c r="A41" s="42" t="str">
        <f ca="1">IFERROR(__xludf.DUMMYFUNCTION("""COMPUTED_VALUE"""),"2.1.1.1")</f>
        <v>2.1.1.1</v>
      </c>
      <c r="B41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41" s="42" t="str">
        <f ca="1">IFERROR(__xludf.DUMMYFUNCTION("""COMPUTED_VALUE"""),"3. Operación")</f>
        <v>3. Operación</v>
      </c>
      <c r="D41" s="42" t="str">
        <f ca="1">IFERROR(__xludf.DUMMYFUNCTION("""COMPUTED_VALUE"""),"Guadalajara en Paz")</f>
        <v>Guadalajara en Paz</v>
      </c>
      <c r="E41" s="42" t="str">
        <f ca="1">IFERROR(__xludf.DUMMYFUNCTION("""COMPUTED_VALUE"""),"Trabajo Social Asistencial")</f>
        <v>Trabajo Social Asistencial</v>
      </c>
      <c r="F41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41" s="42" t="str">
        <f ca="1">IFERROR(__xludf.DUMMYFUNCTION("""COMPUTED_VALUE"""),"Apoyos asistenciales entregados en 2023")</f>
        <v>Apoyos asistenciales entregados en 2023</v>
      </c>
      <c r="H41" s="42" t="str">
        <f ca="1">IFERROR(__xludf.DUMMYFUNCTION("""COMPUTED_VALUE"""),"AMH Mayo")</f>
        <v>AMH Mayo</v>
      </c>
      <c r="I41" s="42" t="str">
        <f ca="1">IFERROR(__xludf.DUMMYFUNCTION("""COMPUTED_VALUE"""),"Mayo")</f>
        <v>Mayo</v>
      </c>
      <c r="J41" s="42" t="str">
        <f ca="1">IFERROR(__xludf.DUMMYFUNCTION("""COMPUTED_VALUE"""),"AMH")</f>
        <v>AMH</v>
      </c>
      <c r="K41" s="98">
        <f ca="1">IFERROR(__xludf.DUMMYFUNCTION("""COMPUTED_VALUE"""),42)</f>
        <v>42</v>
      </c>
      <c r="L41" s="42" t="str">
        <f ca="1">IFERROR(__xludf.DUMMYFUNCTION("""COMPUTED_VALUE"""),"TRIMESTRE 2")</f>
        <v>TRIMESTRE 2</v>
      </c>
      <c r="M41" s="42" t="str">
        <f ca="1">IFERROR(__xludf.DUMMYFUNCTION("""COMPUTED_VALUE"""),"ADULTO MAYOR HOMBRE")</f>
        <v>ADULTO MAYOR HOMBRE</v>
      </c>
    </row>
    <row r="42" spans="1:13">
      <c r="A42" s="42" t="str">
        <f ca="1">IFERROR(__xludf.DUMMYFUNCTION("""COMPUTED_VALUE"""),"2.1.1.1")</f>
        <v>2.1.1.1</v>
      </c>
      <c r="B42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42" s="42" t="str">
        <f ca="1">IFERROR(__xludf.DUMMYFUNCTION("""COMPUTED_VALUE"""),"3. Operación")</f>
        <v>3. Operación</v>
      </c>
      <c r="D42" s="42" t="str">
        <f ca="1">IFERROR(__xludf.DUMMYFUNCTION("""COMPUTED_VALUE"""),"Guadalajara en Paz")</f>
        <v>Guadalajara en Paz</v>
      </c>
      <c r="E42" s="42" t="str">
        <f ca="1">IFERROR(__xludf.DUMMYFUNCTION("""COMPUTED_VALUE"""),"Trabajo Social Asistencial")</f>
        <v>Trabajo Social Asistencial</v>
      </c>
      <c r="F42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42" s="42" t="str">
        <f ca="1">IFERROR(__xludf.DUMMYFUNCTION("""COMPUTED_VALUE"""),"Apoyos asistenciales entregados en 2023")</f>
        <v>Apoyos asistenciales entregados en 2023</v>
      </c>
      <c r="H42" s="42" t="str">
        <f ca="1">IFERROR(__xludf.DUMMYFUNCTION("""COMPUTED_VALUE"""),"NAS Junio")</f>
        <v>NAS Junio</v>
      </c>
      <c r="I42" s="42" t="str">
        <f ca="1">IFERROR(__xludf.DUMMYFUNCTION("""COMPUTED_VALUE"""),"Junio")</f>
        <v>Junio</v>
      </c>
      <c r="J42" s="42" t="str">
        <f ca="1">IFERROR(__xludf.DUMMYFUNCTION("""COMPUTED_VALUE"""),"NAS")</f>
        <v>NAS</v>
      </c>
      <c r="K42" s="98">
        <f ca="1">IFERROR(__xludf.DUMMYFUNCTION("""COMPUTED_VALUE"""),9)</f>
        <v>9</v>
      </c>
      <c r="L42" s="42" t="str">
        <f ca="1">IFERROR(__xludf.DUMMYFUNCTION("""COMPUTED_VALUE"""),"TRIMESTRE 2")</f>
        <v>TRIMESTRE 2</v>
      </c>
      <c r="M42" s="42" t="str">
        <f ca="1">IFERROR(__xludf.DUMMYFUNCTION("""COMPUTED_VALUE"""),"NIÑAS")</f>
        <v>NIÑAS</v>
      </c>
    </row>
    <row r="43" spans="1:13">
      <c r="A43" s="42" t="str">
        <f ca="1">IFERROR(__xludf.DUMMYFUNCTION("""COMPUTED_VALUE"""),"2.1.1.1")</f>
        <v>2.1.1.1</v>
      </c>
      <c r="B43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43" s="42" t="str">
        <f ca="1">IFERROR(__xludf.DUMMYFUNCTION("""COMPUTED_VALUE"""),"3. Operación")</f>
        <v>3. Operación</v>
      </c>
      <c r="D43" s="42" t="str">
        <f ca="1">IFERROR(__xludf.DUMMYFUNCTION("""COMPUTED_VALUE"""),"Guadalajara en Paz")</f>
        <v>Guadalajara en Paz</v>
      </c>
      <c r="E43" s="42" t="str">
        <f ca="1">IFERROR(__xludf.DUMMYFUNCTION("""COMPUTED_VALUE"""),"Trabajo Social Asistencial")</f>
        <v>Trabajo Social Asistencial</v>
      </c>
      <c r="F43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43" s="42" t="str">
        <f ca="1">IFERROR(__xludf.DUMMYFUNCTION("""COMPUTED_VALUE"""),"Apoyos asistenciales entregados en 2023")</f>
        <v>Apoyos asistenciales entregados en 2023</v>
      </c>
      <c r="H43" s="42" t="str">
        <f ca="1">IFERROR(__xludf.DUMMYFUNCTION("""COMPUTED_VALUE"""),"NOS Junio")</f>
        <v>NOS Junio</v>
      </c>
      <c r="I43" s="42" t="str">
        <f ca="1">IFERROR(__xludf.DUMMYFUNCTION("""COMPUTED_VALUE"""),"Junio")</f>
        <v>Junio</v>
      </c>
      <c r="J43" s="42" t="str">
        <f ca="1">IFERROR(__xludf.DUMMYFUNCTION("""COMPUTED_VALUE"""),"NOS")</f>
        <v>NOS</v>
      </c>
      <c r="K43" s="98">
        <f ca="1">IFERROR(__xludf.DUMMYFUNCTION("""COMPUTED_VALUE"""),10)</f>
        <v>10</v>
      </c>
      <c r="L43" s="42" t="str">
        <f ca="1">IFERROR(__xludf.DUMMYFUNCTION("""COMPUTED_VALUE"""),"TRIMESTRE 2")</f>
        <v>TRIMESTRE 2</v>
      </c>
      <c r="M43" s="42" t="str">
        <f ca="1">IFERROR(__xludf.DUMMYFUNCTION("""COMPUTED_VALUE"""),"NIÑOS")</f>
        <v>NIÑOS</v>
      </c>
    </row>
    <row r="44" spans="1:13">
      <c r="A44" s="42" t="str">
        <f ca="1">IFERROR(__xludf.DUMMYFUNCTION("""COMPUTED_VALUE"""),"2.1.1.1")</f>
        <v>2.1.1.1</v>
      </c>
      <c r="B44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44" s="42" t="str">
        <f ca="1">IFERROR(__xludf.DUMMYFUNCTION("""COMPUTED_VALUE"""),"3. Operación")</f>
        <v>3. Operación</v>
      </c>
      <c r="D44" s="42" t="str">
        <f ca="1">IFERROR(__xludf.DUMMYFUNCTION("""COMPUTED_VALUE"""),"Guadalajara en Paz")</f>
        <v>Guadalajara en Paz</v>
      </c>
      <c r="E44" s="42" t="str">
        <f ca="1">IFERROR(__xludf.DUMMYFUNCTION("""COMPUTED_VALUE"""),"Trabajo Social Asistencial")</f>
        <v>Trabajo Social Asistencial</v>
      </c>
      <c r="F44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44" s="42" t="str">
        <f ca="1">IFERROR(__xludf.DUMMYFUNCTION("""COMPUTED_VALUE"""),"Apoyos asistenciales entregados en 2023")</f>
        <v>Apoyos asistenciales entregados en 2023</v>
      </c>
      <c r="H44" s="42" t="str">
        <f ca="1">IFERROR(__xludf.DUMMYFUNCTION("""COMPUTED_VALUE"""),"AM JUNIO")</f>
        <v>AM JUNIO</v>
      </c>
      <c r="I44" s="42" t="str">
        <f ca="1">IFERROR(__xludf.DUMMYFUNCTION("""COMPUTED_VALUE"""),"Junio")</f>
        <v>Junio</v>
      </c>
      <c r="J44" s="42" t="str">
        <f ca="1">IFERROR(__xludf.DUMMYFUNCTION("""COMPUTED_VALUE"""),"AM")</f>
        <v>AM</v>
      </c>
      <c r="K44" s="98">
        <f ca="1">IFERROR(__xludf.DUMMYFUNCTION("""COMPUTED_VALUE"""),9)</f>
        <v>9</v>
      </c>
      <c r="L44" s="42" t="str">
        <f ca="1">IFERROR(__xludf.DUMMYFUNCTION("""COMPUTED_VALUE"""),"TRIMESTRE 2")</f>
        <v>TRIMESTRE 2</v>
      </c>
      <c r="M44" s="42" t="str">
        <f ca="1">IFERROR(__xludf.DUMMYFUNCTION("""COMPUTED_VALUE"""),"ADOLESCENTES MUJERES")</f>
        <v>ADOLESCENTES MUJERES</v>
      </c>
    </row>
    <row r="45" spans="1:13">
      <c r="A45" s="42" t="str">
        <f ca="1">IFERROR(__xludf.DUMMYFUNCTION("""COMPUTED_VALUE"""),"2.1.1.1")</f>
        <v>2.1.1.1</v>
      </c>
      <c r="B45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45" s="42" t="str">
        <f ca="1">IFERROR(__xludf.DUMMYFUNCTION("""COMPUTED_VALUE"""),"3. Operación")</f>
        <v>3. Operación</v>
      </c>
      <c r="D45" s="42" t="str">
        <f ca="1">IFERROR(__xludf.DUMMYFUNCTION("""COMPUTED_VALUE"""),"Guadalajara en Paz")</f>
        <v>Guadalajara en Paz</v>
      </c>
      <c r="E45" s="42" t="str">
        <f ca="1">IFERROR(__xludf.DUMMYFUNCTION("""COMPUTED_VALUE"""),"Trabajo Social Asistencial")</f>
        <v>Trabajo Social Asistencial</v>
      </c>
      <c r="F45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45" s="42" t="str">
        <f ca="1">IFERROR(__xludf.DUMMYFUNCTION("""COMPUTED_VALUE"""),"Apoyos asistenciales entregados en 2023")</f>
        <v>Apoyos asistenciales entregados en 2023</v>
      </c>
      <c r="H45" s="42" t="str">
        <f ca="1">IFERROR(__xludf.DUMMYFUNCTION("""COMPUTED_VALUE"""),"AH JUNIO")</f>
        <v>AH JUNIO</v>
      </c>
      <c r="I45" s="42" t="str">
        <f ca="1">IFERROR(__xludf.DUMMYFUNCTION("""COMPUTED_VALUE"""),"Junio")</f>
        <v>Junio</v>
      </c>
      <c r="J45" s="42" t="str">
        <f ca="1">IFERROR(__xludf.DUMMYFUNCTION("""COMPUTED_VALUE"""),"AH")</f>
        <v>AH</v>
      </c>
      <c r="K45" s="98">
        <f ca="1">IFERROR(__xludf.DUMMYFUNCTION("""COMPUTED_VALUE"""),2)</f>
        <v>2</v>
      </c>
      <c r="L45" s="42" t="str">
        <f ca="1">IFERROR(__xludf.DUMMYFUNCTION("""COMPUTED_VALUE"""),"TRIMESTRE 2")</f>
        <v>TRIMESTRE 2</v>
      </c>
      <c r="M45" s="42" t="str">
        <f ca="1">IFERROR(__xludf.DUMMYFUNCTION("""COMPUTED_VALUE"""),"ADOLESCENTES HOMBRES")</f>
        <v>ADOLESCENTES HOMBRES</v>
      </c>
    </row>
    <row r="46" spans="1:13">
      <c r="A46" s="42" t="str">
        <f ca="1">IFERROR(__xludf.DUMMYFUNCTION("""COMPUTED_VALUE"""),"2.1.1.1")</f>
        <v>2.1.1.1</v>
      </c>
      <c r="B46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46" s="42" t="str">
        <f ca="1">IFERROR(__xludf.DUMMYFUNCTION("""COMPUTED_VALUE"""),"3. Operación")</f>
        <v>3. Operación</v>
      </c>
      <c r="D46" s="42" t="str">
        <f ca="1">IFERROR(__xludf.DUMMYFUNCTION("""COMPUTED_VALUE"""),"Guadalajara en Paz")</f>
        <v>Guadalajara en Paz</v>
      </c>
      <c r="E46" s="42" t="str">
        <f ca="1">IFERROR(__xludf.DUMMYFUNCTION("""COMPUTED_VALUE"""),"Trabajo Social Asistencial")</f>
        <v>Trabajo Social Asistencial</v>
      </c>
      <c r="F46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46" s="42" t="str">
        <f ca="1">IFERROR(__xludf.DUMMYFUNCTION("""COMPUTED_VALUE"""),"Apoyos asistenciales entregados en 2023")</f>
        <v>Apoyos asistenciales entregados en 2023</v>
      </c>
      <c r="H46" s="42" t="str">
        <f ca="1">IFERROR(__xludf.DUMMYFUNCTION("""COMPUTED_VALUE"""),"MUJ Junio")</f>
        <v>MUJ Junio</v>
      </c>
      <c r="I46" s="42" t="str">
        <f ca="1">IFERROR(__xludf.DUMMYFUNCTION("""COMPUTED_VALUE"""),"Junio")</f>
        <v>Junio</v>
      </c>
      <c r="J46" s="42" t="str">
        <f ca="1">IFERROR(__xludf.DUMMYFUNCTION("""COMPUTED_VALUE"""),"MUJ")</f>
        <v>MUJ</v>
      </c>
      <c r="K46" s="98">
        <f ca="1">IFERROR(__xludf.DUMMYFUNCTION("""COMPUTED_VALUE"""),227)</f>
        <v>227</v>
      </c>
      <c r="L46" s="42" t="str">
        <f ca="1">IFERROR(__xludf.DUMMYFUNCTION("""COMPUTED_VALUE"""),"TRIMESTRE 2")</f>
        <v>TRIMESTRE 2</v>
      </c>
      <c r="M46" s="42" t="str">
        <f ca="1">IFERROR(__xludf.DUMMYFUNCTION("""COMPUTED_VALUE"""),"MUJERES ADULTAS")</f>
        <v>MUJERES ADULTAS</v>
      </c>
    </row>
    <row r="47" spans="1:13">
      <c r="A47" s="42" t="str">
        <f ca="1">IFERROR(__xludf.DUMMYFUNCTION("""COMPUTED_VALUE"""),"2.1.1.1")</f>
        <v>2.1.1.1</v>
      </c>
      <c r="B47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47" s="42" t="str">
        <f ca="1">IFERROR(__xludf.DUMMYFUNCTION("""COMPUTED_VALUE"""),"3. Operación")</f>
        <v>3. Operación</v>
      </c>
      <c r="D47" s="42" t="str">
        <f ca="1">IFERROR(__xludf.DUMMYFUNCTION("""COMPUTED_VALUE"""),"Guadalajara en Paz")</f>
        <v>Guadalajara en Paz</v>
      </c>
      <c r="E47" s="42" t="str">
        <f ca="1">IFERROR(__xludf.DUMMYFUNCTION("""COMPUTED_VALUE"""),"Trabajo Social Asistencial")</f>
        <v>Trabajo Social Asistencial</v>
      </c>
      <c r="F47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47" s="42" t="str">
        <f ca="1">IFERROR(__xludf.DUMMYFUNCTION("""COMPUTED_VALUE"""),"Apoyos asistenciales entregados en 2023")</f>
        <v>Apoyos asistenciales entregados en 2023</v>
      </c>
      <c r="H47" s="42" t="str">
        <f ca="1">IFERROR(__xludf.DUMMYFUNCTION("""COMPUTED_VALUE"""),"HOM Junio")</f>
        <v>HOM Junio</v>
      </c>
      <c r="I47" s="42" t="str">
        <f ca="1">IFERROR(__xludf.DUMMYFUNCTION("""COMPUTED_VALUE"""),"Junio")</f>
        <v>Junio</v>
      </c>
      <c r="J47" s="42" t="str">
        <f ca="1">IFERROR(__xludf.DUMMYFUNCTION("""COMPUTED_VALUE"""),"HOM")</f>
        <v>HOM</v>
      </c>
      <c r="K47" s="98">
        <f ca="1">IFERROR(__xludf.DUMMYFUNCTION("""COMPUTED_VALUE"""),31)</f>
        <v>31</v>
      </c>
      <c r="L47" s="42" t="str">
        <f ca="1">IFERROR(__xludf.DUMMYFUNCTION("""COMPUTED_VALUE"""),"TRIMESTRE 2")</f>
        <v>TRIMESTRE 2</v>
      </c>
      <c r="M47" s="42" t="str">
        <f ca="1">IFERROR(__xludf.DUMMYFUNCTION("""COMPUTED_VALUE"""),"HOMBRES ADULTOS")</f>
        <v>HOMBRES ADULTOS</v>
      </c>
    </row>
    <row r="48" spans="1:13">
      <c r="A48" s="42" t="str">
        <f ca="1">IFERROR(__xludf.DUMMYFUNCTION("""COMPUTED_VALUE"""),"2.1.1.1")</f>
        <v>2.1.1.1</v>
      </c>
      <c r="B48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48" s="42" t="str">
        <f ca="1">IFERROR(__xludf.DUMMYFUNCTION("""COMPUTED_VALUE"""),"3. Operación")</f>
        <v>3. Operación</v>
      </c>
      <c r="D48" s="42" t="str">
        <f ca="1">IFERROR(__xludf.DUMMYFUNCTION("""COMPUTED_VALUE"""),"Guadalajara en Paz")</f>
        <v>Guadalajara en Paz</v>
      </c>
      <c r="E48" s="42" t="str">
        <f ca="1">IFERROR(__xludf.DUMMYFUNCTION("""COMPUTED_VALUE"""),"Trabajo Social Asistencial")</f>
        <v>Trabajo Social Asistencial</v>
      </c>
      <c r="F48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48" s="42" t="str">
        <f ca="1">IFERROR(__xludf.DUMMYFUNCTION("""COMPUTED_VALUE"""),"Apoyos asistenciales entregados en 2023")</f>
        <v>Apoyos asistenciales entregados en 2023</v>
      </c>
      <c r="H48" s="42" t="str">
        <f ca="1">IFERROR(__xludf.DUMMYFUNCTION("""COMPUTED_VALUE"""),"AMM Junio")</f>
        <v>AMM Junio</v>
      </c>
      <c r="I48" s="42" t="str">
        <f ca="1">IFERROR(__xludf.DUMMYFUNCTION("""COMPUTED_VALUE"""),"Junio")</f>
        <v>Junio</v>
      </c>
      <c r="J48" s="42" t="str">
        <f ca="1">IFERROR(__xludf.DUMMYFUNCTION("""COMPUTED_VALUE"""),"AMM")</f>
        <v>AMM</v>
      </c>
      <c r="K48" s="98">
        <f ca="1">IFERROR(__xludf.DUMMYFUNCTION("""COMPUTED_VALUE"""),49)</f>
        <v>49</v>
      </c>
      <c r="L48" s="42" t="str">
        <f ca="1">IFERROR(__xludf.DUMMYFUNCTION("""COMPUTED_VALUE"""),"TRIMESTRE 2")</f>
        <v>TRIMESTRE 2</v>
      </c>
      <c r="M48" s="42" t="str">
        <f ca="1">IFERROR(__xludf.DUMMYFUNCTION("""COMPUTED_VALUE"""),"ADULTA MAYOR MUJER")</f>
        <v>ADULTA MAYOR MUJER</v>
      </c>
    </row>
    <row r="49" spans="1:13">
      <c r="A49" s="42" t="str">
        <f ca="1">IFERROR(__xludf.DUMMYFUNCTION("""COMPUTED_VALUE"""),"2.1.1.1")</f>
        <v>2.1.1.1</v>
      </c>
      <c r="B49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49" s="42" t="str">
        <f ca="1">IFERROR(__xludf.DUMMYFUNCTION("""COMPUTED_VALUE"""),"3. Operación")</f>
        <v>3. Operación</v>
      </c>
      <c r="D49" s="42" t="str">
        <f ca="1">IFERROR(__xludf.DUMMYFUNCTION("""COMPUTED_VALUE"""),"Guadalajara en Paz")</f>
        <v>Guadalajara en Paz</v>
      </c>
      <c r="E49" s="42" t="str">
        <f ca="1">IFERROR(__xludf.DUMMYFUNCTION("""COMPUTED_VALUE"""),"Trabajo Social Asistencial")</f>
        <v>Trabajo Social Asistencial</v>
      </c>
      <c r="F49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49" s="42" t="str">
        <f ca="1">IFERROR(__xludf.DUMMYFUNCTION("""COMPUTED_VALUE"""),"Apoyos asistenciales entregados en 2023")</f>
        <v>Apoyos asistenciales entregados en 2023</v>
      </c>
      <c r="H49" s="42" t="str">
        <f ca="1">IFERROR(__xludf.DUMMYFUNCTION("""COMPUTED_VALUE"""),"AMH Junio")</f>
        <v>AMH Junio</v>
      </c>
      <c r="I49" s="42" t="str">
        <f ca="1">IFERROR(__xludf.DUMMYFUNCTION("""COMPUTED_VALUE"""),"Junio")</f>
        <v>Junio</v>
      </c>
      <c r="J49" s="42" t="str">
        <f ca="1">IFERROR(__xludf.DUMMYFUNCTION("""COMPUTED_VALUE"""),"AMH")</f>
        <v>AMH</v>
      </c>
      <c r="K49" s="98">
        <f ca="1">IFERROR(__xludf.DUMMYFUNCTION("""COMPUTED_VALUE"""),15)</f>
        <v>15</v>
      </c>
      <c r="L49" s="42" t="str">
        <f ca="1">IFERROR(__xludf.DUMMYFUNCTION("""COMPUTED_VALUE"""),"TRIMESTRE 2")</f>
        <v>TRIMESTRE 2</v>
      </c>
      <c r="M49" s="42" t="str">
        <f ca="1">IFERROR(__xludf.DUMMYFUNCTION("""COMPUTED_VALUE"""),"ADULTO MAYOR HOMBRE")</f>
        <v>ADULTO MAYOR HOMBRE</v>
      </c>
    </row>
    <row r="50" spans="1:13">
      <c r="A50" s="42" t="str">
        <f ca="1">IFERROR(__xludf.DUMMYFUNCTION("""COMPUTED_VALUE"""),"2.1.1.1")</f>
        <v>2.1.1.1</v>
      </c>
      <c r="B50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50" s="42" t="str">
        <f ca="1">IFERROR(__xludf.DUMMYFUNCTION("""COMPUTED_VALUE"""),"3. Operación")</f>
        <v>3. Operación</v>
      </c>
      <c r="D50" s="42" t="str">
        <f ca="1">IFERROR(__xludf.DUMMYFUNCTION("""COMPUTED_VALUE"""),"Guadalajara en Paz")</f>
        <v>Guadalajara en Paz</v>
      </c>
      <c r="E50" s="42" t="str">
        <f ca="1">IFERROR(__xludf.DUMMYFUNCTION("""COMPUTED_VALUE"""),"Trabajo Social Asistencial")</f>
        <v>Trabajo Social Asistencial</v>
      </c>
      <c r="F50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50" s="42" t="str">
        <f ca="1">IFERROR(__xludf.DUMMYFUNCTION("""COMPUTED_VALUE"""),"Apoyos asistenciales entregados en 2023")</f>
        <v>Apoyos asistenciales entregados en 2023</v>
      </c>
      <c r="H50" s="42" t="str">
        <f ca="1">IFERROR(__xludf.DUMMYFUNCTION("""COMPUTED_VALUE"""),"NAS Julio")</f>
        <v>NAS Julio</v>
      </c>
      <c r="I50" s="42" t="str">
        <f ca="1">IFERROR(__xludf.DUMMYFUNCTION("""COMPUTED_VALUE"""),"Julio")</f>
        <v>Julio</v>
      </c>
      <c r="J50" s="42" t="str">
        <f ca="1">IFERROR(__xludf.DUMMYFUNCTION("""COMPUTED_VALUE"""),"NAS")</f>
        <v>NAS</v>
      </c>
      <c r="K50" s="98">
        <f ca="1">IFERROR(__xludf.DUMMYFUNCTION("""COMPUTED_VALUE"""),16)</f>
        <v>16</v>
      </c>
      <c r="L50" s="42" t="str">
        <f ca="1">IFERROR(__xludf.DUMMYFUNCTION("""COMPUTED_VALUE"""),"TRIMESTRE 3")</f>
        <v>TRIMESTRE 3</v>
      </c>
      <c r="M50" s="42" t="str">
        <f ca="1">IFERROR(__xludf.DUMMYFUNCTION("""COMPUTED_VALUE"""),"NIÑAS")</f>
        <v>NIÑAS</v>
      </c>
    </row>
    <row r="51" spans="1:13">
      <c r="A51" s="42" t="str">
        <f ca="1">IFERROR(__xludf.DUMMYFUNCTION("""COMPUTED_VALUE"""),"2.1.1.1")</f>
        <v>2.1.1.1</v>
      </c>
      <c r="B51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51" s="42" t="str">
        <f ca="1">IFERROR(__xludf.DUMMYFUNCTION("""COMPUTED_VALUE"""),"3. Operación")</f>
        <v>3. Operación</v>
      </c>
      <c r="D51" s="42" t="str">
        <f ca="1">IFERROR(__xludf.DUMMYFUNCTION("""COMPUTED_VALUE"""),"Guadalajara en Paz")</f>
        <v>Guadalajara en Paz</v>
      </c>
      <c r="E51" s="42" t="str">
        <f ca="1">IFERROR(__xludf.DUMMYFUNCTION("""COMPUTED_VALUE"""),"Trabajo Social Asistencial")</f>
        <v>Trabajo Social Asistencial</v>
      </c>
      <c r="F51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51" s="42" t="str">
        <f ca="1">IFERROR(__xludf.DUMMYFUNCTION("""COMPUTED_VALUE"""),"Apoyos asistenciales entregados en 2023")</f>
        <v>Apoyos asistenciales entregados en 2023</v>
      </c>
      <c r="H51" s="42" t="str">
        <f ca="1">IFERROR(__xludf.DUMMYFUNCTION("""COMPUTED_VALUE"""),"NOS Julio")</f>
        <v>NOS Julio</v>
      </c>
      <c r="I51" s="42" t="str">
        <f ca="1">IFERROR(__xludf.DUMMYFUNCTION("""COMPUTED_VALUE"""),"Julio")</f>
        <v>Julio</v>
      </c>
      <c r="J51" s="42" t="str">
        <f ca="1">IFERROR(__xludf.DUMMYFUNCTION("""COMPUTED_VALUE"""),"NOS")</f>
        <v>NOS</v>
      </c>
      <c r="K51" s="98">
        <f ca="1">IFERROR(__xludf.DUMMYFUNCTION("""COMPUTED_VALUE"""),18)</f>
        <v>18</v>
      </c>
      <c r="L51" s="42" t="str">
        <f ca="1">IFERROR(__xludf.DUMMYFUNCTION("""COMPUTED_VALUE"""),"TRIMESTRE 3")</f>
        <v>TRIMESTRE 3</v>
      </c>
      <c r="M51" s="42" t="str">
        <f ca="1">IFERROR(__xludf.DUMMYFUNCTION("""COMPUTED_VALUE"""),"NIÑOS")</f>
        <v>NIÑOS</v>
      </c>
    </row>
    <row r="52" spans="1:13">
      <c r="A52" s="42" t="str">
        <f ca="1">IFERROR(__xludf.DUMMYFUNCTION("""COMPUTED_VALUE"""),"2.1.1.1")</f>
        <v>2.1.1.1</v>
      </c>
      <c r="B52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52" s="42" t="str">
        <f ca="1">IFERROR(__xludf.DUMMYFUNCTION("""COMPUTED_VALUE"""),"3. Operación")</f>
        <v>3. Operación</v>
      </c>
      <c r="D52" s="42" t="str">
        <f ca="1">IFERROR(__xludf.DUMMYFUNCTION("""COMPUTED_VALUE"""),"Guadalajara en Paz")</f>
        <v>Guadalajara en Paz</v>
      </c>
      <c r="E52" s="42" t="str">
        <f ca="1">IFERROR(__xludf.DUMMYFUNCTION("""COMPUTED_VALUE"""),"Trabajo Social Asistencial")</f>
        <v>Trabajo Social Asistencial</v>
      </c>
      <c r="F52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52" s="42" t="str">
        <f ca="1">IFERROR(__xludf.DUMMYFUNCTION("""COMPUTED_VALUE"""),"Apoyos asistenciales entregados en 2023")</f>
        <v>Apoyos asistenciales entregados en 2023</v>
      </c>
      <c r="H52" s="42" t="str">
        <f ca="1">IFERROR(__xludf.DUMMYFUNCTION("""COMPUTED_VALUE"""),"AM JULIO")</f>
        <v>AM JULIO</v>
      </c>
      <c r="I52" s="42" t="str">
        <f ca="1">IFERROR(__xludf.DUMMYFUNCTION("""COMPUTED_VALUE"""),"Julio")</f>
        <v>Julio</v>
      </c>
      <c r="J52" s="42" t="str">
        <f ca="1">IFERROR(__xludf.DUMMYFUNCTION("""COMPUTED_VALUE"""),"AM")</f>
        <v>AM</v>
      </c>
      <c r="K52" s="98">
        <f ca="1">IFERROR(__xludf.DUMMYFUNCTION("""COMPUTED_VALUE"""),20)</f>
        <v>20</v>
      </c>
      <c r="L52" s="42" t="str">
        <f ca="1">IFERROR(__xludf.DUMMYFUNCTION("""COMPUTED_VALUE"""),"TRIMESTRE 3")</f>
        <v>TRIMESTRE 3</v>
      </c>
      <c r="M52" s="42" t="str">
        <f ca="1">IFERROR(__xludf.DUMMYFUNCTION("""COMPUTED_VALUE"""),"ADOLESCENTES MUJERES")</f>
        <v>ADOLESCENTES MUJERES</v>
      </c>
    </row>
    <row r="53" spans="1:13">
      <c r="A53" s="42" t="str">
        <f ca="1">IFERROR(__xludf.DUMMYFUNCTION("""COMPUTED_VALUE"""),"2.1.1.1")</f>
        <v>2.1.1.1</v>
      </c>
      <c r="B53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53" s="42" t="str">
        <f ca="1">IFERROR(__xludf.DUMMYFUNCTION("""COMPUTED_VALUE"""),"3. Operación")</f>
        <v>3. Operación</v>
      </c>
      <c r="D53" s="42" t="str">
        <f ca="1">IFERROR(__xludf.DUMMYFUNCTION("""COMPUTED_VALUE"""),"Guadalajara en Paz")</f>
        <v>Guadalajara en Paz</v>
      </c>
      <c r="E53" s="42" t="str">
        <f ca="1">IFERROR(__xludf.DUMMYFUNCTION("""COMPUTED_VALUE"""),"Trabajo Social Asistencial")</f>
        <v>Trabajo Social Asistencial</v>
      </c>
      <c r="F53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53" s="42" t="str">
        <f ca="1">IFERROR(__xludf.DUMMYFUNCTION("""COMPUTED_VALUE"""),"Apoyos asistenciales entregados en 2023")</f>
        <v>Apoyos asistenciales entregados en 2023</v>
      </c>
      <c r="H53" s="42" t="str">
        <f ca="1">IFERROR(__xludf.DUMMYFUNCTION("""COMPUTED_VALUE"""),"AH JULIO")</f>
        <v>AH JULIO</v>
      </c>
      <c r="I53" s="42" t="str">
        <f ca="1">IFERROR(__xludf.DUMMYFUNCTION("""COMPUTED_VALUE"""),"Julio")</f>
        <v>Julio</v>
      </c>
      <c r="J53" s="42" t="str">
        <f ca="1">IFERROR(__xludf.DUMMYFUNCTION("""COMPUTED_VALUE"""),"AH")</f>
        <v>AH</v>
      </c>
      <c r="K53" s="98">
        <f ca="1">IFERROR(__xludf.DUMMYFUNCTION("""COMPUTED_VALUE"""),8)</f>
        <v>8</v>
      </c>
      <c r="L53" s="42" t="str">
        <f ca="1">IFERROR(__xludf.DUMMYFUNCTION("""COMPUTED_VALUE"""),"TRIMESTRE 3")</f>
        <v>TRIMESTRE 3</v>
      </c>
      <c r="M53" s="42" t="str">
        <f ca="1">IFERROR(__xludf.DUMMYFUNCTION("""COMPUTED_VALUE"""),"ADOLESCENTES HOMBRES")</f>
        <v>ADOLESCENTES HOMBRES</v>
      </c>
    </row>
    <row r="54" spans="1:13">
      <c r="A54" s="42" t="str">
        <f ca="1">IFERROR(__xludf.DUMMYFUNCTION("""COMPUTED_VALUE"""),"2.1.1.1")</f>
        <v>2.1.1.1</v>
      </c>
      <c r="B54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54" s="42" t="str">
        <f ca="1">IFERROR(__xludf.DUMMYFUNCTION("""COMPUTED_VALUE"""),"3. Operación")</f>
        <v>3. Operación</v>
      </c>
      <c r="D54" s="42" t="str">
        <f ca="1">IFERROR(__xludf.DUMMYFUNCTION("""COMPUTED_VALUE"""),"Guadalajara en Paz")</f>
        <v>Guadalajara en Paz</v>
      </c>
      <c r="E54" s="42" t="str">
        <f ca="1">IFERROR(__xludf.DUMMYFUNCTION("""COMPUTED_VALUE"""),"Trabajo Social Asistencial")</f>
        <v>Trabajo Social Asistencial</v>
      </c>
      <c r="F54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54" s="42" t="str">
        <f ca="1">IFERROR(__xludf.DUMMYFUNCTION("""COMPUTED_VALUE"""),"Apoyos asistenciales entregados en 2023")</f>
        <v>Apoyos asistenciales entregados en 2023</v>
      </c>
      <c r="H54" s="42" t="str">
        <f ca="1">IFERROR(__xludf.DUMMYFUNCTION("""COMPUTED_VALUE"""),"MUJ Julio")</f>
        <v>MUJ Julio</v>
      </c>
      <c r="I54" s="42" t="str">
        <f ca="1">IFERROR(__xludf.DUMMYFUNCTION("""COMPUTED_VALUE"""),"Julio")</f>
        <v>Julio</v>
      </c>
      <c r="J54" s="42" t="str">
        <f ca="1">IFERROR(__xludf.DUMMYFUNCTION("""COMPUTED_VALUE"""),"MUJ")</f>
        <v>MUJ</v>
      </c>
      <c r="K54" s="98">
        <f ca="1">IFERROR(__xludf.DUMMYFUNCTION("""COMPUTED_VALUE"""),694)</f>
        <v>694</v>
      </c>
      <c r="L54" s="42" t="str">
        <f ca="1">IFERROR(__xludf.DUMMYFUNCTION("""COMPUTED_VALUE"""),"TRIMESTRE 3")</f>
        <v>TRIMESTRE 3</v>
      </c>
      <c r="M54" s="42" t="str">
        <f ca="1">IFERROR(__xludf.DUMMYFUNCTION("""COMPUTED_VALUE"""),"MUJERES ADULTAS")</f>
        <v>MUJERES ADULTAS</v>
      </c>
    </row>
    <row r="55" spans="1:13">
      <c r="A55" s="42" t="str">
        <f ca="1">IFERROR(__xludf.DUMMYFUNCTION("""COMPUTED_VALUE"""),"2.1.1.1")</f>
        <v>2.1.1.1</v>
      </c>
      <c r="B55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55" s="42" t="str">
        <f ca="1">IFERROR(__xludf.DUMMYFUNCTION("""COMPUTED_VALUE"""),"3. Operación")</f>
        <v>3. Operación</v>
      </c>
      <c r="D55" s="42" t="str">
        <f ca="1">IFERROR(__xludf.DUMMYFUNCTION("""COMPUTED_VALUE"""),"Guadalajara en Paz")</f>
        <v>Guadalajara en Paz</v>
      </c>
      <c r="E55" s="42" t="str">
        <f ca="1">IFERROR(__xludf.DUMMYFUNCTION("""COMPUTED_VALUE"""),"Trabajo Social Asistencial")</f>
        <v>Trabajo Social Asistencial</v>
      </c>
      <c r="F55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55" s="42" t="str">
        <f ca="1">IFERROR(__xludf.DUMMYFUNCTION("""COMPUTED_VALUE"""),"Apoyos asistenciales entregados en 2023")</f>
        <v>Apoyos asistenciales entregados en 2023</v>
      </c>
      <c r="H55" s="42" t="str">
        <f ca="1">IFERROR(__xludf.DUMMYFUNCTION("""COMPUTED_VALUE"""),"HOM Julio")</f>
        <v>HOM Julio</v>
      </c>
      <c r="I55" s="42" t="str">
        <f ca="1">IFERROR(__xludf.DUMMYFUNCTION("""COMPUTED_VALUE"""),"Julio")</f>
        <v>Julio</v>
      </c>
      <c r="J55" s="42" t="str">
        <f ca="1">IFERROR(__xludf.DUMMYFUNCTION("""COMPUTED_VALUE"""),"HOM")</f>
        <v>HOM</v>
      </c>
      <c r="K55" s="98">
        <f ca="1">IFERROR(__xludf.DUMMYFUNCTION("""COMPUTED_VALUE"""),118)</f>
        <v>118</v>
      </c>
      <c r="L55" s="42" t="str">
        <f ca="1">IFERROR(__xludf.DUMMYFUNCTION("""COMPUTED_VALUE"""),"TRIMESTRE 3")</f>
        <v>TRIMESTRE 3</v>
      </c>
      <c r="M55" s="42" t="str">
        <f ca="1">IFERROR(__xludf.DUMMYFUNCTION("""COMPUTED_VALUE"""),"HOMBRES ADULTOS")</f>
        <v>HOMBRES ADULTOS</v>
      </c>
    </row>
    <row r="56" spans="1:13">
      <c r="A56" s="42" t="str">
        <f ca="1">IFERROR(__xludf.DUMMYFUNCTION("""COMPUTED_VALUE"""),"2.1.1.1")</f>
        <v>2.1.1.1</v>
      </c>
      <c r="B56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56" s="42" t="str">
        <f ca="1">IFERROR(__xludf.DUMMYFUNCTION("""COMPUTED_VALUE"""),"3. Operación")</f>
        <v>3. Operación</v>
      </c>
      <c r="D56" s="42" t="str">
        <f ca="1">IFERROR(__xludf.DUMMYFUNCTION("""COMPUTED_VALUE"""),"Guadalajara en Paz")</f>
        <v>Guadalajara en Paz</v>
      </c>
      <c r="E56" s="42" t="str">
        <f ca="1">IFERROR(__xludf.DUMMYFUNCTION("""COMPUTED_VALUE"""),"Trabajo Social Asistencial")</f>
        <v>Trabajo Social Asistencial</v>
      </c>
      <c r="F56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56" s="42" t="str">
        <f ca="1">IFERROR(__xludf.DUMMYFUNCTION("""COMPUTED_VALUE"""),"Apoyos asistenciales entregados en 2023")</f>
        <v>Apoyos asistenciales entregados en 2023</v>
      </c>
      <c r="H56" s="42" t="str">
        <f ca="1">IFERROR(__xludf.DUMMYFUNCTION("""COMPUTED_VALUE"""),"AMM Julio")</f>
        <v>AMM Julio</v>
      </c>
      <c r="I56" s="42" t="str">
        <f ca="1">IFERROR(__xludf.DUMMYFUNCTION("""COMPUTED_VALUE"""),"Julio")</f>
        <v>Julio</v>
      </c>
      <c r="J56" s="42" t="str">
        <f ca="1">IFERROR(__xludf.DUMMYFUNCTION("""COMPUTED_VALUE"""),"AMM")</f>
        <v>AMM</v>
      </c>
      <c r="K56" s="98">
        <f ca="1">IFERROR(__xludf.DUMMYFUNCTION("""COMPUTED_VALUE"""),162)</f>
        <v>162</v>
      </c>
      <c r="L56" s="42" t="str">
        <f ca="1">IFERROR(__xludf.DUMMYFUNCTION("""COMPUTED_VALUE"""),"TRIMESTRE 3")</f>
        <v>TRIMESTRE 3</v>
      </c>
      <c r="M56" s="42" t="str">
        <f ca="1">IFERROR(__xludf.DUMMYFUNCTION("""COMPUTED_VALUE"""),"ADULTA MAYOR MUJER")</f>
        <v>ADULTA MAYOR MUJER</v>
      </c>
    </row>
    <row r="57" spans="1:13">
      <c r="A57" s="42" t="str">
        <f ca="1">IFERROR(__xludf.DUMMYFUNCTION("""COMPUTED_VALUE"""),"2.1.1.1")</f>
        <v>2.1.1.1</v>
      </c>
      <c r="B57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57" s="42" t="str">
        <f ca="1">IFERROR(__xludf.DUMMYFUNCTION("""COMPUTED_VALUE"""),"3. Operación")</f>
        <v>3. Operación</v>
      </c>
      <c r="D57" s="42" t="str">
        <f ca="1">IFERROR(__xludf.DUMMYFUNCTION("""COMPUTED_VALUE"""),"Guadalajara en Paz")</f>
        <v>Guadalajara en Paz</v>
      </c>
      <c r="E57" s="42" t="str">
        <f ca="1">IFERROR(__xludf.DUMMYFUNCTION("""COMPUTED_VALUE"""),"Trabajo Social Asistencial")</f>
        <v>Trabajo Social Asistencial</v>
      </c>
      <c r="F57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57" s="42" t="str">
        <f ca="1">IFERROR(__xludf.DUMMYFUNCTION("""COMPUTED_VALUE"""),"Apoyos asistenciales entregados en 2023")</f>
        <v>Apoyos asistenciales entregados en 2023</v>
      </c>
      <c r="H57" s="42" t="str">
        <f ca="1">IFERROR(__xludf.DUMMYFUNCTION("""COMPUTED_VALUE"""),"AMH Julio")</f>
        <v>AMH Julio</v>
      </c>
      <c r="I57" s="42" t="str">
        <f ca="1">IFERROR(__xludf.DUMMYFUNCTION("""COMPUTED_VALUE"""),"Julio")</f>
        <v>Julio</v>
      </c>
      <c r="J57" s="42" t="str">
        <f ca="1">IFERROR(__xludf.DUMMYFUNCTION("""COMPUTED_VALUE"""),"AMH")</f>
        <v>AMH</v>
      </c>
      <c r="K57" s="98">
        <f ca="1">IFERROR(__xludf.DUMMYFUNCTION("""COMPUTED_VALUE"""),51)</f>
        <v>51</v>
      </c>
      <c r="L57" s="42" t="str">
        <f ca="1">IFERROR(__xludf.DUMMYFUNCTION("""COMPUTED_VALUE"""),"TRIMESTRE 3")</f>
        <v>TRIMESTRE 3</v>
      </c>
      <c r="M57" s="42" t="str">
        <f ca="1">IFERROR(__xludf.DUMMYFUNCTION("""COMPUTED_VALUE"""),"ADULTO MAYOR HOMBRE")</f>
        <v>ADULTO MAYOR HOMBRE</v>
      </c>
    </row>
    <row r="58" spans="1:13">
      <c r="A58" s="42" t="str">
        <f ca="1">IFERROR(__xludf.DUMMYFUNCTION("""COMPUTED_VALUE"""),"2.1.1.1")</f>
        <v>2.1.1.1</v>
      </c>
      <c r="B58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58" s="42" t="str">
        <f ca="1">IFERROR(__xludf.DUMMYFUNCTION("""COMPUTED_VALUE"""),"3. Operación")</f>
        <v>3. Operación</v>
      </c>
      <c r="D58" s="42" t="str">
        <f ca="1">IFERROR(__xludf.DUMMYFUNCTION("""COMPUTED_VALUE"""),"Guadalajara en Paz")</f>
        <v>Guadalajara en Paz</v>
      </c>
      <c r="E58" s="42" t="str">
        <f ca="1">IFERROR(__xludf.DUMMYFUNCTION("""COMPUTED_VALUE"""),"Trabajo Social Asistencial")</f>
        <v>Trabajo Social Asistencial</v>
      </c>
      <c r="F58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58" s="42" t="str">
        <f ca="1">IFERROR(__xludf.DUMMYFUNCTION("""COMPUTED_VALUE"""),"Apoyos asistenciales entregados en 2023")</f>
        <v>Apoyos asistenciales entregados en 2023</v>
      </c>
      <c r="H58" s="42" t="str">
        <f ca="1">IFERROR(__xludf.DUMMYFUNCTION("""COMPUTED_VALUE"""),"NAS Agosto")</f>
        <v>NAS Agosto</v>
      </c>
      <c r="I58" s="42" t="str">
        <f ca="1">IFERROR(__xludf.DUMMYFUNCTION("""COMPUTED_VALUE"""),"Agosto")</f>
        <v>Agosto</v>
      </c>
      <c r="J58" s="42" t="str">
        <f ca="1">IFERROR(__xludf.DUMMYFUNCTION("""COMPUTED_VALUE"""),"NAS")</f>
        <v>NAS</v>
      </c>
      <c r="K58" s="98">
        <f ca="1">IFERROR(__xludf.DUMMYFUNCTION("""COMPUTED_VALUE"""),11)</f>
        <v>11</v>
      </c>
      <c r="L58" s="42" t="str">
        <f ca="1">IFERROR(__xludf.DUMMYFUNCTION("""COMPUTED_VALUE"""),"TRIMESTRE 3")</f>
        <v>TRIMESTRE 3</v>
      </c>
      <c r="M58" s="42" t="str">
        <f ca="1">IFERROR(__xludf.DUMMYFUNCTION("""COMPUTED_VALUE"""),"NIÑAS")</f>
        <v>NIÑAS</v>
      </c>
    </row>
    <row r="59" spans="1:13">
      <c r="A59" s="42" t="str">
        <f ca="1">IFERROR(__xludf.DUMMYFUNCTION("""COMPUTED_VALUE"""),"2.1.1.1")</f>
        <v>2.1.1.1</v>
      </c>
      <c r="B59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59" s="42" t="str">
        <f ca="1">IFERROR(__xludf.DUMMYFUNCTION("""COMPUTED_VALUE"""),"3. Operación")</f>
        <v>3. Operación</v>
      </c>
      <c r="D59" s="42" t="str">
        <f ca="1">IFERROR(__xludf.DUMMYFUNCTION("""COMPUTED_VALUE"""),"Guadalajara en Paz")</f>
        <v>Guadalajara en Paz</v>
      </c>
      <c r="E59" s="42" t="str">
        <f ca="1">IFERROR(__xludf.DUMMYFUNCTION("""COMPUTED_VALUE"""),"Trabajo Social Asistencial")</f>
        <v>Trabajo Social Asistencial</v>
      </c>
      <c r="F59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59" s="42" t="str">
        <f ca="1">IFERROR(__xludf.DUMMYFUNCTION("""COMPUTED_VALUE"""),"Apoyos asistenciales entregados en 2023")</f>
        <v>Apoyos asistenciales entregados en 2023</v>
      </c>
      <c r="H59" s="42" t="str">
        <f ca="1">IFERROR(__xludf.DUMMYFUNCTION("""COMPUTED_VALUE"""),"NOS Agosto")</f>
        <v>NOS Agosto</v>
      </c>
      <c r="I59" s="42" t="str">
        <f ca="1">IFERROR(__xludf.DUMMYFUNCTION("""COMPUTED_VALUE"""),"Agosto")</f>
        <v>Agosto</v>
      </c>
      <c r="J59" s="42" t="str">
        <f ca="1">IFERROR(__xludf.DUMMYFUNCTION("""COMPUTED_VALUE"""),"NOS")</f>
        <v>NOS</v>
      </c>
      <c r="K59" s="98">
        <f ca="1">IFERROR(__xludf.DUMMYFUNCTION("""COMPUTED_VALUE"""),17)</f>
        <v>17</v>
      </c>
      <c r="L59" s="42" t="str">
        <f ca="1">IFERROR(__xludf.DUMMYFUNCTION("""COMPUTED_VALUE"""),"TRIMESTRE 3")</f>
        <v>TRIMESTRE 3</v>
      </c>
      <c r="M59" s="42" t="str">
        <f ca="1">IFERROR(__xludf.DUMMYFUNCTION("""COMPUTED_VALUE"""),"NIÑOS")</f>
        <v>NIÑOS</v>
      </c>
    </row>
    <row r="60" spans="1:13">
      <c r="A60" s="42" t="str">
        <f ca="1">IFERROR(__xludf.DUMMYFUNCTION("""COMPUTED_VALUE"""),"2.1.1.1")</f>
        <v>2.1.1.1</v>
      </c>
      <c r="B60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60" s="42" t="str">
        <f ca="1">IFERROR(__xludf.DUMMYFUNCTION("""COMPUTED_VALUE"""),"3. Operación")</f>
        <v>3. Operación</v>
      </c>
      <c r="D60" s="42" t="str">
        <f ca="1">IFERROR(__xludf.DUMMYFUNCTION("""COMPUTED_VALUE"""),"Guadalajara en Paz")</f>
        <v>Guadalajara en Paz</v>
      </c>
      <c r="E60" s="42" t="str">
        <f ca="1">IFERROR(__xludf.DUMMYFUNCTION("""COMPUTED_VALUE"""),"Trabajo Social Asistencial")</f>
        <v>Trabajo Social Asistencial</v>
      </c>
      <c r="F60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60" s="42" t="str">
        <f ca="1">IFERROR(__xludf.DUMMYFUNCTION("""COMPUTED_VALUE"""),"Apoyos asistenciales entregados en 2023")</f>
        <v>Apoyos asistenciales entregados en 2023</v>
      </c>
      <c r="H60" s="42" t="str">
        <f ca="1">IFERROR(__xludf.DUMMYFUNCTION("""COMPUTED_VALUE"""),"AM AGOSTO")</f>
        <v>AM AGOSTO</v>
      </c>
      <c r="I60" s="42" t="str">
        <f ca="1">IFERROR(__xludf.DUMMYFUNCTION("""COMPUTED_VALUE"""),"Agosto")</f>
        <v>Agosto</v>
      </c>
      <c r="J60" s="42" t="str">
        <f ca="1">IFERROR(__xludf.DUMMYFUNCTION("""COMPUTED_VALUE"""),"AM")</f>
        <v>AM</v>
      </c>
      <c r="K60" s="98">
        <f ca="1">IFERROR(__xludf.DUMMYFUNCTION("""COMPUTED_VALUE"""),16)</f>
        <v>16</v>
      </c>
      <c r="L60" s="42" t="str">
        <f ca="1">IFERROR(__xludf.DUMMYFUNCTION("""COMPUTED_VALUE"""),"TRIMESTRE 3")</f>
        <v>TRIMESTRE 3</v>
      </c>
      <c r="M60" s="42" t="str">
        <f ca="1">IFERROR(__xludf.DUMMYFUNCTION("""COMPUTED_VALUE"""),"ADOLESCENTES MUJERES")</f>
        <v>ADOLESCENTES MUJERES</v>
      </c>
    </row>
    <row r="61" spans="1:13">
      <c r="A61" s="42" t="str">
        <f ca="1">IFERROR(__xludf.DUMMYFUNCTION("""COMPUTED_VALUE"""),"2.1.1.1")</f>
        <v>2.1.1.1</v>
      </c>
      <c r="B61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61" s="42" t="str">
        <f ca="1">IFERROR(__xludf.DUMMYFUNCTION("""COMPUTED_VALUE"""),"3. Operación")</f>
        <v>3. Operación</v>
      </c>
      <c r="D61" s="42" t="str">
        <f ca="1">IFERROR(__xludf.DUMMYFUNCTION("""COMPUTED_VALUE"""),"Guadalajara en Paz")</f>
        <v>Guadalajara en Paz</v>
      </c>
      <c r="E61" s="42" t="str">
        <f ca="1">IFERROR(__xludf.DUMMYFUNCTION("""COMPUTED_VALUE"""),"Trabajo Social Asistencial")</f>
        <v>Trabajo Social Asistencial</v>
      </c>
      <c r="F61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61" s="42" t="str">
        <f ca="1">IFERROR(__xludf.DUMMYFUNCTION("""COMPUTED_VALUE"""),"Apoyos asistenciales entregados en 2023")</f>
        <v>Apoyos asistenciales entregados en 2023</v>
      </c>
      <c r="H61" s="42" t="str">
        <f ca="1">IFERROR(__xludf.DUMMYFUNCTION("""COMPUTED_VALUE"""),"AH AGOSTO")</f>
        <v>AH AGOSTO</v>
      </c>
      <c r="I61" s="42" t="str">
        <f ca="1">IFERROR(__xludf.DUMMYFUNCTION("""COMPUTED_VALUE"""),"Agosto")</f>
        <v>Agosto</v>
      </c>
      <c r="J61" s="42" t="str">
        <f ca="1">IFERROR(__xludf.DUMMYFUNCTION("""COMPUTED_VALUE"""),"AH")</f>
        <v>AH</v>
      </c>
      <c r="K61" s="98">
        <f ca="1">IFERROR(__xludf.DUMMYFUNCTION("""COMPUTED_VALUE"""),5)</f>
        <v>5</v>
      </c>
      <c r="L61" s="42" t="str">
        <f ca="1">IFERROR(__xludf.DUMMYFUNCTION("""COMPUTED_VALUE"""),"TRIMESTRE 3")</f>
        <v>TRIMESTRE 3</v>
      </c>
      <c r="M61" s="42" t="str">
        <f ca="1">IFERROR(__xludf.DUMMYFUNCTION("""COMPUTED_VALUE"""),"ADOLESCENTES HOMBRES")</f>
        <v>ADOLESCENTES HOMBRES</v>
      </c>
    </row>
    <row r="62" spans="1:13">
      <c r="A62" s="42" t="str">
        <f ca="1">IFERROR(__xludf.DUMMYFUNCTION("""COMPUTED_VALUE"""),"2.1.1.1")</f>
        <v>2.1.1.1</v>
      </c>
      <c r="B62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62" s="42" t="str">
        <f ca="1">IFERROR(__xludf.DUMMYFUNCTION("""COMPUTED_VALUE"""),"3. Operación")</f>
        <v>3. Operación</v>
      </c>
      <c r="D62" s="42" t="str">
        <f ca="1">IFERROR(__xludf.DUMMYFUNCTION("""COMPUTED_VALUE"""),"Guadalajara en Paz")</f>
        <v>Guadalajara en Paz</v>
      </c>
      <c r="E62" s="42" t="str">
        <f ca="1">IFERROR(__xludf.DUMMYFUNCTION("""COMPUTED_VALUE"""),"Trabajo Social Asistencial")</f>
        <v>Trabajo Social Asistencial</v>
      </c>
      <c r="F62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62" s="42" t="str">
        <f ca="1">IFERROR(__xludf.DUMMYFUNCTION("""COMPUTED_VALUE"""),"Apoyos asistenciales entregados en 2023")</f>
        <v>Apoyos asistenciales entregados en 2023</v>
      </c>
      <c r="H62" s="42" t="str">
        <f ca="1">IFERROR(__xludf.DUMMYFUNCTION("""COMPUTED_VALUE"""),"MUJ Agosto")</f>
        <v>MUJ Agosto</v>
      </c>
      <c r="I62" s="42" t="str">
        <f ca="1">IFERROR(__xludf.DUMMYFUNCTION("""COMPUTED_VALUE"""),"Agosto")</f>
        <v>Agosto</v>
      </c>
      <c r="J62" s="42" t="str">
        <f ca="1">IFERROR(__xludf.DUMMYFUNCTION("""COMPUTED_VALUE"""),"MUJ")</f>
        <v>MUJ</v>
      </c>
      <c r="K62" s="98">
        <f ca="1">IFERROR(__xludf.DUMMYFUNCTION("""COMPUTED_VALUE"""),481)</f>
        <v>481</v>
      </c>
      <c r="L62" s="42" t="str">
        <f ca="1">IFERROR(__xludf.DUMMYFUNCTION("""COMPUTED_VALUE"""),"TRIMESTRE 3")</f>
        <v>TRIMESTRE 3</v>
      </c>
      <c r="M62" s="42" t="str">
        <f ca="1">IFERROR(__xludf.DUMMYFUNCTION("""COMPUTED_VALUE"""),"MUJERES ADULTAS")</f>
        <v>MUJERES ADULTAS</v>
      </c>
    </row>
    <row r="63" spans="1:13">
      <c r="A63" s="42" t="str">
        <f ca="1">IFERROR(__xludf.DUMMYFUNCTION("""COMPUTED_VALUE"""),"2.1.1.1")</f>
        <v>2.1.1.1</v>
      </c>
      <c r="B63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63" s="42" t="str">
        <f ca="1">IFERROR(__xludf.DUMMYFUNCTION("""COMPUTED_VALUE"""),"3. Operación")</f>
        <v>3. Operación</v>
      </c>
      <c r="D63" s="42" t="str">
        <f ca="1">IFERROR(__xludf.DUMMYFUNCTION("""COMPUTED_VALUE"""),"Guadalajara en Paz")</f>
        <v>Guadalajara en Paz</v>
      </c>
      <c r="E63" s="42" t="str">
        <f ca="1">IFERROR(__xludf.DUMMYFUNCTION("""COMPUTED_VALUE"""),"Trabajo Social Asistencial")</f>
        <v>Trabajo Social Asistencial</v>
      </c>
      <c r="F63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63" s="42" t="str">
        <f ca="1">IFERROR(__xludf.DUMMYFUNCTION("""COMPUTED_VALUE"""),"Apoyos asistenciales entregados en 2023")</f>
        <v>Apoyos asistenciales entregados en 2023</v>
      </c>
      <c r="H63" s="42" t="str">
        <f ca="1">IFERROR(__xludf.DUMMYFUNCTION("""COMPUTED_VALUE"""),"HOM Agosto")</f>
        <v>HOM Agosto</v>
      </c>
      <c r="I63" s="42" t="str">
        <f ca="1">IFERROR(__xludf.DUMMYFUNCTION("""COMPUTED_VALUE"""),"Agosto")</f>
        <v>Agosto</v>
      </c>
      <c r="J63" s="42" t="str">
        <f ca="1">IFERROR(__xludf.DUMMYFUNCTION("""COMPUTED_VALUE"""),"HOM")</f>
        <v>HOM</v>
      </c>
      <c r="K63" s="98">
        <f ca="1">IFERROR(__xludf.DUMMYFUNCTION("""COMPUTED_VALUE"""),96)</f>
        <v>96</v>
      </c>
      <c r="L63" s="42" t="str">
        <f ca="1">IFERROR(__xludf.DUMMYFUNCTION("""COMPUTED_VALUE"""),"TRIMESTRE 3")</f>
        <v>TRIMESTRE 3</v>
      </c>
      <c r="M63" s="42" t="str">
        <f ca="1">IFERROR(__xludf.DUMMYFUNCTION("""COMPUTED_VALUE"""),"HOMBRES ADULTOS")</f>
        <v>HOMBRES ADULTOS</v>
      </c>
    </row>
    <row r="64" spans="1:13">
      <c r="A64" s="42" t="str">
        <f ca="1">IFERROR(__xludf.DUMMYFUNCTION("""COMPUTED_VALUE"""),"2.1.1.1")</f>
        <v>2.1.1.1</v>
      </c>
      <c r="B64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64" s="42" t="str">
        <f ca="1">IFERROR(__xludf.DUMMYFUNCTION("""COMPUTED_VALUE"""),"3. Operación")</f>
        <v>3. Operación</v>
      </c>
      <c r="D64" s="42" t="str">
        <f ca="1">IFERROR(__xludf.DUMMYFUNCTION("""COMPUTED_VALUE"""),"Guadalajara en Paz")</f>
        <v>Guadalajara en Paz</v>
      </c>
      <c r="E64" s="42" t="str">
        <f ca="1">IFERROR(__xludf.DUMMYFUNCTION("""COMPUTED_VALUE"""),"Trabajo Social Asistencial")</f>
        <v>Trabajo Social Asistencial</v>
      </c>
      <c r="F64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64" s="42" t="str">
        <f ca="1">IFERROR(__xludf.DUMMYFUNCTION("""COMPUTED_VALUE"""),"Apoyos asistenciales entregados en 2023")</f>
        <v>Apoyos asistenciales entregados en 2023</v>
      </c>
      <c r="H64" s="42" t="str">
        <f ca="1">IFERROR(__xludf.DUMMYFUNCTION("""COMPUTED_VALUE"""),"AMM Agosto")</f>
        <v>AMM Agosto</v>
      </c>
      <c r="I64" s="42" t="str">
        <f ca="1">IFERROR(__xludf.DUMMYFUNCTION("""COMPUTED_VALUE"""),"Agosto")</f>
        <v>Agosto</v>
      </c>
      <c r="J64" s="42" t="str">
        <f ca="1">IFERROR(__xludf.DUMMYFUNCTION("""COMPUTED_VALUE"""),"AMM")</f>
        <v>AMM</v>
      </c>
      <c r="K64" s="98">
        <f ca="1">IFERROR(__xludf.DUMMYFUNCTION("""COMPUTED_VALUE"""),135)</f>
        <v>135</v>
      </c>
      <c r="L64" s="42" t="str">
        <f ca="1">IFERROR(__xludf.DUMMYFUNCTION("""COMPUTED_VALUE"""),"TRIMESTRE 3")</f>
        <v>TRIMESTRE 3</v>
      </c>
      <c r="M64" s="42" t="str">
        <f ca="1">IFERROR(__xludf.DUMMYFUNCTION("""COMPUTED_VALUE"""),"ADULTA MAYOR MUJER")</f>
        <v>ADULTA MAYOR MUJER</v>
      </c>
    </row>
    <row r="65" spans="1:13">
      <c r="A65" s="42" t="str">
        <f ca="1">IFERROR(__xludf.DUMMYFUNCTION("""COMPUTED_VALUE"""),"2.1.1.1")</f>
        <v>2.1.1.1</v>
      </c>
      <c r="B65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65" s="42" t="str">
        <f ca="1">IFERROR(__xludf.DUMMYFUNCTION("""COMPUTED_VALUE"""),"3. Operación")</f>
        <v>3. Operación</v>
      </c>
      <c r="D65" s="42" t="str">
        <f ca="1">IFERROR(__xludf.DUMMYFUNCTION("""COMPUTED_VALUE"""),"Guadalajara en Paz")</f>
        <v>Guadalajara en Paz</v>
      </c>
      <c r="E65" s="42" t="str">
        <f ca="1">IFERROR(__xludf.DUMMYFUNCTION("""COMPUTED_VALUE"""),"Trabajo Social Asistencial")</f>
        <v>Trabajo Social Asistencial</v>
      </c>
      <c r="F65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65" s="42" t="str">
        <f ca="1">IFERROR(__xludf.DUMMYFUNCTION("""COMPUTED_VALUE"""),"Apoyos asistenciales entregados en 2023")</f>
        <v>Apoyos asistenciales entregados en 2023</v>
      </c>
      <c r="H65" s="42" t="str">
        <f ca="1">IFERROR(__xludf.DUMMYFUNCTION("""COMPUTED_VALUE"""),"AMH Agosto")</f>
        <v>AMH Agosto</v>
      </c>
      <c r="I65" s="42" t="str">
        <f ca="1">IFERROR(__xludf.DUMMYFUNCTION("""COMPUTED_VALUE"""),"Agosto")</f>
        <v>Agosto</v>
      </c>
      <c r="J65" s="42" t="str">
        <f ca="1">IFERROR(__xludf.DUMMYFUNCTION("""COMPUTED_VALUE"""),"AMH")</f>
        <v>AMH</v>
      </c>
      <c r="K65" s="98">
        <f ca="1">IFERROR(__xludf.DUMMYFUNCTION("""COMPUTED_VALUE"""),35)</f>
        <v>35</v>
      </c>
      <c r="L65" s="42" t="str">
        <f ca="1">IFERROR(__xludf.DUMMYFUNCTION("""COMPUTED_VALUE"""),"TRIMESTRE 3")</f>
        <v>TRIMESTRE 3</v>
      </c>
      <c r="M65" s="42" t="str">
        <f ca="1">IFERROR(__xludf.DUMMYFUNCTION("""COMPUTED_VALUE"""),"ADULTO MAYOR HOMBRE")</f>
        <v>ADULTO MAYOR HOMBRE</v>
      </c>
    </row>
    <row r="66" spans="1:13">
      <c r="A66" s="42" t="str">
        <f ca="1">IFERROR(__xludf.DUMMYFUNCTION("""COMPUTED_VALUE"""),"2.1.1.1")</f>
        <v>2.1.1.1</v>
      </c>
      <c r="B66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66" s="42" t="str">
        <f ca="1">IFERROR(__xludf.DUMMYFUNCTION("""COMPUTED_VALUE"""),"3. Operación")</f>
        <v>3. Operación</v>
      </c>
      <c r="D66" s="42" t="str">
        <f ca="1">IFERROR(__xludf.DUMMYFUNCTION("""COMPUTED_VALUE"""),"Guadalajara en Paz")</f>
        <v>Guadalajara en Paz</v>
      </c>
      <c r="E66" s="42" t="str">
        <f ca="1">IFERROR(__xludf.DUMMYFUNCTION("""COMPUTED_VALUE"""),"Trabajo Social Asistencial")</f>
        <v>Trabajo Social Asistencial</v>
      </c>
      <c r="F66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66" s="42" t="str">
        <f ca="1">IFERROR(__xludf.DUMMYFUNCTION("""COMPUTED_VALUE"""),"Apoyos asistenciales entregados en 2023")</f>
        <v>Apoyos asistenciales entregados en 2023</v>
      </c>
      <c r="H66" s="42" t="str">
        <f ca="1">IFERROR(__xludf.DUMMYFUNCTION("""COMPUTED_VALUE"""),"NAS Septiembre")</f>
        <v>NAS Septiembre</v>
      </c>
      <c r="I66" s="42" t="str">
        <f ca="1">IFERROR(__xludf.DUMMYFUNCTION("""COMPUTED_VALUE"""),"Septiembre")</f>
        <v>Septiembre</v>
      </c>
      <c r="J66" s="42" t="str">
        <f ca="1">IFERROR(__xludf.DUMMYFUNCTION("""COMPUTED_VALUE"""),"NAS")</f>
        <v>NAS</v>
      </c>
      <c r="K66" s="98">
        <f ca="1">IFERROR(__xludf.DUMMYFUNCTION("""COMPUTED_VALUE"""),10)</f>
        <v>10</v>
      </c>
      <c r="L66" s="42" t="str">
        <f ca="1">IFERROR(__xludf.DUMMYFUNCTION("""COMPUTED_VALUE"""),"TRIMESTRE 3")</f>
        <v>TRIMESTRE 3</v>
      </c>
      <c r="M66" s="42" t="str">
        <f ca="1">IFERROR(__xludf.DUMMYFUNCTION("""COMPUTED_VALUE"""),"NIÑAS")</f>
        <v>NIÑAS</v>
      </c>
    </row>
    <row r="67" spans="1:13">
      <c r="A67" s="42" t="str">
        <f ca="1">IFERROR(__xludf.DUMMYFUNCTION("""COMPUTED_VALUE"""),"2.1.1.1")</f>
        <v>2.1.1.1</v>
      </c>
      <c r="B67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67" s="42" t="str">
        <f ca="1">IFERROR(__xludf.DUMMYFUNCTION("""COMPUTED_VALUE"""),"3. Operación")</f>
        <v>3. Operación</v>
      </c>
      <c r="D67" s="42" t="str">
        <f ca="1">IFERROR(__xludf.DUMMYFUNCTION("""COMPUTED_VALUE"""),"Guadalajara en Paz")</f>
        <v>Guadalajara en Paz</v>
      </c>
      <c r="E67" s="42" t="str">
        <f ca="1">IFERROR(__xludf.DUMMYFUNCTION("""COMPUTED_VALUE"""),"Trabajo Social Asistencial")</f>
        <v>Trabajo Social Asistencial</v>
      </c>
      <c r="F67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67" s="42" t="str">
        <f ca="1">IFERROR(__xludf.DUMMYFUNCTION("""COMPUTED_VALUE"""),"Apoyos asistenciales entregados en 2023")</f>
        <v>Apoyos asistenciales entregados en 2023</v>
      </c>
      <c r="H67" s="42" t="str">
        <f ca="1">IFERROR(__xludf.DUMMYFUNCTION("""COMPUTED_VALUE"""),"NOS Septiembre")</f>
        <v>NOS Septiembre</v>
      </c>
      <c r="I67" s="42" t="str">
        <f ca="1">IFERROR(__xludf.DUMMYFUNCTION("""COMPUTED_VALUE"""),"Septiembre")</f>
        <v>Septiembre</v>
      </c>
      <c r="J67" s="42" t="str">
        <f ca="1">IFERROR(__xludf.DUMMYFUNCTION("""COMPUTED_VALUE"""),"NOS")</f>
        <v>NOS</v>
      </c>
      <c r="K67" s="98">
        <f ca="1">IFERROR(__xludf.DUMMYFUNCTION("""COMPUTED_VALUE"""),15)</f>
        <v>15</v>
      </c>
      <c r="L67" s="42" t="str">
        <f ca="1">IFERROR(__xludf.DUMMYFUNCTION("""COMPUTED_VALUE"""),"TRIMESTRE 3")</f>
        <v>TRIMESTRE 3</v>
      </c>
      <c r="M67" s="42" t="str">
        <f ca="1">IFERROR(__xludf.DUMMYFUNCTION("""COMPUTED_VALUE"""),"NIÑOS")</f>
        <v>NIÑOS</v>
      </c>
    </row>
    <row r="68" spans="1:13">
      <c r="A68" s="42" t="str">
        <f ca="1">IFERROR(__xludf.DUMMYFUNCTION("""COMPUTED_VALUE"""),"2.1.1.1")</f>
        <v>2.1.1.1</v>
      </c>
      <c r="B68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68" s="42" t="str">
        <f ca="1">IFERROR(__xludf.DUMMYFUNCTION("""COMPUTED_VALUE"""),"3. Operación")</f>
        <v>3. Operación</v>
      </c>
      <c r="D68" s="42" t="str">
        <f ca="1">IFERROR(__xludf.DUMMYFUNCTION("""COMPUTED_VALUE"""),"Guadalajara en Paz")</f>
        <v>Guadalajara en Paz</v>
      </c>
      <c r="E68" s="42" t="str">
        <f ca="1">IFERROR(__xludf.DUMMYFUNCTION("""COMPUTED_VALUE"""),"Trabajo Social Asistencial")</f>
        <v>Trabajo Social Asistencial</v>
      </c>
      <c r="F68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68" s="42" t="str">
        <f ca="1">IFERROR(__xludf.DUMMYFUNCTION("""COMPUTED_VALUE"""),"Apoyos asistenciales entregados en 2023")</f>
        <v>Apoyos asistenciales entregados en 2023</v>
      </c>
      <c r="H68" s="42" t="str">
        <f ca="1">IFERROR(__xludf.DUMMYFUNCTION("""COMPUTED_VALUE"""),"AM SEPTIEMBRE")</f>
        <v>AM SEPTIEMBRE</v>
      </c>
      <c r="I68" s="42" t="str">
        <f ca="1">IFERROR(__xludf.DUMMYFUNCTION("""COMPUTED_VALUE"""),"Septiembre")</f>
        <v>Septiembre</v>
      </c>
      <c r="J68" s="42" t="str">
        <f ca="1">IFERROR(__xludf.DUMMYFUNCTION("""COMPUTED_VALUE"""),"AM")</f>
        <v>AM</v>
      </c>
      <c r="K68" s="98">
        <f ca="1">IFERROR(__xludf.DUMMYFUNCTION("""COMPUTED_VALUE"""),5)</f>
        <v>5</v>
      </c>
      <c r="L68" s="42" t="str">
        <f ca="1">IFERROR(__xludf.DUMMYFUNCTION("""COMPUTED_VALUE"""),"TRIMESTRE 3")</f>
        <v>TRIMESTRE 3</v>
      </c>
      <c r="M68" s="42" t="str">
        <f ca="1">IFERROR(__xludf.DUMMYFUNCTION("""COMPUTED_VALUE"""),"ADOLESCENTES MUJERES")</f>
        <v>ADOLESCENTES MUJERES</v>
      </c>
    </row>
    <row r="69" spans="1:13">
      <c r="A69" s="42" t="str">
        <f ca="1">IFERROR(__xludf.DUMMYFUNCTION("""COMPUTED_VALUE"""),"2.1.1.1")</f>
        <v>2.1.1.1</v>
      </c>
      <c r="B69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69" s="42" t="str">
        <f ca="1">IFERROR(__xludf.DUMMYFUNCTION("""COMPUTED_VALUE"""),"3. Operación")</f>
        <v>3. Operación</v>
      </c>
      <c r="D69" s="42" t="str">
        <f ca="1">IFERROR(__xludf.DUMMYFUNCTION("""COMPUTED_VALUE"""),"Guadalajara en Paz")</f>
        <v>Guadalajara en Paz</v>
      </c>
      <c r="E69" s="42" t="str">
        <f ca="1">IFERROR(__xludf.DUMMYFUNCTION("""COMPUTED_VALUE"""),"Trabajo Social Asistencial")</f>
        <v>Trabajo Social Asistencial</v>
      </c>
      <c r="F69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69" s="42" t="str">
        <f ca="1">IFERROR(__xludf.DUMMYFUNCTION("""COMPUTED_VALUE"""),"Apoyos asistenciales entregados en 2023")</f>
        <v>Apoyos asistenciales entregados en 2023</v>
      </c>
      <c r="H69" s="42" t="str">
        <f ca="1">IFERROR(__xludf.DUMMYFUNCTION("""COMPUTED_VALUE"""),"AH SEPTIEMBRE")</f>
        <v>AH SEPTIEMBRE</v>
      </c>
      <c r="I69" s="42" t="str">
        <f ca="1">IFERROR(__xludf.DUMMYFUNCTION("""COMPUTED_VALUE"""),"Septiembre")</f>
        <v>Septiembre</v>
      </c>
      <c r="J69" s="42" t="str">
        <f ca="1">IFERROR(__xludf.DUMMYFUNCTION("""COMPUTED_VALUE"""),"AH")</f>
        <v>AH</v>
      </c>
      <c r="K69" s="98">
        <f ca="1">IFERROR(__xludf.DUMMYFUNCTION("""COMPUTED_VALUE"""),1)</f>
        <v>1</v>
      </c>
      <c r="L69" s="42" t="str">
        <f ca="1">IFERROR(__xludf.DUMMYFUNCTION("""COMPUTED_VALUE"""),"TRIMESTRE 3")</f>
        <v>TRIMESTRE 3</v>
      </c>
      <c r="M69" s="42" t="str">
        <f ca="1">IFERROR(__xludf.DUMMYFUNCTION("""COMPUTED_VALUE"""),"ADOLESCENTES HOMBRES")</f>
        <v>ADOLESCENTES HOMBRES</v>
      </c>
    </row>
    <row r="70" spans="1:13">
      <c r="A70" s="42" t="str">
        <f ca="1">IFERROR(__xludf.DUMMYFUNCTION("""COMPUTED_VALUE"""),"2.1.1.1")</f>
        <v>2.1.1.1</v>
      </c>
      <c r="B70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70" s="42" t="str">
        <f ca="1">IFERROR(__xludf.DUMMYFUNCTION("""COMPUTED_VALUE"""),"3. Operación")</f>
        <v>3. Operación</v>
      </c>
      <c r="D70" s="42" t="str">
        <f ca="1">IFERROR(__xludf.DUMMYFUNCTION("""COMPUTED_VALUE"""),"Guadalajara en Paz")</f>
        <v>Guadalajara en Paz</v>
      </c>
      <c r="E70" s="42" t="str">
        <f ca="1">IFERROR(__xludf.DUMMYFUNCTION("""COMPUTED_VALUE"""),"Trabajo Social Asistencial")</f>
        <v>Trabajo Social Asistencial</v>
      </c>
      <c r="F70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70" s="42" t="str">
        <f ca="1">IFERROR(__xludf.DUMMYFUNCTION("""COMPUTED_VALUE"""),"Apoyos asistenciales entregados en 2023")</f>
        <v>Apoyos asistenciales entregados en 2023</v>
      </c>
      <c r="H70" s="42" t="str">
        <f ca="1">IFERROR(__xludf.DUMMYFUNCTION("""COMPUTED_VALUE"""),"MUJ Septiembre")</f>
        <v>MUJ Septiembre</v>
      </c>
      <c r="I70" s="42" t="str">
        <f ca="1">IFERROR(__xludf.DUMMYFUNCTION("""COMPUTED_VALUE"""),"Septiembre")</f>
        <v>Septiembre</v>
      </c>
      <c r="J70" s="42" t="str">
        <f ca="1">IFERROR(__xludf.DUMMYFUNCTION("""COMPUTED_VALUE"""),"MUJ")</f>
        <v>MUJ</v>
      </c>
      <c r="K70" s="98">
        <f ca="1">IFERROR(__xludf.DUMMYFUNCTION("""COMPUTED_VALUE"""),491)</f>
        <v>491</v>
      </c>
      <c r="L70" s="42" t="str">
        <f ca="1">IFERROR(__xludf.DUMMYFUNCTION("""COMPUTED_VALUE"""),"TRIMESTRE 3")</f>
        <v>TRIMESTRE 3</v>
      </c>
      <c r="M70" s="42" t="str">
        <f ca="1">IFERROR(__xludf.DUMMYFUNCTION("""COMPUTED_VALUE"""),"MUJERES ADULTAS")</f>
        <v>MUJERES ADULTAS</v>
      </c>
    </row>
    <row r="71" spans="1:13">
      <c r="A71" s="42" t="str">
        <f ca="1">IFERROR(__xludf.DUMMYFUNCTION("""COMPUTED_VALUE"""),"2.1.1.1")</f>
        <v>2.1.1.1</v>
      </c>
      <c r="B71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71" s="42" t="str">
        <f ca="1">IFERROR(__xludf.DUMMYFUNCTION("""COMPUTED_VALUE"""),"3. Operación")</f>
        <v>3. Operación</v>
      </c>
      <c r="D71" s="42" t="str">
        <f ca="1">IFERROR(__xludf.DUMMYFUNCTION("""COMPUTED_VALUE"""),"Guadalajara en Paz")</f>
        <v>Guadalajara en Paz</v>
      </c>
      <c r="E71" s="42" t="str">
        <f ca="1">IFERROR(__xludf.DUMMYFUNCTION("""COMPUTED_VALUE"""),"Trabajo Social Asistencial")</f>
        <v>Trabajo Social Asistencial</v>
      </c>
      <c r="F71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71" s="42" t="str">
        <f ca="1">IFERROR(__xludf.DUMMYFUNCTION("""COMPUTED_VALUE"""),"Apoyos asistenciales entregados en 2023")</f>
        <v>Apoyos asistenciales entregados en 2023</v>
      </c>
      <c r="H71" s="42" t="str">
        <f ca="1">IFERROR(__xludf.DUMMYFUNCTION("""COMPUTED_VALUE"""),"HOM Septiembre")</f>
        <v>HOM Septiembre</v>
      </c>
      <c r="I71" s="42" t="str">
        <f ca="1">IFERROR(__xludf.DUMMYFUNCTION("""COMPUTED_VALUE"""),"Septiembre")</f>
        <v>Septiembre</v>
      </c>
      <c r="J71" s="42" t="str">
        <f ca="1">IFERROR(__xludf.DUMMYFUNCTION("""COMPUTED_VALUE"""),"HOM")</f>
        <v>HOM</v>
      </c>
      <c r="K71" s="98">
        <f ca="1">IFERROR(__xludf.DUMMYFUNCTION("""COMPUTED_VALUE"""),58)</f>
        <v>58</v>
      </c>
      <c r="L71" s="42" t="str">
        <f ca="1">IFERROR(__xludf.DUMMYFUNCTION("""COMPUTED_VALUE"""),"TRIMESTRE 3")</f>
        <v>TRIMESTRE 3</v>
      </c>
      <c r="M71" s="42" t="str">
        <f ca="1">IFERROR(__xludf.DUMMYFUNCTION("""COMPUTED_VALUE"""),"HOMBRES ADULTOS")</f>
        <v>HOMBRES ADULTOS</v>
      </c>
    </row>
    <row r="72" spans="1:13">
      <c r="A72" s="42" t="str">
        <f ca="1">IFERROR(__xludf.DUMMYFUNCTION("""COMPUTED_VALUE"""),"2.1.1.1")</f>
        <v>2.1.1.1</v>
      </c>
      <c r="B72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72" s="42" t="str">
        <f ca="1">IFERROR(__xludf.DUMMYFUNCTION("""COMPUTED_VALUE"""),"3. Operación")</f>
        <v>3. Operación</v>
      </c>
      <c r="D72" s="42" t="str">
        <f ca="1">IFERROR(__xludf.DUMMYFUNCTION("""COMPUTED_VALUE"""),"Guadalajara en Paz")</f>
        <v>Guadalajara en Paz</v>
      </c>
      <c r="E72" s="42" t="str">
        <f ca="1">IFERROR(__xludf.DUMMYFUNCTION("""COMPUTED_VALUE"""),"Trabajo Social Asistencial")</f>
        <v>Trabajo Social Asistencial</v>
      </c>
      <c r="F72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72" s="42" t="str">
        <f ca="1">IFERROR(__xludf.DUMMYFUNCTION("""COMPUTED_VALUE"""),"Apoyos asistenciales entregados en 2023")</f>
        <v>Apoyos asistenciales entregados en 2023</v>
      </c>
      <c r="H72" s="42" t="str">
        <f ca="1">IFERROR(__xludf.DUMMYFUNCTION("""COMPUTED_VALUE"""),"AMM Septiembre")</f>
        <v>AMM Septiembre</v>
      </c>
      <c r="I72" s="42" t="str">
        <f ca="1">IFERROR(__xludf.DUMMYFUNCTION("""COMPUTED_VALUE"""),"Septiembre")</f>
        <v>Septiembre</v>
      </c>
      <c r="J72" s="42" t="str">
        <f ca="1">IFERROR(__xludf.DUMMYFUNCTION("""COMPUTED_VALUE"""),"AMM")</f>
        <v>AMM</v>
      </c>
      <c r="K72" s="98">
        <f ca="1">IFERROR(__xludf.DUMMYFUNCTION("""COMPUTED_VALUE"""),122)</f>
        <v>122</v>
      </c>
      <c r="L72" s="42" t="str">
        <f ca="1">IFERROR(__xludf.DUMMYFUNCTION("""COMPUTED_VALUE"""),"TRIMESTRE 3")</f>
        <v>TRIMESTRE 3</v>
      </c>
      <c r="M72" s="42" t="str">
        <f ca="1">IFERROR(__xludf.DUMMYFUNCTION("""COMPUTED_VALUE"""),"ADULTA MAYOR MUJER")</f>
        <v>ADULTA MAYOR MUJER</v>
      </c>
    </row>
    <row r="73" spans="1:13">
      <c r="A73" s="42" t="str">
        <f ca="1">IFERROR(__xludf.DUMMYFUNCTION("""COMPUTED_VALUE"""),"2.1.1.1")</f>
        <v>2.1.1.1</v>
      </c>
      <c r="B73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73" s="42" t="str">
        <f ca="1">IFERROR(__xludf.DUMMYFUNCTION("""COMPUTED_VALUE"""),"3. Operación")</f>
        <v>3. Operación</v>
      </c>
      <c r="D73" s="42" t="str">
        <f ca="1">IFERROR(__xludf.DUMMYFUNCTION("""COMPUTED_VALUE"""),"Guadalajara en Paz")</f>
        <v>Guadalajara en Paz</v>
      </c>
      <c r="E73" s="42" t="str">
        <f ca="1">IFERROR(__xludf.DUMMYFUNCTION("""COMPUTED_VALUE"""),"Trabajo Social Asistencial")</f>
        <v>Trabajo Social Asistencial</v>
      </c>
      <c r="F73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73" s="42" t="str">
        <f ca="1">IFERROR(__xludf.DUMMYFUNCTION("""COMPUTED_VALUE"""),"Apoyos asistenciales entregados en 2023")</f>
        <v>Apoyos asistenciales entregados en 2023</v>
      </c>
      <c r="H73" s="42" t="str">
        <f ca="1">IFERROR(__xludf.DUMMYFUNCTION("""COMPUTED_VALUE"""),"AMH Septiembre")</f>
        <v>AMH Septiembre</v>
      </c>
      <c r="I73" s="42" t="str">
        <f ca="1">IFERROR(__xludf.DUMMYFUNCTION("""COMPUTED_VALUE"""),"Septiembre")</f>
        <v>Septiembre</v>
      </c>
      <c r="J73" s="42" t="str">
        <f ca="1">IFERROR(__xludf.DUMMYFUNCTION("""COMPUTED_VALUE"""),"AMH")</f>
        <v>AMH</v>
      </c>
      <c r="K73" s="98">
        <f ca="1">IFERROR(__xludf.DUMMYFUNCTION("""COMPUTED_VALUE"""),37)</f>
        <v>37</v>
      </c>
      <c r="L73" s="42" t="str">
        <f ca="1">IFERROR(__xludf.DUMMYFUNCTION("""COMPUTED_VALUE"""),"TRIMESTRE 3")</f>
        <v>TRIMESTRE 3</v>
      </c>
      <c r="M73" s="42" t="str">
        <f ca="1">IFERROR(__xludf.DUMMYFUNCTION("""COMPUTED_VALUE"""),"ADULTO MAYOR HOMBRE")</f>
        <v>ADULTO MAYOR HOMBRE</v>
      </c>
    </row>
    <row r="74" spans="1:13">
      <c r="A74" s="42" t="str">
        <f ca="1">IFERROR(__xludf.DUMMYFUNCTION("""COMPUTED_VALUE"""),"2.1.1.1")</f>
        <v>2.1.1.1</v>
      </c>
      <c r="B74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74" s="42" t="str">
        <f ca="1">IFERROR(__xludf.DUMMYFUNCTION("""COMPUTED_VALUE"""),"3. Operación")</f>
        <v>3. Operación</v>
      </c>
      <c r="D74" s="42" t="str">
        <f ca="1">IFERROR(__xludf.DUMMYFUNCTION("""COMPUTED_VALUE"""),"Guadalajara en Paz")</f>
        <v>Guadalajara en Paz</v>
      </c>
      <c r="E74" s="42" t="str">
        <f ca="1">IFERROR(__xludf.DUMMYFUNCTION("""COMPUTED_VALUE"""),"Trabajo Social Asistencial")</f>
        <v>Trabajo Social Asistencial</v>
      </c>
      <c r="F74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74" s="42" t="str">
        <f ca="1">IFERROR(__xludf.DUMMYFUNCTION("""COMPUTED_VALUE"""),"Apoyos asistenciales entregados en 2023")</f>
        <v>Apoyos asistenciales entregados en 2023</v>
      </c>
      <c r="H74" s="42" t="str">
        <f ca="1">IFERROR(__xludf.DUMMYFUNCTION("""COMPUTED_VALUE"""),"NAS Octubre")</f>
        <v>NAS Octubre</v>
      </c>
      <c r="I74" s="42" t="str">
        <f ca="1">IFERROR(__xludf.DUMMYFUNCTION("""COMPUTED_VALUE"""),"Octubre")</f>
        <v>Octubre</v>
      </c>
      <c r="J74" s="42" t="str">
        <f ca="1">IFERROR(__xludf.DUMMYFUNCTION("""COMPUTED_VALUE"""),"NAS")</f>
        <v>NAS</v>
      </c>
      <c r="K74" s="98"/>
      <c r="L74" s="42" t="str">
        <f ca="1">IFERROR(__xludf.DUMMYFUNCTION("""COMPUTED_VALUE"""),"TRIMESTRE 4")</f>
        <v>TRIMESTRE 4</v>
      </c>
      <c r="M74" s="42" t="str">
        <f ca="1">IFERROR(__xludf.DUMMYFUNCTION("""COMPUTED_VALUE"""),"NIÑAS")</f>
        <v>NIÑAS</v>
      </c>
    </row>
    <row r="75" spans="1:13">
      <c r="A75" s="42" t="str">
        <f ca="1">IFERROR(__xludf.DUMMYFUNCTION("""COMPUTED_VALUE"""),"2.1.1.1")</f>
        <v>2.1.1.1</v>
      </c>
      <c r="B75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75" s="42" t="str">
        <f ca="1">IFERROR(__xludf.DUMMYFUNCTION("""COMPUTED_VALUE"""),"3. Operación")</f>
        <v>3. Operación</v>
      </c>
      <c r="D75" s="42" t="str">
        <f ca="1">IFERROR(__xludf.DUMMYFUNCTION("""COMPUTED_VALUE"""),"Guadalajara en Paz")</f>
        <v>Guadalajara en Paz</v>
      </c>
      <c r="E75" s="42" t="str">
        <f ca="1">IFERROR(__xludf.DUMMYFUNCTION("""COMPUTED_VALUE"""),"Trabajo Social Asistencial")</f>
        <v>Trabajo Social Asistencial</v>
      </c>
      <c r="F75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75" s="42" t="str">
        <f ca="1">IFERROR(__xludf.DUMMYFUNCTION("""COMPUTED_VALUE"""),"Apoyos asistenciales entregados en 2023")</f>
        <v>Apoyos asistenciales entregados en 2023</v>
      </c>
      <c r="H75" s="42" t="str">
        <f ca="1">IFERROR(__xludf.DUMMYFUNCTION("""COMPUTED_VALUE"""),"NOS Octubre")</f>
        <v>NOS Octubre</v>
      </c>
      <c r="I75" s="42" t="str">
        <f ca="1">IFERROR(__xludf.DUMMYFUNCTION("""COMPUTED_VALUE"""),"Octubre")</f>
        <v>Octubre</v>
      </c>
      <c r="J75" s="42" t="str">
        <f ca="1">IFERROR(__xludf.DUMMYFUNCTION("""COMPUTED_VALUE"""),"NOS")</f>
        <v>NOS</v>
      </c>
      <c r="K75" s="98"/>
      <c r="L75" s="42" t="str">
        <f ca="1">IFERROR(__xludf.DUMMYFUNCTION("""COMPUTED_VALUE"""),"TRIMESTRE 4")</f>
        <v>TRIMESTRE 4</v>
      </c>
      <c r="M75" s="42" t="str">
        <f ca="1">IFERROR(__xludf.DUMMYFUNCTION("""COMPUTED_VALUE"""),"NIÑOS")</f>
        <v>NIÑOS</v>
      </c>
    </row>
    <row r="76" spans="1:13">
      <c r="A76" s="42" t="str">
        <f ca="1">IFERROR(__xludf.DUMMYFUNCTION("""COMPUTED_VALUE"""),"2.1.1.1")</f>
        <v>2.1.1.1</v>
      </c>
      <c r="B76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76" s="42" t="str">
        <f ca="1">IFERROR(__xludf.DUMMYFUNCTION("""COMPUTED_VALUE"""),"3. Operación")</f>
        <v>3. Operación</v>
      </c>
      <c r="D76" s="42" t="str">
        <f ca="1">IFERROR(__xludf.DUMMYFUNCTION("""COMPUTED_VALUE"""),"Guadalajara en Paz")</f>
        <v>Guadalajara en Paz</v>
      </c>
      <c r="E76" s="42" t="str">
        <f ca="1">IFERROR(__xludf.DUMMYFUNCTION("""COMPUTED_VALUE"""),"Trabajo Social Asistencial")</f>
        <v>Trabajo Social Asistencial</v>
      </c>
      <c r="F76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76" s="42" t="str">
        <f ca="1">IFERROR(__xludf.DUMMYFUNCTION("""COMPUTED_VALUE"""),"Apoyos asistenciales entregados en 2023")</f>
        <v>Apoyos asistenciales entregados en 2023</v>
      </c>
      <c r="H76" s="42" t="str">
        <f ca="1">IFERROR(__xludf.DUMMYFUNCTION("""COMPUTED_VALUE"""),"AM OCTUBRE")</f>
        <v>AM OCTUBRE</v>
      </c>
      <c r="I76" s="42" t="str">
        <f ca="1">IFERROR(__xludf.DUMMYFUNCTION("""COMPUTED_VALUE"""),"Octubre")</f>
        <v>Octubre</v>
      </c>
      <c r="J76" s="42" t="str">
        <f ca="1">IFERROR(__xludf.DUMMYFUNCTION("""COMPUTED_VALUE"""),"AM")</f>
        <v>AM</v>
      </c>
      <c r="K76" s="98"/>
      <c r="L76" s="42" t="str">
        <f ca="1">IFERROR(__xludf.DUMMYFUNCTION("""COMPUTED_VALUE"""),"TRIMESTRE 4")</f>
        <v>TRIMESTRE 4</v>
      </c>
      <c r="M76" s="42" t="str">
        <f ca="1">IFERROR(__xludf.DUMMYFUNCTION("""COMPUTED_VALUE"""),"ADOLESCENTES MUJERES")</f>
        <v>ADOLESCENTES MUJERES</v>
      </c>
    </row>
    <row r="77" spans="1:13">
      <c r="A77" s="42" t="str">
        <f ca="1">IFERROR(__xludf.DUMMYFUNCTION("""COMPUTED_VALUE"""),"2.1.1.1")</f>
        <v>2.1.1.1</v>
      </c>
      <c r="B77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77" s="42" t="str">
        <f ca="1">IFERROR(__xludf.DUMMYFUNCTION("""COMPUTED_VALUE"""),"3. Operación")</f>
        <v>3. Operación</v>
      </c>
      <c r="D77" s="42" t="str">
        <f ca="1">IFERROR(__xludf.DUMMYFUNCTION("""COMPUTED_VALUE"""),"Guadalajara en Paz")</f>
        <v>Guadalajara en Paz</v>
      </c>
      <c r="E77" s="42" t="str">
        <f ca="1">IFERROR(__xludf.DUMMYFUNCTION("""COMPUTED_VALUE"""),"Trabajo Social Asistencial")</f>
        <v>Trabajo Social Asistencial</v>
      </c>
      <c r="F77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77" s="42" t="str">
        <f ca="1">IFERROR(__xludf.DUMMYFUNCTION("""COMPUTED_VALUE"""),"Apoyos asistenciales entregados en 2023")</f>
        <v>Apoyos asistenciales entregados en 2023</v>
      </c>
      <c r="H77" s="42" t="str">
        <f ca="1">IFERROR(__xludf.DUMMYFUNCTION("""COMPUTED_VALUE"""),"AH OCTUBRE")</f>
        <v>AH OCTUBRE</v>
      </c>
      <c r="I77" s="42" t="str">
        <f ca="1">IFERROR(__xludf.DUMMYFUNCTION("""COMPUTED_VALUE"""),"Octubre")</f>
        <v>Octubre</v>
      </c>
      <c r="J77" s="42" t="str">
        <f ca="1">IFERROR(__xludf.DUMMYFUNCTION("""COMPUTED_VALUE"""),"AH")</f>
        <v>AH</v>
      </c>
      <c r="K77" s="98"/>
      <c r="L77" s="42" t="str">
        <f ca="1">IFERROR(__xludf.DUMMYFUNCTION("""COMPUTED_VALUE"""),"TRIMESTRE 4")</f>
        <v>TRIMESTRE 4</v>
      </c>
      <c r="M77" s="42" t="str">
        <f ca="1">IFERROR(__xludf.DUMMYFUNCTION("""COMPUTED_VALUE"""),"ADOLESCENTES HOMBRES")</f>
        <v>ADOLESCENTES HOMBRES</v>
      </c>
    </row>
    <row r="78" spans="1:13">
      <c r="A78" s="42" t="str">
        <f ca="1">IFERROR(__xludf.DUMMYFUNCTION("""COMPUTED_VALUE"""),"2.1.1.1")</f>
        <v>2.1.1.1</v>
      </c>
      <c r="B78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78" s="42" t="str">
        <f ca="1">IFERROR(__xludf.DUMMYFUNCTION("""COMPUTED_VALUE"""),"3. Operación")</f>
        <v>3. Operación</v>
      </c>
      <c r="D78" s="42" t="str">
        <f ca="1">IFERROR(__xludf.DUMMYFUNCTION("""COMPUTED_VALUE"""),"Guadalajara en Paz")</f>
        <v>Guadalajara en Paz</v>
      </c>
      <c r="E78" s="42" t="str">
        <f ca="1">IFERROR(__xludf.DUMMYFUNCTION("""COMPUTED_VALUE"""),"Trabajo Social Asistencial")</f>
        <v>Trabajo Social Asistencial</v>
      </c>
      <c r="F78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78" s="42" t="str">
        <f ca="1">IFERROR(__xludf.DUMMYFUNCTION("""COMPUTED_VALUE"""),"Apoyos asistenciales entregados en 2023")</f>
        <v>Apoyos asistenciales entregados en 2023</v>
      </c>
      <c r="H78" s="42" t="str">
        <f ca="1">IFERROR(__xludf.DUMMYFUNCTION("""COMPUTED_VALUE"""),"MUJ Octubre")</f>
        <v>MUJ Octubre</v>
      </c>
      <c r="I78" s="42" t="str">
        <f ca="1">IFERROR(__xludf.DUMMYFUNCTION("""COMPUTED_VALUE"""),"Octubre")</f>
        <v>Octubre</v>
      </c>
      <c r="J78" s="42" t="str">
        <f ca="1">IFERROR(__xludf.DUMMYFUNCTION("""COMPUTED_VALUE"""),"MUJ")</f>
        <v>MUJ</v>
      </c>
      <c r="K78" s="98"/>
      <c r="L78" s="42" t="str">
        <f ca="1">IFERROR(__xludf.DUMMYFUNCTION("""COMPUTED_VALUE"""),"TRIMESTRE 4")</f>
        <v>TRIMESTRE 4</v>
      </c>
      <c r="M78" s="42" t="str">
        <f ca="1">IFERROR(__xludf.DUMMYFUNCTION("""COMPUTED_VALUE"""),"MUJERES ADULTAS")</f>
        <v>MUJERES ADULTAS</v>
      </c>
    </row>
    <row r="79" spans="1:13">
      <c r="A79" s="42" t="str">
        <f ca="1">IFERROR(__xludf.DUMMYFUNCTION("""COMPUTED_VALUE"""),"2.1.1.1")</f>
        <v>2.1.1.1</v>
      </c>
      <c r="B79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79" s="42" t="str">
        <f ca="1">IFERROR(__xludf.DUMMYFUNCTION("""COMPUTED_VALUE"""),"3. Operación")</f>
        <v>3. Operación</v>
      </c>
      <c r="D79" s="42" t="str">
        <f ca="1">IFERROR(__xludf.DUMMYFUNCTION("""COMPUTED_VALUE"""),"Guadalajara en Paz")</f>
        <v>Guadalajara en Paz</v>
      </c>
      <c r="E79" s="42" t="str">
        <f ca="1">IFERROR(__xludf.DUMMYFUNCTION("""COMPUTED_VALUE"""),"Trabajo Social Asistencial")</f>
        <v>Trabajo Social Asistencial</v>
      </c>
      <c r="F79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79" s="42" t="str">
        <f ca="1">IFERROR(__xludf.DUMMYFUNCTION("""COMPUTED_VALUE"""),"Apoyos asistenciales entregados en 2023")</f>
        <v>Apoyos asistenciales entregados en 2023</v>
      </c>
      <c r="H79" s="42" t="str">
        <f ca="1">IFERROR(__xludf.DUMMYFUNCTION("""COMPUTED_VALUE"""),"HOM Octubre")</f>
        <v>HOM Octubre</v>
      </c>
      <c r="I79" s="42" t="str">
        <f ca="1">IFERROR(__xludf.DUMMYFUNCTION("""COMPUTED_VALUE"""),"Octubre")</f>
        <v>Octubre</v>
      </c>
      <c r="J79" s="42" t="str">
        <f ca="1">IFERROR(__xludf.DUMMYFUNCTION("""COMPUTED_VALUE"""),"HOM")</f>
        <v>HOM</v>
      </c>
      <c r="K79" s="98"/>
      <c r="L79" s="42" t="str">
        <f ca="1">IFERROR(__xludf.DUMMYFUNCTION("""COMPUTED_VALUE"""),"TRIMESTRE 4")</f>
        <v>TRIMESTRE 4</v>
      </c>
      <c r="M79" s="42" t="str">
        <f ca="1">IFERROR(__xludf.DUMMYFUNCTION("""COMPUTED_VALUE"""),"HOMBRES ADULTOS")</f>
        <v>HOMBRES ADULTOS</v>
      </c>
    </row>
    <row r="80" spans="1:13">
      <c r="A80" s="42" t="str">
        <f ca="1">IFERROR(__xludf.DUMMYFUNCTION("""COMPUTED_VALUE"""),"2.1.1.1")</f>
        <v>2.1.1.1</v>
      </c>
      <c r="B80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80" s="42" t="str">
        <f ca="1">IFERROR(__xludf.DUMMYFUNCTION("""COMPUTED_VALUE"""),"3. Operación")</f>
        <v>3. Operación</v>
      </c>
      <c r="D80" s="42" t="str">
        <f ca="1">IFERROR(__xludf.DUMMYFUNCTION("""COMPUTED_VALUE"""),"Guadalajara en Paz")</f>
        <v>Guadalajara en Paz</v>
      </c>
      <c r="E80" s="42" t="str">
        <f ca="1">IFERROR(__xludf.DUMMYFUNCTION("""COMPUTED_VALUE"""),"Trabajo Social Asistencial")</f>
        <v>Trabajo Social Asistencial</v>
      </c>
      <c r="F80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80" s="42" t="str">
        <f ca="1">IFERROR(__xludf.DUMMYFUNCTION("""COMPUTED_VALUE"""),"Apoyos asistenciales entregados en 2023")</f>
        <v>Apoyos asistenciales entregados en 2023</v>
      </c>
      <c r="H80" s="42" t="str">
        <f ca="1">IFERROR(__xludf.DUMMYFUNCTION("""COMPUTED_VALUE"""),"AMM Octubre")</f>
        <v>AMM Octubre</v>
      </c>
      <c r="I80" s="42" t="str">
        <f ca="1">IFERROR(__xludf.DUMMYFUNCTION("""COMPUTED_VALUE"""),"Octubre")</f>
        <v>Octubre</v>
      </c>
      <c r="J80" s="42" t="str">
        <f ca="1">IFERROR(__xludf.DUMMYFUNCTION("""COMPUTED_VALUE"""),"AMM")</f>
        <v>AMM</v>
      </c>
      <c r="K80" s="98"/>
      <c r="L80" s="42" t="str">
        <f ca="1">IFERROR(__xludf.DUMMYFUNCTION("""COMPUTED_VALUE"""),"TRIMESTRE 4")</f>
        <v>TRIMESTRE 4</v>
      </c>
      <c r="M80" s="42" t="str">
        <f ca="1">IFERROR(__xludf.DUMMYFUNCTION("""COMPUTED_VALUE"""),"ADULTA MAYOR MUJER")</f>
        <v>ADULTA MAYOR MUJER</v>
      </c>
    </row>
    <row r="81" spans="1:13">
      <c r="A81" s="42" t="str">
        <f ca="1">IFERROR(__xludf.DUMMYFUNCTION("""COMPUTED_VALUE"""),"2.1.1.1")</f>
        <v>2.1.1.1</v>
      </c>
      <c r="B81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81" s="42" t="str">
        <f ca="1">IFERROR(__xludf.DUMMYFUNCTION("""COMPUTED_VALUE"""),"3. Operación")</f>
        <v>3. Operación</v>
      </c>
      <c r="D81" s="42" t="str">
        <f ca="1">IFERROR(__xludf.DUMMYFUNCTION("""COMPUTED_VALUE"""),"Guadalajara en Paz")</f>
        <v>Guadalajara en Paz</v>
      </c>
      <c r="E81" s="42" t="str">
        <f ca="1">IFERROR(__xludf.DUMMYFUNCTION("""COMPUTED_VALUE"""),"Trabajo Social Asistencial")</f>
        <v>Trabajo Social Asistencial</v>
      </c>
      <c r="F81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81" s="42" t="str">
        <f ca="1">IFERROR(__xludf.DUMMYFUNCTION("""COMPUTED_VALUE"""),"Apoyos asistenciales entregados en 2023")</f>
        <v>Apoyos asistenciales entregados en 2023</v>
      </c>
      <c r="H81" s="42" t="str">
        <f ca="1">IFERROR(__xludf.DUMMYFUNCTION("""COMPUTED_VALUE"""),"AMH Octubre")</f>
        <v>AMH Octubre</v>
      </c>
      <c r="I81" s="42" t="str">
        <f ca="1">IFERROR(__xludf.DUMMYFUNCTION("""COMPUTED_VALUE"""),"Octubre")</f>
        <v>Octubre</v>
      </c>
      <c r="J81" s="42" t="str">
        <f ca="1">IFERROR(__xludf.DUMMYFUNCTION("""COMPUTED_VALUE"""),"AMH")</f>
        <v>AMH</v>
      </c>
      <c r="K81" s="98"/>
      <c r="L81" s="42" t="str">
        <f ca="1">IFERROR(__xludf.DUMMYFUNCTION("""COMPUTED_VALUE"""),"TRIMESTRE 4")</f>
        <v>TRIMESTRE 4</v>
      </c>
      <c r="M81" s="42" t="str">
        <f ca="1">IFERROR(__xludf.DUMMYFUNCTION("""COMPUTED_VALUE"""),"ADULTO MAYOR HOMBRE")</f>
        <v>ADULTO MAYOR HOMBRE</v>
      </c>
    </row>
    <row r="82" spans="1:13">
      <c r="A82" s="42" t="str">
        <f ca="1">IFERROR(__xludf.DUMMYFUNCTION("""COMPUTED_VALUE"""),"2.1.1.1")</f>
        <v>2.1.1.1</v>
      </c>
      <c r="B82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82" s="42" t="str">
        <f ca="1">IFERROR(__xludf.DUMMYFUNCTION("""COMPUTED_VALUE"""),"3. Operación")</f>
        <v>3. Operación</v>
      </c>
      <c r="D82" s="42" t="str">
        <f ca="1">IFERROR(__xludf.DUMMYFUNCTION("""COMPUTED_VALUE"""),"Guadalajara en Paz")</f>
        <v>Guadalajara en Paz</v>
      </c>
      <c r="E82" s="42" t="str">
        <f ca="1">IFERROR(__xludf.DUMMYFUNCTION("""COMPUTED_VALUE"""),"Trabajo Social Asistencial")</f>
        <v>Trabajo Social Asistencial</v>
      </c>
      <c r="F82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82" s="42" t="str">
        <f ca="1">IFERROR(__xludf.DUMMYFUNCTION("""COMPUTED_VALUE"""),"Apoyos asistenciales entregados en 2023")</f>
        <v>Apoyos asistenciales entregados en 2023</v>
      </c>
      <c r="H82" s="42" t="str">
        <f ca="1">IFERROR(__xludf.DUMMYFUNCTION("""COMPUTED_VALUE"""),"NAS Noviembre")</f>
        <v>NAS Noviembre</v>
      </c>
      <c r="I82" s="42" t="str">
        <f ca="1">IFERROR(__xludf.DUMMYFUNCTION("""COMPUTED_VALUE"""),"Noviembre")</f>
        <v>Noviembre</v>
      </c>
      <c r="J82" s="42" t="str">
        <f ca="1">IFERROR(__xludf.DUMMYFUNCTION("""COMPUTED_VALUE"""),"NAS")</f>
        <v>NAS</v>
      </c>
      <c r="K82" s="98"/>
      <c r="L82" s="42" t="str">
        <f ca="1">IFERROR(__xludf.DUMMYFUNCTION("""COMPUTED_VALUE"""),"TRIMESTRE 4")</f>
        <v>TRIMESTRE 4</v>
      </c>
      <c r="M82" s="42" t="str">
        <f ca="1">IFERROR(__xludf.DUMMYFUNCTION("""COMPUTED_VALUE"""),"NIÑAS")</f>
        <v>NIÑAS</v>
      </c>
    </row>
    <row r="83" spans="1:13">
      <c r="A83" s="42" t="str">
        <f ca="1">IFERROR(__xludf.DUMMYFUNCTION("""COMPUTED_VALUE"""),"2.1.1.1")</f>
        <v>2.1.1.1</v>
      </c>
      <c r="B83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83" s="42" t="str">
        <f ca="1">IFERROR(__xludf.DUMMYFUNCTION("""COMPUTED_VALUE"""),"3. Operación")</f>
        <v>3. Operación</v>
      </c>
      <c r="D83" s="42" t="str">
        <f ca="1">IFERROR(__xludf.DUMMYFUNCTION("""COMPUTED_VALUE"""),"Guadalajara en Paz")</f>
        <v>Guadalajara en Paz</v>
      </c>
      <c r="E83" s="42" t="str">
        <f ca="1">IFERROR(__xludf.DUMMYFUNCTION("""COMPUTED_VALUE"""),"Trabajo Social Asistencial")</f>
        <v>Trabajo Social Asistencial</v>
      </c>
      <c r="F83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83" s="42" t="str">
        <f ca="1">IFERROR(__xludf.DUMMYFUNCTION("""COMPUTED_VALUE"""),"Apoyos asistenciales entregados en 2023")</f>
        <v>Apoyos asistenciales entregados en 2023</v>
      </c>
      <c r="H83" s="42" t="str">
        <f ca="1">IFERROR(__xludf.DUMMYFUNCTION("""COMPUTED_VALUE"""),"NOS Noviembre")</f>
        <v>NOS Noviembre</v>
      </c>
      <c r="I83" s="42" t="str">
        <f ca="1">IFERROR(__xludf.DUMMYFUNCTION("""COMPUTED_VALUE"""),"Noviembre")</f>
        <v>Noviembre</v>
      </c>
      <c r="J83" s="42" t="str">
        <f ca="1">IFERROR(__xludf.DUMMYFUNCTION("""COMPUTED_VALUE"""),"NOS")</f>
        <v>NOS</v>
      </c>
      <c r="K83" s="98"/>
      <c r="L83" s="42" t="str">
        <f ca="1">IFERROR(__xludf.DUMMYFUNCTION("""COMPUTED_VALUE"""),"TRIMESTRE 4")</f>
        <v>TRIMESTRE 4</v>
      </c>
      <c r="M83" s="42" t="str">
        <f ca="1">IFERROR(__xludf.DUMMYFUNCTION("""COMPUTED_VALUE"""),"NIÑOS")</f>
        <v>NIÑOS</v>
      </c>
    </row>
    <row r="84" spans="1:13">
      <c r="A84" s="42" t="str">
        <f ca="1">IFERROR(__xludf.DUMMYFUNCTION("""COMPUTED_VALUE"""),"2.1.1.1")</f>
        <v>2.1.1.1</v>
      </c>
      <c r="B84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84" s="42" t="str">
        <f ca="1">IFERROR(__xludf.DUMMYFUNCTION("""COMPUTED_VALUE"""),"3. Operación")</f>
        <v>3. Operación</v>
      </c>
      <c r="D84" s="42" t="str">
        <f ca="1">IFERROR(__xludf.DUMMYFUNCTION("""COMPUTED_VALUE"""),"Guadalajara en Paz")</f>
        <v>Guadalajara en Paz</v>
      </c>
      <c r="E84" s="42" t="str">
        <f ca="1">IFERROR(__xludf.DUMMYFUNCTION("""COMPUTED_VALUE"""),"Trabajo Social Asistencial")</f>
        <v>Trabajo Social Asistencial</v>
      </c>
      <c r="F84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84" s="42" t="str">
        <f ca="1">IFERROR(__xludf.DUMMYFUNCTION("""COMPUTED_VALUE"""),"Apoyos asistenciales entregados en 2023")</f>
        <v>Apoyos asistenciales entregados en 2023</v>
      </c>
      <c r="H84" s="42" t="str">
        <f ca="1">IFERROR(__xludf.DUMMYFUNCTION("""COMPUTED_VALUE"""),"AM NOVIEMBRE")</f>
        <v>AM NOVIEMBRE</v>
      </c>
      <c r="I84" s="42" t="str">
        <f ca="1">IFERROR(__xludf.DUMMYFUNCTION("""COMPUTED_VALUE"""),"Noviembre")</f>
        <v>Noviembre</v>
      </c>
      <c r="J84" s="42" t="str">
        <f ca="1">IFERROR(__xludf.DUMMYFUNCTION("""COMPUTED_VALUE"""),"AM")</f>
        <v>AM</v>
      </c>
      <c r="K84" s="98"/>
      <c r="L84" s="42" t="str">
        <f ca="1">IFERROR(__xludf.DUMMYFUNCTION("""COMPUTED_VALUE"""),"TRIMESTRE 4")</f>
        <v>TRIMESTRE 4</v>
      </c>
      <c r="M84" s="42" t="str">
        <f ca="1">IFERROR(__xludf.DUMMYFUNCTION("""COMPUTED_VALUE"""),"ADOLESCENTES MUJERES")</f>
        <v>ADOLESCENTES MUJERES</v>
      </c>
    </row>
    <row r="85" spans="1:13">
      <c r="A85" s="42" t="str">
        <f ca="1">IFERROR(__xludf.DUMMYFUNCTION("""COMPUTED_VALUE"""),"2.1.1.1")</f>
        <v>2.1.1.1</v>
      </c>
      <c r="B85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85" s="42" t="str">
        <f ca="1">IFERROR(__xludf.DUMMYFUNCTION("""COMPUTED_VALUE"""),"3. Operación")</f>
        <v>3. Operación</v>
      </c>
      <c r="D85" s="42" t="str">
        <f ca="1">IFERROR(__xludf.DUMMYFUNCTION("""COMPUTED_VALUE"""),"Guadalajara en Paz")</f>
        <v>Guadalajara en Paz</v>
      </c>
      <c r="E85" s="42" t="str">
        <f ca="1">IFERROR(__xludf.DUMMYFUNCTION("""COMPUTED_VALUE"""),"Trabajo Social Asistencial")</f>
        <v>Trabajo Social Asistencial</v>
      </c>
      <c r="F85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85" s="42" t="str">
        <f ca="1">IFERROR(__xludf.DUMMYFUNCTION("""COMPUTED_VALUE"""),"Apoyos asistenciales entregados en 2023")</f>
        <v>Apoyos asistenciales entregados en 2023</v>
      </c>
      <c r="H85" s="42" t="str">
        <f ca="1">IFERROR(__xludf.DUMMYFUNCTION("""COMPUTED_VALUE"""),"AH NOVIEMBRE")</f>
        <v>AH NOVIEMBRE</v>
      </c>
      <c r="I85" s="42" t="str">
        <f ca="1">IFERROR(__xludf.DUMMYFUNCTION("""COMPUTED_VALUE"""),"Noviembre")</f>
        <v>Noviembre</v>
      </c>
      <c r="J85" s="42" t="str">
        <f ca="1">IFERROR(__xludf.DUMMYFUNCTION("""COMPUTED_VALUE"""),"AH")</f>
        <v>AH</v>
      </c>
      <c r="K85" s="98"/>
      <c r="L85" s="42" t="str">
        <f ca="1">IFERROR(__xludf.DUMMYFUNCTION("""COMPUTED_VALUE"""),"TRIMESTRE 4")</f>
        <v>TRIMESTRE 4</v>
      </c>
      <c r="M85" s="42" t="str">
        <f ca="1">IFERROR(__xludf.DUMMYFUNCTION("""COMPUTED_VALUE"""),"ADOLESCENTES HOMBRES")</f>
        <v>ADOLESCENTES HOMBRES</v>
      </c>
    </row>
    <row r="86" spans="1:13">
      <c r="A86" s="42" t="str">
        <f ca="1">IFERROR(__xludf.DUMMYFUNCTION("""COMPUTED_VALUE"""),"2.1.1.1")</f>
        <v>2.1.1.1</v>
      </c>
      <c r="B86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86" s="42" t="str">
        <f ca="1">IFERROR(__xludf.DUMMYFUNCTION("""COMPUTED_VALUE"""),"3. Operación")</f>
        <v>3. Operación</v>
      </c>
      <c r="D86" s="42" t="str">
        <f ca="1">IFERROR(__xludf.DUMMYFUNCTION("""COMPUTED_VALUE"""),"Guadalajara en Paz")</f>
        <v>Guadalajara en Paz</v>
      </c>
      <c r="E86" s="42" t="str">
        <f ca="1">IFERROR(__xludf.DUMMYFUNCTION("""COMPUTED_VALUE"""),"Trabajo Social Asistencial")</f>
        <v>Trabajo Social Asistencial</v>
      </c>
      <c r="F86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86" s="42" t="str">
        <f ca="1">IFERROR(__xludf.DUMMYFUNCTION("""COMPUTED_VALUE"""),"Apoyos asistenciales entregados en 2023")</f>
        <v>Apoyos asistenciales entregados en 2023</v>
      </c>
      <c r="H86" s="42" t="str">
        <f ca="1">IFERROR(__xludf.DUMMYFUNCTION("""COMPUTED_VALUE"""),"MUJ Noviembre")</f>
        <v>MUJ Noviembre</v>
      </c>
      <c r="I86" s="42" t="str">
        <f ca="1">IFERROR(__xludf.DUMMYFUNCTION("""COMPUTED_VALUE"""),"Noviembre")</f>
        <v>Noviembre</v>
      </c>
      <c r="J86" s="42" t="str">
        <f ca="1">IFERROR(__xludf.DUMMYFUNCTION("""COMPUTED_VALUE"""),"MUJ")</f>
        <v>MUJ</v>
      </c>
      <c r="K86" s="98"/>
      <c r="L86" s="42" t="str">
        <f ca="1">IFERROR(__xludf.DUMMYFUNCTION("""COMPUTED_VALUE"""),"TRIMESTRE 4")</f>
        <v>TRIMESTRE 4</v>
      </c>
      <c r="M86" s="42" t="str">
        <f ca="1">IFERROR(__xludf.DUMMYFUNCTION("""COMPUTED_VALUE"""),"MUJERES ADULTAS")</f>
        <v>MUJERES ADULTAS</v>
      </c>
    </row>
    <row r="87" spans="1:13">
      <c r="A87" s="42" t="str">
        <f ca="1">IFERROR(__xludf.DUMMYFUNCTION("""COMPUTED_VALUE"""),"2.1.1.1")</f>
        <v>2.1.1.1</v>
      </c>
      <c r="B87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87" s="42" t="str">
        <f ca="1">IFERROR(__xludf.DUMMYFUNCTION("""COMPUTED_VALUE"""),"3. Operación")</f>
        <v>3. Operación</v>
      </c>
      <c r="D87" s="42" t="str">
        <f ca="1">IFERROR(__xludf.DUMMYFUNCTION("""COMPUTED_VALUE"""),"Guadalajara en Paz")</f>
        <v>Guadalajara en Paz</v>
      </c>
      <c r="E87" s="42" t="str">
        <f ca="1">IFERROR(__xludf.DUMMYFUNCTION("""COMPUTED_VALUE"""),"Trabajo Social Asistencial")</f>
        <v>Trabajo Social Asistencial</v>
      </c>
      <c r="F87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87" s="42" t="str">
        <f ca="1">IFERROR(__xludf.DUMMYFUNCTION("""COMPUTED_VALUE"""),"Apoyos asistenciales entregados en 2023")</f>
        <v>Apoyos asistenciales entregados en 2023</v>
      </c>
      <c r="H87" s="42" t="str">
        <f ca="1">IFERROR(__xludf.DUMMYFUNCTION("""COMPUTED_VALUE"""),"HOM Noviembre")</f>
        <v>HOM Noviembre</v>
      </c>
      <c r="I87" s="42" t="str">
        <f ca="1">IFERROR(__xludf.DUMMYFUNCTION("""COMPUTED_VALUE"""),"Noviembre")</f>
        <v>Noviembre</v>
      </c>
      <c r="J87" s="42" t="str">
        <f ca="1">IFERROR(__xludf.DUMMYFUNCTION("""COMPUTED_VALUE"""),"HOM")</f>
        <v>HOM</v>
      </c>
      <c r="K87" s="98"/>
      <c r="L87" s="42" t="str">
        <f ca="1">IFERROR(__xludf.DUMMYFUNCTION("""COMPUTED_VALUE"""),"TRIMESTRE 4")</f>
        <v>TRIMESTRE 4</v>
      </c>
      <c r="M87" s="42" t="str">
        <f ca="1">IFERROR(__xludf.DUMMYFUNCTION("""COMPUTED_VALUE"""),"HOMBRES ADULTOS")</f>
        <v>HOMBRES ADULTOS</v>
      </c>
    </row>
    <row r="88" spans="1:13">
      <c r="A88" s="42" t="str">
        <f ca="1">IFERROR(__xludf.DUMMYFUNCTION("""COMPUTED_VALUE"""),"2.1.1.1")</f>
        <v>2.1.1.1</v>
      </c>
      <c r="B88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88" s="42" t="str">
        <f ca="1">IFERROR(__xludf.DUMMYFUNCTION("""COMPUTED_VALUE"""),"3. Operación")</f>
        <v>3. Operación</v>
      </c>
      <c r="D88" s="42" t="str">
        <f ca="1">IFERROR(__xludf.DUMMYFUNCTION("""COMPUTED_VALUE"""),"Guadalajara en Paz")</f>
        <v>Guadalajara en Paz</v>
      </c>
      <c r="E88" s="42" t="str">
        <f ca="1">IFERROR(__xludf.DUMMYFUNCTION("""COMPUTED_VALUE"""),"Trabajo Social Asistencial")</f>
        <v>Trabajo Social Asistencial</v>
      </c>
      <c r="F88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88" s="42" t="str">
        <f ca="1">IFERROR(__xludf.DUMMYFUNCTION("""COMPUTED_VALUE"""),"Apoyos asistenciales entregados en 2023")</f>
        <v>Apoyos asistenciales entregados en 2023</v>
      </c>
      <c r="H88" s="42" t="str">
        <f ca="1">IFERROR(__xludf.DUMMYFUNCTION("""COMPUTED_VALUE"""),"AMM Noviembre")</f>
        <v>AMM Noviembre</v>
      </c>
      <c r="I88" s="42" t="str">
        <f ca="1">IFERROR(__xludf.DUMMYFUNCTION("""COMPUTED_VALUE"""),"Noviembre")</f>
        <v>Noviembre</v>
      </c>
      <c r="J88" s="42" t="str">
        <f ca="1">IFERROR(__xludf.DUMMYFUNCTION("""COMPUTED_VALUE"""),"AMM")</f>
        <v>AMM</v>
      </c>
      <c r="K88" s="98"/>
      <c r="L88" s="42" t="str">
        <f ca="1">IFERROR(__xludf.DUMMYFUNCTION("""COMPUTED_VALUE"""),"TRIMESTRE 4")</f>
        <v>TRIMESTRE 4</v>
      </c>
      <c r="M88" s="42" t="str">
        <f ca="1">IFERROR(__xludf.DUMMYFUNCTION("""COMPUTED_VALUE"""),"ADULTA MAYOR MUJER")</f>
        <v>ADULTA MAYOR MUJER</v>
      </c>
    </row>
    <row r="89" spans="1:13">
      <c r="A89" s="42" t="str">
        <f ca="1">IFERROR(__xludf.DUMMYFUNCTION("""COMPUTED_VALUE"""),"2.1.1.1")</f>
        <v>2.1.1.1</v>
      </c>
      <c r="B89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89" s="42" t="str">
        <f ca="1">IFERROR(__xludf.DUMMYFUNCTION("""COMPUTED_VALUE"""),"3. Operación")</f>
        <v>3. Operación</v>
      </c>
      <c r="D89" s="42" t="str">
        <f ca="1">IFERROR(__xludf.DUMMYFUNCTION("""COMPUTED_VALUE"""),"Guadalajara en Paz")</f>
        <v>Guadalajara en Paz</v>
      </c>
      <c r="E89" s="42" t="str">
        <f ca="1">IFERROR(__xludf.DUMMYFUNCTION("""COMPUTED_VALUE"""),"Trabajo Social Asistencial")</f>
        <v>Trabajo Social Asistencial</v>
      </c>
      <c r="F89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89" s="42" t="str">
        <f ca="1">IFERROR(__xludf.DUMMYFUNCTION("""COMPUTED_VALUE"""),"Apoyos asistenciales entregados en 2023")</f>
        <v>Apoyos asistenciales entregados en 2023</v>
      </c>
      <c r="H89" s="42" t="str">
        <f ca="1">IFERROR(__xludf.DUMMYFUNCTION("""COMPUTED_VALUE"""),"AMH Noviembre")</f>
        <v>AMH Noviembre</v>
      </c>
      <c r="I89" s="42" t="str">
        <f ca="1">IFERROR(__xludf.DUMMYFUNCTION("""COMPUTED_VALUE"""),"Noviembre")</f>
        <v>Noviembre</v>
      </c>
      <c r="J89" s="42" t="str">
        <f ca="1">IFERROR(__xludf.DUMMYFUNCTION("""COMPUTED_VALUE"""),"AMH")</f>
        <v>AMH</v>
      </c>
      <c r="K89" s="98"/>
      <c r="L89" s="42" t="str">
        <f ca="1">IFERROR(__xludf.DUMMYFUNCTION("""COMPUTED_VALUE"""),"TRIMESTRE 4")</f>
        <v>TRIMESTRE 4</v>
      </c>
      <c r="M89" s="42" t="str">
        <f ca="1">IFERROR(__xludf.DUMMYFUNCTION("""COMPUTED_VALUE"""),"ADULTO MAYOR HOMBRE")</f>
        <v>ADULTO MAYOR HOMBRE</v>
      </c>
    </row>
    <row r="90" spans="1:13">
      <c r="A90" s="42" t="str">
        <f ca="1">IFERROR(__xludf.DUMMYFUNCTION("""COMPUTED_VALUE"""),"2.1.1.1")</f>
        <v>2.1.1.1</v>
      </c>
      <c r="B90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90" s="42" t="str">
        <f ca="1">IFERROR(__xludf.DUMMYFUNCTION("""COMPUTED_VALUE"""),"3. Operación")</f>
        <v>3. Operación</v>
      </c>
      <c r="D90" s="42" t="str">
        <f ca="1">IFERROR(__xludf.DUMMYFUNCTION("""COMPUTED_VALUE"""),"Guadalajara en Paz")</f>
        <v>Guadalajara en Paz</v>
      </c>
      <c r="E90" s="42" t="str">
        <f ca="1">IFERROR(__xludf.DUMMYFUNCTION("""COMPUTED_VALUE"""),"Trabajo Social Asistencial")</f>
        <v>Trabajo Social Asistencial</v>
      </c>
      <c r="F90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90" s="42" t="str">
        <f ca="1">IFERROR(__xludf.DUMMYFUNCTION("""COMPUTED_VALUE"""),"Apoyos asistenciales entregados en 2023")</f>
        <v>Apoyos asistenciales entregados en 2023</v>
      </c>
      <c r="H90" s="42" t="str">
        <f ca="1">IFERROR(__xludf.DUMMYFUNCTION("""COMPUTED_VALUE"""),"NAS Diciembre")</f>
        <v>NAS Diciembre</v>
      </c>
      <c r="I90" s="42" t="str">
        <f ca="1">IFERROR(__xludf.DUMMYFUNCTION("""COMPUTED_VALUE"""),"Diciembre")</f>
        <v>Diciembre</v>
      </c>
      <c r="J90" s="42" t="str">
        <f ca="1">IFERROR(__xludf.DUMMYFUNCTION("""COMPUTED_VALUE"""),"NAS")</f>
        <v>NAS</v>
      </c>
      <c r="K90" s="98"/>
      <c r="L90" s="42" t="str">
        <f ca="1">IFERROR(__xludf.DUMMYFUNCTION("""COMPUTED_VALUE"""),"TRIMESTRE 4")</f>
        <v>TRIMESTRE 4</v>
      </c>
      <c r="M90" s="42" t="str">
        <f ca="1">IFERROR(__xludf.DUMMYFUNCTION("""COMPUTED_VALUE"""),"NIÑAS")</f>
        <v>NIÑAS</v>
      </c>
    </row>
    <row r="91" spans="1:13">
      <c r="A91" s="42" t="str">
        <f ca="1">IFERROR(__xludf.DUMMYFUNCTION("""COMPUTED_VALUE"""),"2.1.1.1")</f>
        <v>2.1.1.1</v>
      </c>
      <c r="B91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91" s="42" t="str">
        <f ca="1">IFERROR(__xludf.DUMMYFUNCTION("""COMPUTED_VALUE"""),"3. Operación")</f>
        <v>3. Operación</v>
      </c>
      <c r="D91" s="42" t="str">
        <f ca="1">IFERROR(__xludf.DUMMYFUNCTION("""COMPUTED_VALUE"""),"Guadalajara en Paz")</f>
        <v>Guadalajara en Paz</v>
      </c>
      <c r="E91" s="42" t="str">
        <f ca="1">IFERROR(__xludf.DUMMYFUNCTION("""COMPUTED_VALUE"""),"Trabajo Social Asistencial")</f>
        <v>Trabajo Social Asistencial</v>
      </c>
      <c r="F91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91" s="42" t="str">
        <f ca="1">IFERROR(__xludf.DUMMYFUNCTION("""COMPUTED_VALUE"""),"Apoyos asistenciales entregados en 2023")</f>
        <v>Apoyos asistenciales entregados en 2023</v>
      </c>
      <c r="H91" s="42" t="str">
        <f ca="1">IFERROR(__xludf.DUMMYFUNCTION("""COMPUTED_VALUE"""),"NOS Diciembre")</f>
        <v>NOS Diciembre</v>
      </c>
      <c r="I91" s="42" t="str">
        <f ca="1">IFERROR(__xludf.DUMMYFUNCTION("""COMPUTED_VALUE"""),"Diciembre")</f>
        <v>Diciembre</v>
      </c>
      <c r="J91" s="42" t="str">
        <f ca="1">IFERROR(__xludf.DUMMYFUNCTION("""COMPUTED_VALUE"""),"NOS")</f>
        <v>NOS</v>
      </c>
      <c r="K91" s="98"/>
      <c r="L91" s="42" t="str">
        <f ca="1">IFERROR(__xludf.DUMMYFUNCTION("""COMPUTED_VALUE"""),"TRIMESTRE 4")</f>
        <v>TRIMESTRE 4</v>
      </c>
      <c r="M91" s="42" t="str">
        <f ca="1">IFERROR(__xludf.DUMMYFUNCTION("""COMPUTED_VALUE"""),"NIÑOS")</f>
        <v>NIÑOS</v>
      </c>
    </row>
    <row r="92" spans="1:13">
      <c r="A92" s="42" t="str">
        <f ca="1">IFERROR(__xludf.DUMMYFUNCTION("""COMPUTED_VALUE"""),"2.1.1.1")</f>
        <v>2.1.1.1</v>
      </c>
      <c r="B92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92" s="42" t="str">
        <f ca="1">IFERROR(__xludf.DUMMYFUNCTION("""COMPUTED_VALUE"""),"3. Operación")</f>
        <v>3. Operación</v>
      </c>
      <c r="D92" s="42" t="str">
        <f ca="1">IFERROR(__xludf.DUMMYFUNCTION("""COMPUTED_VALUE"""),"Guadalajara en Paz")</f>
        <v>Guadalajara en Paz</v>
      </c>
      <c r="E92" s="42" t="str">
        <f ca="1">IFERROR(__xludf.DUMMYFUNCTION("""COMPUTED_VALUE"""),"Trabajo Social Asistencial")</f>
        <v>Trabajo Social Asistencial</v>
      </c>
      <c r="F92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92" s="42" t="str">
        <f ca="1">IFERROR(__xludf.DUMMYFUNCTION("""COMPUTED_VALUE"""),"Apoyos asistenciales entregados en 2023")</f>
        <v>Apoyos asistenciales entregados en 2023</v>
      </c>
      <c r="H92" s="42" t="str">
        <f ca="1">IFERROR(__xludf.DUMMYFUNCTION("""COMPUTED_VALUE"""),"AM DICIEMBRE")</f>
        <v>AM DICIEMBRE</v>
      </c>
      <c r="I92" s="42" t="str">
        <f ca="1">IFERROR(__xludf.DUMMYFUNCTION("""COMPUTED_VALUE"""),"Diciembre")</f>
        <v>Diciembre</v>
      </c>
      <c r="J92" s="42" t="str">
        <f ca="1">IFERROR(__xludf.DUMMYFUNCTION("""COMPUTED_VALUE"""),"AM")</f>
        <v>AM</v>
      </c>
      <c r="K92" s="98"/>
      <c r="L92" s="42" t="str">
        <f ca="1">IFERROR(__xludf.DUMMYFUNCTION("""COMPUTED_VALUE"""),"TRIMESTRE 4")</f>
        <v>TRIMESTRE 4</v>
      </c>
      <c r="M92" s="42" t="str">
        <f ca="1">IFERROR(__xludf.DUMMYFUNCTION("""COMPUTED_VALUE"""),"ADOLESCENTES MUJERES")</f>
        <v>ADOLESCENTES MUJERES</v>
      </c>
    </row>
    <row r="93" spans="1:13">
      <c r="A93" s="42" t="str">
        <f ca="1">IFERROR(__xludf.DUMMYFUNCTION("""COMPUTED_VALUE"""),"2.1.1.1")</f>
        <v>2.1.1.1</v>
      </c>
      <c r="B93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93" s="42" t="str">
        <f ca="1">IFERROR(__xludf.DUMMYFUNCTION("""COMPUTED_VALUE"""),"3. Operación")</f>
        <v>3. Operación</v>
      </c>
      <c r="D93" s="42" t="str">
        <f ca="1">IFERROR(__xludf.DUMMYFUNCTION("""COMPUTED_VALUE"""),"Guadalajara en Paz")</f>
        <v>Guadalajara en Paz</v>
      </c>
      <c r="E93" s="42" t="str">
        <f ca="1">IFERROR(__xludf.DUMMYFUNCTION("""COMPUTED_VALUE"""),"Trabajo Social Asistencial")</f>
        <v>Trabajo Social Asistencial</v>
      </c>
      <c r="F93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93" s="42" t="str">
        <f ca="1">IFERROR(__xludf.DUMMYFUNCTION("""COMPUTED_VALUE"""),"Apoyos asistenciales entregados en 2023")</f>
        <v>Apoyos asistenciales entregados en 2023</v>
      </c>
      <c r="H93" s="42" t="str">
        <f ca="1">IFERROR(__xludf.DUMMYFUNCTION("""COMPUTED_VALUE"""),"AH DICIEMBRE")</f>
        <v>AH DICIEMBRE</v>
      </c>
      <c r="I93" s="42" t="str">
        <f ca="1">IFERROR(__xludf.DUMMYFUNCTION("""COMPUTED_VALUE"""),"Diciembre")</f>
        <v>Diciembre</v>
      </c>
      <c r="J93" s="42" t="str">
        <f ca="1">IFERROR(__xludf.DUMMYFUNCTION("""COMPUTED_VALUE"""),"AH")</f>
        <v>AH</v>
      </c>
      <c r="K93" s="98"/>
      <c r="L93" s="42" t="str">
        <f ca="1">IFERROR(__xludf.DUMMYFUNCTION("""COMPUTED_VALUE"""),"TRIMESTRE 4")</f>
        <v>TRIMESTRE 4</v>
      </c>
      <c r="M93" s="42" t="str">
        <f ca="1">IFERROR(__xludf.DUMMYFUNCTION("""COMPUTED_VALUE"""),"ADOLESCENTES HOMBRES")</f>
        <v>ADOLESCENTES HOMBRES</v>
      </c>
    </row>
    <row r="94" spans="1:13">
      <c r="A94" s="42" t="str">
        <f ca="1">IFERROR(__xludf.DUMMYFUNCTION("""COMPUTED_VALUE"""),"2.1.1.1")</f>
        <v>2.1.1.1</v>
      </c>
      <c r="B94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94" s="42" t="str">
        <f ca="1">IFERROR(__xludf.DUMMYFUNCTION("""COMPUTED_VALUE"""),"3. Operación")</f>
        <v>3. Operación</v>
      </c>
      <c r="D94" s="42" t="str">
        <f ca="1">IFERROR(__xludf.DUMMYFUNCTION("""COMPUTED_VALUE"""),"Guadalajara en Paz")</f>
        <v>Guadalajara en Paz</v>
      </c>
      <c r="E94" s="42" t="str">
        <f ca="1">IFERROR(__xludf.DUMMYFUNCTION("""COMPUTED_VALUE"""),"Trabajo Social Asistencial")</f>
        <v>Trabajo Social Asistencial</v>
      </c>
      <c r="F94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94" s="42" t="str">
        <f ca="1">IFERROR(__xludf.DUMMYFUNCTION("""COMPUTED_VALUE"""),"Apoyos asistenciales entregados en 2023")</f>
        <v>Apoyos asistenciales entregados en 2023</v>
      </c>
      <c r="H94" s="42" t="str">
        <f ca="1">IFERROR(__xludf.DUMMYFUNCTION("""COMPUTED_VALUE"""),"MUJ Diciembre")</f>
        <v>MUJ Diciembre</v>
      </c>
      <c r="I94" s="42" t="str">
        <f ca="1">IFERROR(__xludf.DUMMYFUNCTION("""COMPUTED_VALUE"""),"Diciembre")</f>
        <v>Diciembre</v>
      </c>
      <c r="J94" s="42" t="str">
        <f ca="1">IFERROR(__xludf.DUMMYFUNCTION("""COMPUTED_VALUE"""),"MUJ")</f>
        <v>MUJ</v>
      </c>
      <c r="K94" s="98"/>
      <c r="L94" s="42" t="str">
        <f ca="1">IFERROR(__xludf.DUMMYFUNCTION("""COMPUTED_VALUE"""),"TRIMESTRE 4")</f>
        <v>TRIMESTRE 4</v>
      </c>
      <c r="M94" s="42" t="str">
        <f ca="1">IFERROR(__xludf.DUMMYFUNCTION("""COMPUTED_VALUE"""),"MUJERES ADULTAS")</f>
        <v>MUJERES ADULTAS</v>
      </c>
    </row>
    <row r="95" spans="1:13">
      <c r="A95" s="42" t="str">
        <f ca="1">IFERROR(__xludf.DUMMYFUNCTION("""COMPUTED_VALUE"""),"2.1.1.1")</f>
        <v>2.1.1.1</v>
      </c>
      <c r="B95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95" s="42" t="str">
        <f ca="1">IFERROR(__xludf.DUMMYFUNCTION("""COMPUTED_VALUE"""),"3. Operación")</f>
        <v>3. Operación</v>
      </c>
      <c r="D95" s="42" t="str">
        <f ca="1">IFERROR(__xludf.DUMMYFUNCTION("""COMPUTED_VALUE"""),"Guadalajara en Paz")</f>
        <v>Guadalajara en Paz</v>
      </c>
      <c r="E95" s="42" t="str">
        <f ca="1">IFERROR(__xludf.DUMMYFUNCTION("""COMPUTED_VALUE"""),"Trabajo Social Asistencial")</f>
        <v>Trabajo Social Asistencial</v>
      </c>
      <c r="F95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95" s="42" t="str">
        <f ca="1">IFERROR(__xludf.DUMMYFUNCTION("""COMPUTED_VALUE"""),"Apoyos asistenciales entregados en 2023")</f>
        <v>Apoyos asistenciales entregados en 2023</v>
      </c>
      <c r="H95" s="42" t="str">
        <f ca="1">IFERROR(__xludf.DUMMYFUNCTION("""COMPUTED_VALUE"""),"HOM Diciembre")</f>
        <v>HOM Diciembre</v>
      </c>
      <c r="I95" s="42" t="str">
        <f ca="1">IFERROR(__xludf.DUMMYFUNCTION("""COMPUTED_VALUE"""),"Diciembre")</f>
        <v>Diciembre</v>
      </c>
      <c r="J95" s="42" t="str">
        <f ca="1">IFERROR(__xludf.DUMMYFUNCTION("""COMPUTED_VALUE"""),"HOM")</f>
        <v>HOM</v>
      </c>
      <c r="K95" s="98"/>
      <c r="L95" s="42" t="str">
        <f ca="1">IFERROR(__xludf.DUMMYFUNCTION("""COMPUTED_VALUE"""),"TRIMESTRE 4")</f>
        <v>TRIMESTRE 4</v>
      </c>
      <c r="M95" s="42" t="str">
        <f ca="1">IFERROR(__xludf.DUMMYFUNCTION("""COMPUTED_VALUE"""),"HOMBRES ADULTOS")</f>
        <v>HOMBRES ADULTOS</v>
      </c>
    </row>
    <row r="96" spans="1:13">
      <c r="A96" s="42" t="str">
        <f ca="1">IFERROR(__xludf.DUMMYFUNCTION("""COMPUTED_VALUE"""),"2.1.1.1")</f>
        <v>2.1.1.1</v>
      </c>
      <c r="B96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96" s="42" t="str">
        <f ca="1">IFERROR(__xludf.DUMMYFUNCTION("""COMPUTED_VALUE"""),"3. Operación")</f>
        <v>3. Operación</v>
      </c>
      <c r="D96" s="42" t="str">
        <f ca="1">IFERROR(__xludf.DUMMYFUNCTION("""COMPUTED_VALUE"""),"Guadalajara en Paz")</f>
        <v>Guadalajara en Paz</v>
      </c>
      <c r="E96" s="42" t="str">
        <f ca="1">IFERROR(__xludf.DUMMYFUNCTION("""COMPUTED_VALUE"""),"Trabajo Social Asistencial")</f>
        <v>Trabajo Social Asistencial</v>
      </c>
      <c r="F96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96" s="42" t="str">
        <f ca="1">IFERROR(__xludf.DUMMYFUNCTION("""COMPUTED_VALUE"""),"Apoyos asistenciales entregados en 2023")</f>
        <v>Apoyos asistenciales entregados en 2023</v>
      </c>
      <c r="H96" s="42" t="str">
        <f ca="1">IFERROR(__xludf.DUMMYFUNCTION("""COMPUTED_VALUE"""),"AMM Diciembre")</f>
        <v>AMM Diciembre</v>
      </c>
      <c r="I96" s="42" t="str">
        <f ca="1">IFERROR(__xludf.DUMMYFUNCTION("""COMPUTED_VALUE"""),"Diciembre")</f>
        <v>Diciembre</v>
      </c>
      <c r="J96" s="42" t="str">
        <f ca="1">IFERROR(__xludf.DUMMYFUNCTION("""COMPUTED_VALUE"""),"AMM")</f>
        <v>AMM</v>
      </c>
      <c r="K96" s="98"/>
      <c r="L96" s="42" t="str">
        <f ca="1">IFERROR(__xludf.DUMMYFUNCTION("""COMPUTED_VALUE"""),"TRIMESTRE 4")</f>
        <v>TRIMESTRE 4</v>
      </c>
      <c r="M96" s="42" t="str">
        <f ca="1">IFERROR(__xludf.DUMMYFUNCTION("""COMPUTED_VALUE"""),"ADULTA MAYOR MUJER")</f>
        <v>ADULTA MAYOR MUJER</v>
      </c>
    </row>
    <row r="97" spans="1:13">
      <c r="A97" s="42" t="str">
        <f ca="1">IFERROR(__xludf.DUMMYFUNCTION("""COMPUTED_VALUE"""),"2.1.1.1")</f>
        <v>2.1.1.1</v>
      </c>
      <c r="B97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97" s="42" t="str">
        <f ca="1">IFERROR(__xludf.DUMMYFUNCTION("""COMPUTED_VALUE"""),"3. Operación")</f>
        <v>3. Operación</v>
      </c>
      <c r="D97" s="42" t="str">
        <f ca="1">IFERROR(__xludf.DUMMYFUNCTION("""COMPUTED_VALUE"""),"Guadalajara en Paz")</f>
        <v>Guadalajara en Paz</v>
      </c>
      <c r="E97" s="42" t="str">
        <f ca="1">IFERROR(__xludf.DUMMYFUNCTION("""COMPUTED_VALUE"""),"Trabajo Social Asistencial")</f>
        <v>Trabajo Social Asistencial</v>
      </c>
      <c r="F97" s="42" t="str">
        <f ca="1">IFERROR(__xludf.DUMMYFUNCTION("""COMPUTED_VALUE"""),"A1C1. Apoyos asistenciales entregados a la población vulnerable que radica en la municipalidad de Guadalajara y en tránsito en el programa de Trabajo Social Asistencial")</f>
        <v>A1C1. Apoyos asistenciales entregados a la población vulnerable que radica en la municipalidad de Guadalajara y en tránsito en el programa de Trabajo Social Asistencial</v>
      </c>
      <c r="G97" s="42" t="str">
        <f ca="1">IFERROR(__xludf.DUMMYFUNCTION("""COMPUTED_VALUE"""),"Apoyos asistenciales entregados en 2023")</f>
        <v>Apoyos asistenciales entregados en 2023</v>
      </c>
      <c r="H97" s="42" t="str">
        <f ca="1">IFERROR(__xludf.DUMMYFUNCTION("""COMPUTED_VALUE"""),"AMH Diciembre")</f>
        <v>AMH Diciembre</v>
      </c>
      <c r="I97" s="42" t="str">
        <f ca="1">IFERROR(__xludf.DUMMYFUNCTION("""COMPUTED_VALUE"""),"Diciembre")</f>
        <v>Diciembre</v>
      </c>
      <c r="J97" s="42" t="str">
        <f ca="1">IFERROR(__xludf.DUMMYFUNCTION("""COMPUTED_VALUE"""),"AMH")</f>
        <v>AMH</v>
      </c>
      <c r="K97" s="98"/>
      <c r="L97" s="42" t="str">
        <f ca="1">IFERROR(__xludf.DUMMYFUNCTION("""COMPUTED_VALUE"""),"TRIMESTRE 4")</f>
        <v>TRIMESTRE 4</v>
      </c>
      <c r="M97" s="42" t="str">
        <f ca="1">IFERROR(__xludf.DUMMYFUNCTION("""COMPUTED_VALUE"""),"ADULTO MAYOR HOMBRE")</f>
        <v>ADULTO MAYOR HOMBRE</v>
      </c>
    </row>
    <row r="98" spans="1:13">
      <c r="A98" s="42" t="str">
        <f ca="1">IFERROR(__xludf.DUMMYFUNCTION("""COMPUTED_VALUE"""),"2.1.1.16")</f>
        <v>2.1.1.16</v>
      </c>
      <c r="B98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98" s="42" t="str">
        <f ca="1">IFERROR(__xludf.DUMMYFUNCTION("""COMPUTED_VALUE"""),"3. Operación")</f>
        <v>3. Operación</v>
      </c>
      <c r="D98" s="42" t="str">
        <f ca="1">IFERROR(__xludf.DUMMYFUNCTION("""COMPUTED_VALUE"""),"Guadalajara en Paz")</f>
        <v>Guadalajara en Paz</v>
      </c>
      <c r="E98" s="42" t="str">
        <f ca="1">IFERROR(__xludf.DUMMYFUNCTION("""COMPUTED_VALUE"""),"Educación Preescolar en Centros de Desarrollo Comunitarios")</f>
        <v>Educación Preescolar en Centros de Desarrollo Comunitarios</v>
      </c>
      <c r="F98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98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98" s="42" t="str">
        <f ca="1">IFERROR(__xludf.DUMMYFUNCTION("""COMPUTED_VALUE"""),"NAS enero")</f>
        <v>NAS enero</v>
      </c>
      <c r="I98" s="42" t="str">
        <f ca="1">IFERROR(__xludf.DUMMYFUNCTION("""COMPUTED_VALUE"""),"Enero")</f>
        <v>Enero</v>
      </c>
      <c r="J98" s="42" t="str">
        <f ca="1">IFERROR(__xludf.DUMMYFUNCTION("""COMPUTED_VALUE"""),"NAS")</f>
        <v>NAS</v>
      </c>
      <c r="K98" s="98">
        <f ca="1">IFERROR(__xludf.DUMMYFUNCTION("""COMPUTED_VALUE"""),0)</f>
        <v>0</v>
      </c>
      <c r="L98" s="42" t="str">
        <f ca="1">IFERROR(__xludf.DUMMYFUNCTION("""COMPUTED_VALUE"""),"TRIMESTRE 1")</f>
        <v>TRIMESTRE 1</v>
      </c>
      <c r="M98" s="42" t="str">
        <f ca="1">IFERROR(__xludf.DUMMYFUNCTION("""COMPUTED_VALUE"""),"NIÑAS")</f>
        <v>NIÑAS</v>
      </c>
    </row>
    <row r="99" spans="1:13">
      <c r="A99" s="42" t="str">
        <f ca="1">IFERROR(__xludf.DUMMYFUNCTION("""COMPUTED_VALUE"""),"2.1.1.16")</f>
        <v>2.1.1.16</v>
      </c>
      <c r="B99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99" s="42" t="str">
        <f ca="1">IFERROR(__xludf.DUMMYFUNCTION("""COMPUTED_VALUE"""),"3. Operación")</f>
        <v>3. Operación</v>
      </c>
      <c r="D99" s="42" t="str">
        <f ca="1">IFERROR(__xludf.DUMMYFUNCTION("""COMPUTED_VALUE"""),"Guadalajara en Paz")</f>
        <v>Guadalajara en Paz</v>
      </c>
      <c r="E99" s="42" t="str">
        <f ca="1">IFERROR(__xludf.DUMMYFUNCTION("""COMPUTED_VALUE"""),"Educación Preescolar en Centros de Desarrollo Comunitarios")</f>
        <v>Educación Preescolar en Centros de Desarrollo Comunitarios</v>
      </c>
      <c r="F99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99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99" s="42" t="str">
        <f ca="1">IFERROR(__xludf.DUMMYFUNCTION("""COMPUTED_VALUE"""),"NOS enero")</f>
        <v>NOS enero</v>
      </c>
      <c r="I99" s="42" t="str">
        <f ca="1">IFERROR(__xludf.DUMMYFUNCTION("""COMPUTED_VALUE"""),"Enero")</f>
        <v>Enero</v>
      </c>
      <c r="J99" s="42" t="str">
        <f ca="1">IFERROR(__xludf.DUMMYFUNCTION("""COMPUTED_VALUE"""),"NOS")</f>
        <v>NOS</v>
      </c>
      <c r="K99" s="98">
        <f ca="1">IFERROR(__xludf.DUMMYFUNCTION("""COMPUTED_VALUE"""),0)</f>
        <v>0</v>
      </c>
      <c r="L99" s="42" t="str">
        <f ca="1">IFERROR(__xludf.DUMMYFUNCTION("""COMPUTED_VALUE"""),"TRIMESTRE 1")</f>
        <v>TRIMESTRE 1</v>
      </c>
      <c r="M99" s="42" t="str">
        <f ca="1">IFERROR(__xludf.DUMMYFUNCTION("""COMPUTED_VALUE"""),"NIÑOS")</f>
        <v>NIÑOS</v>
      </c>
    </row>
    <row r="100" spans="1:13">
      <c r="A100" s="42" t="str">
        <f ca="1">IFERROR(__xludf.DUMMYFUNCTION("""COMPUTED_VALUE"""),"2.1.1.16")</f>
        <v>2.1.1.16</v>
      </c>
      <c r="B100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00" s="42" t="str">
        <f ca="1">IFERROR(__xludf.DUMMYFUNCTION("""COMPUTED_VALUE"""),"3. Operación")</f>
        <v>3. Operación</v>
      </c>
      <c r="D100" s="42" t="str">
        <f ca="1">IFERROR(__xludf.DUMMYFUNCTION("""COMPUTED_VALUE"""),"Guadalajara en Paz")</f>
        <v>Guadalajara en Paz</v>
      </c>
      <c r="E100" s="42" t="str">
        <f ca="1">IFERROR(__xludf.DUMMYFUNCTION("""COMPUTED_VALUE"""),"Educación Preescolar en Centros de Desarrollo Comunitarios")</f>
        <v>Educación Preescolar en Centros de Desarrollo Comunitarios</v>
      </c>
      <c r="F100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00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00" s="42" t="str">
        <f ca="1">IFERROR(__xludf.DUMMYFUNCTION("""COMPUTED_VALUE"""),"AM enero")</f>
        <v>AM enero</v>
      </c>
      <c r="I100" s="42" t="str">
        <f ca="1">IFERROR(__xludf.DUMMYFUNCTION("""COMPUTED_VALUE"""),"Enero")</f>
        <v>Enero</v>
      </c>
      <c r="J100" s="42" t="str">
        <f ca="1">IFERROR(__xludf.DUMMYFUNCTION("""COMPUTED_VALUE"""),"AM")</f>
        <v>AM</v>
      </c>
      <c r="K100" s="98"/>
      <c r="L100" s="42" t="str">
        <f ca="1">IFERROR(__xludf.DUMMYFUNCTION("""COMPUTED_VALUE"""),"TRIMESTRE 1")</f>
        <v>TRIMESTRE 1</v>
      </c>
      <c r="M100" s="42" t="str">
        <f ca="1">IFERROR(__xludf.DUMMYFUNCTION("""COMPUTED_VALUE"""),"ADOLESCENTES MUJERES")</f>
        <v>ADOLESCENTES MUJERES</v>
      </c>
    </row>
    <row r="101" spans="1:13">
      <c r="A101" s="42" t="str">
        <f ca="1">IFERROR(__xludf.DUMMYFUNCTION("""COMPUTED_VALUE"""),"2.1.1.16")</f>
        <v>2.1.1.16</v>
      </c>
      <c r="B101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01" s="42" t="str">
        <f ca="1">IFERROR(__xludf.DUMMYFUNCTION("""COMPUTED_VALUE"""),"3. Operación")</f>
        <v>3. Operación</v>
      </c>
      <c r="D101" s="42" t="str">
        <f ca="1">IFERROR(__xludf.DUMMYFUNCTION("""COMPUTED_VALUE"""),"Guadalajara en Paz")</f>
        <v>Guadalajara en Paz</v>
      </c>
      <c r="E101" s="42" t="str">
        <f ca="1">IFERROR(__xludf.DUMMYFUNCTION("""COMPUTED_VALUE"""),"Educación Preescolar en Centros de Desarrollo Comunitarios")</f>
        <v>Educación Preescolar en Centros de Desarrollo Comunitarios</v>
      </c>
      <c r="F101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01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01" s="42" t="str">
        <f ca="1">IFERROR(__xludf.DUMMYFUNCTION("""COMPUTED_VALUE"""),"AH enero")</f>
        <v>AH enero</v>
      </c>
      <c r="I101" s="42" t="str">
        <f ca="1">IFERROR(__xludf.DUMMYFUNCTION("""COMPUTED_VALUE"""),"Enero")</f>
        <v>Enero</v>
      </c>
      <c r="J101" s="42" t="str">
        <f ca="1">IFERROR(__xludf.DUMMYFUNCTION("""COMPUTED_VALUE"""),"AH")</f>
        <v>AH</v>
      </c>
      <c r="K101" s="98"/>
      <c r="L101" s="42" t="str">
        <f ca="1">IFERROR(__xludf.DUMMYFUNCTION("""COMPUTED_VALUE"""),"TRIMESTRE 1")</f>
        <v>TRIMESTRE 1</v>
      </c>
      <c r="M101" s="42" t="str">
        <f ca="1">IFERROR(__xludf.DUMMYFUNCTION("""COMPUTED_VALUE"""),"ADOLESCENTES HOMBRES")</f>
        <v>ADOLESCENTES HOMBRES</v>
      </c>
    </row>
    <row r="102" spans="1:13">
      <c r="A102" s="42" t="str">
        <f ca="1">IFERROR(__xludf.DUMMYFUNCTION("""COMPUTED_VALUE"""),"2.1.1.16")</f>
        <v>2.1.1.16</v>
      </c>
      <c r="B102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02" s="42" t="str">
        <f ca="1">IFERROR(__xludf.DUMMYFUNCTION("""COMPUTED_VALUE"""),"3. Operación")</f>
        <v>3. Operación</v>
      </c>
      <c r="D102" s="42" t="str">
        <f ca="1">IFERROR(__xludf.DUMMYFUNCTION("""COMPUTED_VALUE"""),"Guadalajara en Paz")</f>
        <v>Guadalajara en Paz</v>
      </c>
      <c r="E102" s="42" t="str">
        <f ca="1">IFERROR(__xludf.DUMMYFUNCTION("""COMPUTED_VALUE"""),"Educación Preescolar en Centros de Desarrollo Comunitarios")</f>
        <v>Educación Preescolar en Centros de Desarrollo Comunitarios</v>
      </c>
      <c r="F102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02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02" s="42" t="str">
        <f ca="1">IFERROR(__xludf.DUMMYFUNCTION("""COMPUTED_VALUE"""),"MUJ enero")</f>
        <v>MUJ enero</v>
      </c>
      <c r="I102" s="42" t="str">
        <f ca="1">IFERROR(__xludf.DUMMYFUNCTION("""COMPUTED_VALUE"""),"Enero")</f>
        <v>Enero</v>
      </c>
      <c r="J102" s="42" t="str">
        <f ca="1">IFERROR(__xludf.DUMMYFUNCTION("""COMPUTED_VALUE"""),"MUJ")</f>
        <v>MUJ</v>
      </c>
      <c r="K102" s="98"/>
      <c r="L102" s="42" t="str">
        <f ca="1">IFERROR(__xludf.DUMMYFUNCTION("""COMPUTED_VALUE"""),"TRIMESTRE 1")</f>
        <v>TRIMESTRE 1</v>
      </c>
      <c r="M102" s="42" t="str">
        <f ca="1">IFERROR(__xludf.DUMMYFUNCTION("""COMPUTED_VALUE"""),"MUJERES ADULTAS")</f>
        <v>MUJERES ADULTAS</v>
      </c>
    </row>
    <row r="103" spans="1:13">
      <c r="A103" s="42" t="str">
        <f ca="1">IFERROR(__xludf.DUMMYFUNCTION("""COMPUTED_VALUE"""),"2.1.1.16")</f>
        <v>2.1.1.16</v>
      </c>
      <c r="B103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03" s="42" t="str">
        <f ca="1">IFERROR(__xludf.DUMMYFUNCTION("""COMPUTED_VALUE"""),"3. Operación")</f>
        <v>3. Operación</v>
      </c>
      <c r="D103" s="42" t="str">
        <f ca="1">IFERROR(__xludf.DUMMYFUNCTION("""COMPUTED_VALUE"""),"Guadalajara en Paz")</f>
        <v>Guadalajara en Paz</v>
      </c>
      <c r="E103" s="42" t="str">
        <f ca="1">IFERROR(__xludf.DUMMYFUNCTION("""COMPUTED_VALUE"""),"Educación Preescolar en Centros de Desarrollo Comunitarios")</f>
        <v>Educación Preescolar en Centros de Desarrollo Comunitarios</v>
      </c>
      <c r="F103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03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03" s="42" t="str">
        <f ca="1">IFERROR(__xludf.DUMMYFUNCTION("""COMPUTED_VALUE"""),"HOM enero")</f>
        <v>HOM enero</v>
      </c>
      <c r="I103" s="42" t="str">
        <f ca="1">IFERROR(__xludf.DUMMYFUNCTION("""COMPUTED_VALUE"""),"Enero")</f>
        <v>Enero</v>
      </c>
      <c r="J103" s="42" t="str">
        <f ca="1">IFERROR(__xludf.DUMMYFUNCTION("""COMPUTED_VALUE"""),"HOM")</f>
        <v>HOM</v>
      </c>
      <c r="K103" s="98"/>
      <c r="L103" s="42" t="str">
        <f ca="1">IFERROR(__xludf.DUMMYFUNCTION("""COMPUTED_VALUE"""),"TRIMESTRE 1")</f>
        <v>TRIMESTRE 1</v>
      </c>
      <c r="M103" s="42" t="str">
        <f ca="1">IFERROR(__xludf.DUMMYFUNCTION("""COMPUTED_VALUE"""),"HOMBRES ADULTOS")</f>
        <v>HOMBRES ADULTOS</v>
      </c>
    </row>
    <row r="104" spans="1:13">
      <c r="A104" s="42" t="str">
        <f ca="1">IFERROR(__xludf.DUMMYFUNCTION("""COMPUTED_VALUE"""),"2.1.1.16")</f>
        <v>2.1.1.16</v>
      </c>
      <c r="B104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04" s="42" t="str">
        <f ca="1">IFERROR(__xludf.DUMMYFUNCTION("""COMPUTED_VALUE"""),"3. Operación")</f>
        <v>3. Operación</v>
      </c>
      <c r="D104" s="42" t="str">
        <f ca="1">IFERROR(__xludf.DUMMYFUNCTION("""COMPUTED_VALUE"""),"Guadalajara en Paz")</f>
        <v>Guadalajara en Paz</v>
      </c>
      <c r="E104" s="42" t="str">
        <f ca="1">IFERROR(__xludf.DUMMYFUNCTION("""COMPUTED_VALUE"""),"Educación Preescolar en Centros de Desarrollo Comunitarios")</f>
        <v>Educación Preescolar en Centros de Desarrollo Comunitarios</v>
      </c>
      <c r="F104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04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04" s="42" t="str">
        <f ca="1">IFERROR(__xludf.DUMMYFUNCTION("""COMPUTED_VALUE"""),"AMM enero")</f>
        <v>AMM enero</v>
      </c>
      <c r="I104" s="42" t="str">
        <f ca="1">IFERROR(__xludf.DUMMYFUNCTION("""COMPUTED_VALUE"""),"Enero")</f>
        <v>Enero</v>
      </c>
      <c r="J104" s="42" t="str">
        <f ca="1">IFERROR(__xludf.DUMMYFUNCTION("""COMPUTED_VALUE"""),"AMM")</f>
        <v>AMM</v>
      </c>
      <c r="K104" s="98"/>
      <c r="L104" s="42" t="str">
        <f ca="1">IFERROR(__xludf.DUMMYFUNCTION("""COMPUTED_VALUE"""),"TRIMESTRE 1")</f>
        <v>TRIMESTRE 1</v>
      </c>
      <c r="M104" s="42" t="str">
        <f ca="1">IFERROR(__xludf.DUMMYFUNCTION("""COMPUTED_VALUE"""),"ADULTA MAYOR MUJER")</f>
        <v>ADULTA MAYOR MUJER</v>
      </c>
    </row>
    <row r="105" spans="1:13">
      <c r="A105" s="42" t="str">
        <f ca="1">IFERROR(__xludf.DUMMYFUNCTION("""COMPUTED_VALUE"""),"2.1.1.16")</f>
        <v>2.1.1.16</v>
      </c>
      <c r="B105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05" s="42" t="str">
        <f ca="1">IFERROR(__xludf.DUMMYFUNCTION("""COMPUTED_VALUE"""),"3. Operación")</f>
        <v>3. Operación</v>
      </c>
      <c r="D105" s="42" t="str">
        <f ca="1">IFERROR(__xludf.DUMMYFUNCTION("""COMPUTED_VALUE"""),"Guadalajara en Paz")</f>
        <v>Guadalajara en Paz</v>
      </c>
      <c r="E105" s="42" t="str">
        <f ca="1">IFERROR(__xludf.DUMMYFUNCTION("""COMPUTED_VALUE"""),"Educación Preescolar en Centros de Desarrollo Comunitarios")</f>
        <v>Educación Preescolar en Centros de Desarrollo Comunitarios</v>
      </c>
      <c r="F105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05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05" s="42" t="str">
        <f ca="1">IFERROR(__xludf.DUMMYFUNCTION("""COMPUTED_VALUE"""),"AMH enero")</f>
        <v>AMH enero</v>
      </c>
      <c r="I105" s="42" t="str">
        <f ca="1">IFERROR(__xludf.DUMMYFUNCTION("""COMPUTED_VALUE"""),"Enero")</f>
        <v>Enero</v>
      </c>
      <c r="J105" s="42" t="str">
        <f ca="1">IFERROR(__xludf.DUMMYFUNCTION("""COMPUTED_VALUE"""),"AMH")</f>
        <v>AMH</v>
      </c>
      <c r="K105" s="98"/>
      <c r="L105" s="42" t="str">
        <f ca="1">IFERROR(__xludf.DUMMYFUNCTION("""COMPUTED_VALUE"""),"TRIMESTRE 1")</f>
        <v>TRIMESTRE 1</v>
      </c>
      <c r="M105" s="42" t="str">
        <f ca="1">IFERROR(__xludf.DUMMYFUNCTION("""COMPUTED_VALUE"""),"ADULTO MAYOR HOMBRE")</f>
        <v>ADULTO MAYOR HOMBRE</v>
      </c>
    </row>
    <row r="106" spans="1:13">
      <c r="A106" s="42" t="str">
        <f ca="1">IFERROR(__xludf.DUMMYFUNCTION("""COMPUTED_VALUE"""),"#N/A")</f>
        <v>#N/A</v>
      </c>
      <c r="B106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06" s="42" t="str">
        <f ca="1">IFERROR(__xludf.DUMMYFUNCTION("""COMPUTED_VALUE"""),"3. Operación")</f>
        <v>3. Operación</v>
      </c>
      <c r="D106" s="42" t="str">
        <f ca="1">IFERROR(__xludf.DUMMYFUNCTION("""COMPUTED_VALUE"""),"Guadalajara en Paz")</f>
        <v>Guadalajara en Paz</v>
      </c>
      <c r="E106" s="42" t="str">
        <f ca="1">IFERROR(__xludf.DUMMYFUNCTION("""COMPUTED_VALUE"""),"Educación Preescolar en Centros de Desarrollo Comunitarios")</f>
        <v>Educación Preescolar en Centros de Desarrollo Comunitarios</v>
      </c>
      <c r="F106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106" s="42" t="str">
        <f ca="1">IFERROR(__xludf.DUMMYFUNCTION("""COMPUTED_VALUE"""),"Promedio de niñas y niños que asisten al Preescolar en CDC,en 2023")</f>
        <v>Promedio de niñas y niños que asisten al Preescolar en CDC,en 2023</v>
      </c>
      <c r="H106" s="42" t="str">
        <f ca="1">IFERROR(__xludf.DUMMYFUNCTION("""COMPUTED_VALUE"""),"NAS enero")</f>
        <v>NAS enero</v>
      </c>
      <c r="I106" s="42" t="str">
        <f ca="1">IFERROR(__xludf.DUMMYFUNCTION("""COMPUTED_VALUE"""),"Enero")</f>
        <v>Enero</v>
      </c>
      <c r="J106" s="42" t="str">
        <f ca="1">IFERROR(__xludf.DUMMYFUNCTION("""COMPUTED_VALUE"""),"NAS")</f>
        <v>NAS</v>
      </c>
      <c r="K106" s="98">
        <f ca="1">IFERROR(__xludf.DUMMYFUNCTION("""COMPUTED_VALUE"""),1037)</f>
        <v>1037</v>
      </c>
      <c r="L106" s="42" t="str">
        <f ca="1">IFERROR(__xludf.DUMMYFUNCTION("""COMPUTED_VALUE"""),"TRIMESTRE 1")</f>
        <v>TRIMESTRE 1</v>
      </c>
      <c r="M106" s="42" t="str">
        <f ca="1">IFERROR(__xludf.DUMMYFUNCTION("""COMPUTED_VALUE"""),"NIÑAS")</f>
        <v>NIÑAS</v>
      </c>
    </row>
    <row r="107" spans="1:13">
      <c r="A107" s="42" t="str">
        <f ca="1">IFERROR(__xludf.DUMMYFUNCTION("""COMPUTED_VALUE"""),"#N/A")</f>
        <v>#N/A</v>
      </c>
      <c r="B107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07" s="42" t="str">
        <f ca="1">IFERROR(__xludf.DUMMYFUNCTION("""COMPUTED_VALUE"""),"3. Operación")</f>
        <v>3. Operación</v>
      </c>
      <c r="D107" s="42" t="str">
        <f ca="1">IFERROR(__xludf.DUMMYFUNCTION("""COMPUTED_VALUE"""),"Guadalajara en Paz")</f>
        <v>Guadalajara en Paz</v>
      </c>
      <c r="E107" s="42" t="str">
        <f ca="1">IFERROR(__xludf.DUMMYFUNCTION("""COMPUTED_VALUE"""),"Educación Preescolar en Centros de Desarrollo Comunitarios")</f>
        <v>Educación Preescolar en Centros de Desarrollo Comunitarios</v>
      </c>
      <c r="F107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107" s="42" t="str">
        <f ca="1">IFERROR(__xludf.DUMMYFUNCTION("""COMPUTED_VALUE"""),"Promedio de niñas y niños que asisten al Preescolar en CDC,en 2023")</f>
        <v>Promedio de niñas y niños que asisten al Preescolar en CDC,en 2023</v>
      </c>
      <c r="H107" s="42" t="str">
        <f ca="1">IFERROR(__xludf.DUMMYFUNCTION("""COMPUTED_VALUE"""),"NOS enero")</f>
        <v>NOS enero</v>
      </c>
      <c r="I107" s="42" t="str">
        <f ca="1">IFERROR(__xludf.DUMMYFUNCTION("""COMPUTED_VALUE"""),"Enero")</f>
        <v>Enero</v>
      </c>
      <c r="J107" s="42" t="str">
        <f ca="1">IFERROR(__xludf.DUMMYFUNCTION("""COMPUTED_VALUE"""),"NOS")</f>
        <v>NOS</v>
      </c>
      <c r="K107" s="98">
        <f ca="1">IFERROR(__xludf.DUMMYFUNCTION("""COMPUTED_VALUE"""),1083)</f>
        <v>1083</v>
      </c>
      <c r="L107" s="42" t="str">
        <f ca="1">IFERROR(__xludf.DUMMYFUNCTION("""COMPUTED_VALUE"""),"TRIMESTRE 1")</f>
        <v>TRIMESTRE 1</v>
      </c>
      <c r="M107" s="42" t="str">
        <f ca="1">IFERROR(__xludf.DUMMYFUNCTION("""COMPUTED_VALUE"""),"NIÑOS")</f>
        <v>NIÑOS</v>
      </c>
    </row>
    <row r="108" spans="1:13">
      <c r="A108" s="42" t="str">
        <f ca="1">IFERROR(__xludf.DUMMYFUNCTION("""COMPUTED_VALUE"""),"#N/A")</f>
        <v>#N/A</v>
      </c>
      <c r="B108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08" s="42" t="str">
        <f ca="1">IFERROR(__xludf.DUMMYFUNCTION("""COMPUTED_VALUE"""),"3. Operación")</f>
        <v>3. Operación</v>
      </c>
      <c r="D108" s="42" t="str">
        <f ca="1">IFERROR(__xludf.DUMMYFUNCTION("""COMPUTED_VALUE"""),"Guadalajara en Paz")</f>
        <v>Guadalajara en Paz</v>
      </c>
      <c r="E108" s="42" t="str">
        <f ca="1">IFERROR(__xludf.DUMMYFUNCTION("""COMPUTED_VALUE"""),"Educación Preescolar en Centros de Desarrollo Comunitarios")</f>
        <v>Educación Preescolar en Centros de Desarrollo Comunitarios</v>
      </c>
      <c r="F108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108" s="42" t="str">
        <f ca="1">IFERROR(__xludf.DUMMYFUNCTION("""COMPUTED_VALUE"""),"Promedio de niñas y niños que asisten al Preescolar en CDC,en 2023")</f>
        <v>Promedio de niñas y niños que asisten al Preescolar en CDC,en 2023</v>
      </c>
      <c r="H108" s="42" t="str">
        <f ca="1">IFERROR(__xludf.DUMMYFUNCTION("""COMPUTED_VALUE"""),"AM enero")</f>
        <v>AM enero</v>
      </c>
      <c r="I108" s="42" t="str">
        <f ca="1">IFERROR(__xludf.DUMMYFUNCTION("""COMPUTED_VALUE"""),"Enero")</f>
        <v>Enero</v>
      </c>
      <c r="J108" s="42" t="str">
        <f ca="1">IFERROR(__xludf.DUMMYFUNCTION("""COMPUTED_VALUE"""),"AM")</f>
        <v>AM</v>
      </c>
      <c r="K108" s="98"/>
      <c r="L108" s="42" t="str">
        <f ca="1">IFERROR(__xludf.DUMMYFUNCTION("""COMPUTED_VALUE"""),"TRIMESTRE 1")</f>
        <v>TRIMESTRE 1</v>
      </c>
      <c r="M108" s="42" t="str">
        <f ca="1">IFERROR(__xludf.DUMMYFUNCTION("""COMPUTED_VALUE"""),"ADOLESCENTES MUJERES")</f>
        <v>ADOLESCENTES MUJERES</v>
      </c>
    </row>
    <row r="109" spans="1:13">
      <c r="A109" s="42" t="str">
        <f ca="1">IFERROR(__xludf.DUMMYFUNCTION("""COMPUTED_VALUE"""),"#N/A")</f>
        <v>#N/A</v>
      </c>
      <c r="B109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09" s="42" t="str">
        <f ca="1">IFERROR(__xludf.DUMMYFUNCTION("""COMPUTED_VALUE"""),"3. Operación")</f>
        <v>3. Operación</v>
      </c>
      <c r="D109" s="42" t="str">
        <f ca="1">IFERROR(__xludf.DUMMYFUNCTION("""COMPUTED_VALUE"""),"Guadalajara en Paz")</f>
        <v>Guadalajara en Paz</v>
      </c>
      <c r="E109" s="42" t="str">
        <f ca="1">IFERROR(__xludf.DUMMYFUNCTION("""COMPUTED_VALUE"""),"Educación Preescolar en Centros de Desarrollo Comunitarios")</f>
        <v>Educación Preescolar en Centros de Desarrollo Comunitarios</v>
      </c>
      <c r="F109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109" s="42" t="str">
        <f ca="1">IFERROR(__xludf.DUMMYFUNCTION("""COMPUTED_VALUE"""),"Promedio de niñas y niños que asisten al Preescolar en CDC,en 2023")</f>
        <v>Promedio de niñas y niños que asisten al Preescolar en CDC,en 2023</v>
      </c>
      <c r="H109" s="42" t="str">
        <f ca="1">IFERROR(__xludf.DUMMYFUNCTION("""COMPUTED_VALUE"""),"AH enero")</f>
        <v>AH enero</v>
      </c>
      <c r="I109" s="42" t="str">
        <f ca="1">IFERROR(__xludf.DUMMYFUNCTION("""COMPUTED_VALUE"""),"Enero")</f>
        <v>Enero</v>
      </c>
      <c r="J109" s="42" t="str">
        <f ca="1">IFERROR(__xludf.DUMMYFUNCTION("""COMPUTED_VALUE"""),"AH")</f>
        <v>AH</v>
      </c>
      <c r="K109" s="98"/>
      <c r="L109" s="42" t="str">
        <f ca="1">IFERROR(__xludf.DUMMYFUNCTION("""COMPUTED_VALUE"""),"TRIMESTRE 1")</f>
        <v>TRIMESTRE 1</v>
      </c>
      <c r="M109" s="42" t="str">
        <f ca="1">IFERROR(__xludf.DUMMYFUNCTION("""COMPUTED_VALUE"""),"ADOLESCENTES HOMBRES")</f>
        <v>ADOLESCENTES HOMBRES</v>
      </c>
    </row>
    <row r="110" spans="1:13">
      <c r="A110" s="42" t="str">
        <f ca="1">IFERROR(__xludf.DUMMYFUNCTION("""COMPUTED_VALUE"""),"#N/A")</f>
        <v>#N/A</v>
      </c>
      <c r="B110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10" s="42" t="str">
        <f ca="1">IFERROR(__xludf.DUMMYFUNCTION("""COMPUTED_VALUE"""),"3. Operación")</f>
        <v>3. Operación</v>
      </c>
      <c r="D110" s="42" t="str">
        <f ca="1">IFERROR(__xludf.DUMMYFUNCTION("""COMPUTED_VALUE"""),"Guadalajara en Paz")</f>
        <v>Guadalajara en Paz</v>
      </c>
      <c r="E110" s="42" t="str">
        <f ca="1">IFERROR(__xludf.DUMMYFUNCTION("""COMPUTED_VALUE"""),"Educación Preescolar en Centros de Desarrollo Comunitarios")</f>
        <v>Educación Preescolar en Centros de Desarrollo Comunitarios</v>
      </c>
      <c r="F110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110" s="42" t="str">
        <f ca="1">IFERROR(__xludf.DUMMYFUNCTION("""COMPUTED_VALUE"""),"Promedio de niñas y niños que asisten al Preescolar en CDC,en 2023")</f>
        <v>Promedio de niñas y niños que asisten al Preescolar en CDC,en 2023</v>
      </c>
      <c r="H110" s="42" t="str">
        <f ca="1">IFERROR(__xludf.DUMMYFUNCTION("""COMPUTED_VALUE"""),"MUJ enero")</f>
        <v>MUJ enero</v>
      </c>
      <c r="I110" s="42" t="str">
        <f ca="1">IFERROR(__xludf.DUMMYFUNCTION("""COMPUTED_VALUE"""),"Enero")</f>
        <v>Enero</v>
      </c>
      <c r="J110" s="42" t="str">
        <f ca="1">IFERROR(__xludf.DUMMYFUNCTION("""COMPUTED_VALUE"""),"MUJ")</f>
        <v>MUJ</v>
      </c>
      <c r="K110" s="98"/>
      <c r="L110" s="42" t="str">
        <f ca="1">IFERROR(__xludf.DUMMYFUNCTION("""COMPUTED_VALUE"""),"TRIMESTRE 1")</f>
        <v>TRIMESTRE 1</v>
      </c>
      <c r="M110" s="42" t="str">
        <f ca="1">IFERROR(__xludf.DUMMYFUNCTION("""COMPUTED_VALUE"""),"MUJERES ADULTAS")</f>
        <v>MUJERES ADULTAS</v>
      </c>
    </row>
    <row r="111" spans="1:13">
      <c r="A111" s="42" t="str">
        <f ca="1">IFERROR(__xludf.DUMMYFUNCTION("""COMPUTED_VALUE"""),"#N/A")</f>
        <v>#N/A</v>
      </c>
      <c r="B111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11" s="42" t="str">
        <f ca="1">IFERROR(__xludf.DUMMYFUNCTION("""COMPUTED_VALUE"""),"3. Operación")</f>
        <v>3. Operación</v>
      </c>
      <c r="D111" s="42" t="str">
        <f ca="1">IFERROR(__xludf.DUMMYFUNCTION("""COMPUTED_VALUE"""),"Guadalajara en Paz")</f>
        <v>Guadalajara en Paz</v>
      </c>
      <c r="E111" s="42" t="str">
        <f ca="1">IFERROR(__xludf.DUMMYFUNCTION("""COMPUTED_VALUE"""),"Educación Preescolar en Centros de Desarrollo Comunitarios")</f>
        <v>Educación Preescolar en Centros de Desarrollo Comunitarios</v>
      </c>
      <c r="F111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111" s="42" t="str">
        <f ca="1">IFERROR(__xludf.DUMMYFUNCTION("""COMPUTED_VALUE"""),"Promedio de niñas y niños que asisten al Preescolar en CDC,en 2023")</f>
        <v>Promedio de niñas y niños que asisten al Preescolar en CDC,en 2023</v>
      </c>
      <c r="H111" s="42" t="str">
        <f ca="1">IFERROR(__xludf.DUMMYFUNCTION("""COMPUTED_VALUE"""),"HOM enero")</f>
        <v>HOM enero</v>
      </c>
      <c r="I111" s="42" t="str">
        <f ca="1">IFERROR(__xludf.DUMMYFUNCTION("""COMPUTED_VALUE"""),"Enero")</f>
        <v>Enero</v>
      </c>
      <c r="J111" s="42" t="str">
        <f ca="1">IFERROR(__xludf.DUMMYFUNCTION("""COMPUTED_VALUE"""),"HOM")</f>
        <v>HOM</v>
      </c>
      <c r="K111" s="98"/>
      <c r="L111" s="42" t="str">
        <f ca="1">IFERROR(__xludf.DUMMYFUNCTION("""COMPUTED_VALUE"""),"TRIMESTRE 1")</f>
        <v>TRIMESTRE 1</v>
      </c>
      <c r="M111" s="42" t="str">
        <f ca="1">IFERROR(__xludf.DUMMYFUNCTION("""COMPUTED_VALUE"""),"HOMBRES ADULTOS")</f>
        <v>HOMBRES ADULTOS</v>
      </c>
    </row>
    <row r="112" spans="1:13">
      <c r="A112" s="42" t="str">
        <f ca="1">IFERROR(__xludf.DUMMYFUNCTION("""COMPUTED_VALUE"""),"#N/A")</f>
        <v>#N/A</v>
      </c>
      <c r="B112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12" s="42" t="str">
        <f ca="1">IFERROR(__xludf.DUMMYFUNCTION("""COMPUTED_VALUE"""),"3. Operación")</f>
        <v>3. Operación</v>
      </c>
      <c r="D112" s="42" t="str">
        <f ca="1">IFERROR(__xludf.DUMMYFUNCTION("""COMPUTED_VALUE"""),"Guadalajara en Paz")</f>
        <v>Guadalajara en Paz</v>
      </c>
      <c r="E112" s="42" t="str">
        <f ca="1">IFERROR(__xludf.DUMMYFUNCTION("""COMPUTED_VALUE"""),"Educación Preescolar en Centros de Desarrollo Comunitarios")</f>
        <v>Educación Preescolar en Centros de Desarrollo Comunitarios</v>
      </c>
      <c r="F112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112" s="42" t="str">
        <f ca="1">IFERROR(__xludf.DUMMYFUNCTION("""COMPUTED_VALUE"""),"Promedio de niñas y niños que asisten al Preescolar en CDC,en 2023")</f>
        <v>Promedio de niñas y niños que asisten al Preescolar en CDC,en 2023</v>
      </c>
      <c r="H112" s="42" t="str">
        <f ca="1">IFERROR(__xludf.DUMMYFUNCTION("""COMPUTED_VALUE"""),"AMM enero")</f>
        <v>AMM enero</v>
      </c>
      <c r="I112" s="42" t="str">
        <f ca="1">IFERROR(__xludf.DUMMYFUNCTION("""COMPUTED_VALUE"""),"Enero")</f>
        <v>Enero</v>
      </c>
      <c r="J112" s="42" t="str">
        <f ca="1">IFERROR(__xludf.DUMMYFUNCTION("""COMPUTED_VALUE"""),"AMM")</f>
        <v>AMM</v>
      </c>
      <c r="K112" s="98"/>
      <c r="L112" s="42" t="str">
        <f ca="1">IFERROR(__xludf.DUMMYFUNCTION("""COMPUTED_VALUE"""),"TRIMESTRE 1")</f>
        <v>TRIMESTRE 1</v>
      </c>
      <c r="M112" s="42" t="str">
        <f ca="1">IFERROR(__xludf.DUMMYFUNCTION("""COMPUTED_VALUE"""),"ADULTA MAYOR MUJER")</f>
        <v>ADULTA MAYOR MUJER</v>
      </c>
    </row>
    <row r="113" spans="1:13">
      <c r="A113" s="42" t="str">
        <f ca="1">IFERROR(__xludf.DUMMYFUNCTION("""COMPUTED_VALUE"""),"#N/A")</f>
        <v>#N/A</v>
      </c>
      <c r="B113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13" s="42" t="str">
        <f ca="1">IFERROR(__xludf.DUMMYFUNCTION("""COMPUTED_VALUE"""),"3. Operación")</f>
        <v>3. Operación</v>
      </c>
      <c r="D113" s="42" t="str">
        <f ca="1">IFERROR(__xludf.DUMMYFUNCTION("""COMPUTED_VALUE"""),"Guadalajara en Paz")</f>
        <v>Guadalajara en Paz</v>
      </c>
      <c r="E113" s="42" t="str">
        <f ca="1">IFERROR(__xludf.DUMMYFUNCTION("""COMPUTED_VALUE"""),"Educación Preescolar en Centros de Desarrollo Comunitarios")</f>
        <v>Educación Preescolar en Centros de Desarrollo Comunitarios</v>
      </c>
      <c r="F113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113" s="42" t="str">
        <f ca="1">IFERROR(__xludf.DUMMYFUNCTION("""COMPUTED_VALUE"""),"Promedio de niñas y niños que asisten al Preescolar en CDC,en 2023")</f>
        <v>Promedio de niñas y niños que asisten al Preescolar en CDC,en 2023</v>
      </c>
      <c r="H113" s="42" t="str">
        <f ca="1">IFERROR(__xludf.DUMMYFUNCTION("""COMPUTED_VALUE"""),"AMH enero")</f>
        <v>AMH enero</v>
      </c>
      <c r="I113" s="42" t="str">
        <f ca="1">IFERROR(__xludf.DUMMYFUNCTION("""COMPUTED_VALUE"""),"Enero")</f>
        <v>Enero</v>
      </c>
      <c r="J113" s="42" t="str">
        <f ca="1">IFERROR(__xludf.DUMMYFUNCTION("""COMPUTED_VALUE"""),"AMH")</f>
        <v>AMH</v>
      </c>
      <c r="K113" s="98"/>
      <c r="L113" s="42" t="str">
        <f ca="1">IFERROR(__xludf.DUMMYFUNCTION("""COMPUTED_VALUE"""),"TRIMESTRE 1")</f>
        <v>TRIMESTRE 1</v>
      </c>
      <c r="M113" s="42" t="str">
        <f ca="1">IFERROR(__xludf.DUMMYFUNCTION("""COMPUTED_VALUE"""),"ADULTO MAYOR HOMBRE")</f>
        <v>ADULTO MAYOR HOMBRE</v>
      </c>
    </row>
    <row r="114" spans="1:13">
      <c r="A114" s="42" t="str">
        <f ca="1">IFERROR(__xludf.DUMMYFUNCTION("""COMPUTED_VALUE"""),"2.1.1.16")</f>
        <v>2.1.1.16</v>
      </c>
      <c r="B114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14" s="42" t="str">
        <f ca="1">IFERROR(__xludf.DUMMYFUNCTION("""COMPUTED_VALUE"""),"3. Operación")</f>
        <v>3. Operación</v>
      </c>
      <c r="D114" s="42" t="str">
        <f ca="1">IFERROR(__xludf.DUMMYFUNCTION("""COMPUTED_VALUE"""),"Guadalajara en Paz")</f>
        <v>Guadalajara en Paz</v>
      </c>
      <c r="E114" s="42" t="str">
        <f ca="1">IFERROR(__xludf.DUMMYFUNCTION("""COMPUTED_VALUE"""),"Educación Preescolar en Centros de Desarrollo Comunitarios")</f>
        <v>Educación Preescolar en Centros de Desarrollo Comunitarios</v>
      </c>
      <c r="F114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14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14" s="42" t="str">
        <f ca="1">IFERROR(__xludf.DUMMYFUNCTION("""COMPUTED_VALUE"""),"NAS Febrero")</f>
        <v>NAS Febrero</v>
      </c>
      <c r="I114" s="42" t="str">
        <f ca="1">IFERROR(__xludf.DUMMYFUNCTION("""COMPUTED_VALUE"""),"Febrero")</f>
        <v>Febrero</v>
      </c>
      <c r="J114" s="42" t="str">
        <f ca="1">IFERROR(__xludf.DUMMYFUNCTION("""COMPUTED_VALUE"""),"NAS")</f>
        <v>NAS</v>
      </c>
      <c r="K114" s="98">
        <f ca="1">IFERROR(__xludf.DUMMYFUNCTION("""COMPUTED_VALUE"""),0)</f>
        <v>0</v>
      </c>
      <c r="L114" s="42" t="str">
        <f ca="1">IFERROR(__xludf.DUMMYFUNCTION("""COMPUTED_VALUE"""),"TRIMESTRE 1")</f>
        <v>TRIMESTRE 1</v>
      </c>
      <c r="M114" s="42" t="str">
        <f ca="1">IFERROR(__xludf.DUMMYFUNCTION("""COMPUTED_VALUE"""),"NIÑAS")</f>
        <v>NIÑAS</v>
      </c>
    </row>
    <row r="115" spans="1:13">
      <c r="A115" s="42" t="str">
        <f ca="1">IFERROR(__xludf.DUMMYFUNCTION("""COMPUTED_VALUE"""),"2.1.1.16")</f>
        <v>2.1.1.16</v>
      </c>
      <c r="B115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15" s="42" t="str">
        <f ca="1">IFERROR(__xludf.DUMMYFUNCTION("""COMPUTED_VALUE"""),"3. Operación")</f>
        <v>3. Operación</v>
      </c>
      <c r="D115" s="42" t="str">
        <f ca="1">IFERROR(__xludf.DUMMYFUNCTION("""COMPUTED_VALUE"""),"Guadalajara en Paz")</f>
        <v>Guadalajara en Paz</v>
      </c>
      <c r="E115" s="42" t="str">
        <f ca="1">IFERROR(__xludf.DUMMYFUNCTION("""COMPUTED_VALUE"""),"Educación Preescolar en Centros de Desarrollo Comunitarios")</f>
        <v>Educación Preescolar en Centros de Desarrollo Comunitarios</v>
      </c>
      <c r="F115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15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15" s="42" t="str">
        <f ca="1">IFERROR(__xludf.DUMMYFUNCTION("""COMPUTED_VALUE"""),"NOS Febrero")</f>
        <v>NOS Febrero</v>
      </c>
      <c r="I115" s="42" t="str">
        <f ca="1">IFERROR(__xludf.DUMMYFUNCTION("""COMPUTED_VALUE"""),"Febrero")</f>
        <v>Febrero</v>
      </c>
      <c r="J115" s="42" t="str">
        <f ca="1">IFERROR(__xludf.DUMMYFUNCTION("""COMPUTED_VALUE"""),"NOS")</f>
        <v>NOS</v>
      </c>
      <c r="K115" s="98">
        <f ca="1">IFERROR(__xludf.DUMMYFUNCTION("""COMPUTED_VALUE"""),0)</f>
        <v>0</v>
      </c>
      <c r="L115" s="42" t="str">
        <f ca="1">IFERROR(__xludf.DUMMYFUNCTION("""COMPUTED_VALUE"""),"TRIMESTRE 1")</f>
        <v>TRIMESTRE 1</v>
      </c>
      <c r="M115" s="42" t="str">
        <f ca="1">IFERROR(__xludf.DUMMYFUNCTION("""COMPUTED_VALUE"""),"NIÑOS")</f>
        <v>NIÑOS</v>
      </c>
    </row>
    <row r="116" spans="1:13">
      <c r="A116" s="42" t="str">
        <f ca="1">IFERROR(__xludf.DUMMYFUNCTION("""COMPUTED_VALUE"""),"2.1.1.16")</f>
        <v>2.1.1.16</v>
      </c>
      <c r="B116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16" s="42" t="str">
        <f ca="1">IFERROR(__xludf.DUMMYFUNCTION("""COMPUTED_VALUE"""),"3. Operación")</f>
        <v>3. Operación</v>
      </c>
      <c r="D116" s="42" t="str">
        <f ca="1">IFERROR(__xludf.DUMMYFUNCTION("""COMPUTED_VALUE"""),"Guadalajara en Paz")</f>
        <v>Guadalajara en Paz</v>
      </c>
      <c r="E116" s="42" t="str">
        <f ca="1">IFERROR(__xludf.DUMMYFUNCTION("""COMPUTED_VALUE"""),"Educación Preescolar en Centros de Desarrollo Comunitarios")</f>
        <v>Educación Preescolar en Centros de Desarrollo Comunitarios</v>
      </c>
      <c r="F116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16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16" s="42" t="str">
        <f ca="1">IFERROR(__xludf.DUMMYFUNCTION("""COMPUTED_VALUE"""),"AM FEBRERO")</f>
        <v>AM FEBRERO</v>
      </c>
      <c r="I116" s="42" t="str">
        <f ca="1">IFERROR(__xludf.DUMMYFUNCTION("""COMPUTED_VALUE"""),"Febrero")</f>
        <v>Febrero</v>
      </c>
      <c r="J116" s="42" t="str">
        <f ca="1">IFERROR(__xludf.DUMMYFUNCTION("""COMPUTED_VALUE"""),"AM")</f>
        <v>AM</v>
      </c>
      <c r="K116" s="98"/>
      <c r="L116" s="42" t="str">
        <f ca="1">IFERROR(__xludf.DUMMYFUNCTION("""COMPUTED_VALUE"""),"TRIMESTRE 1")</f>
        <v>TRIMESTRE 1</v>
      </c>
      <c r="M116" s="42" t="str">
        <f ca="1">IFERROR(__xludf.DUMMYFUNCTION("""COMPUTED_VALUE"""),"ADOLESCENTES MUJERES")</f>
        <v>ADOLESCENTES MUJERES</v>
      </c>
    </row>
    <row r="117" spans="1:13">
      <c r="A117" s="42" t="str">
        <f ca="1">IFERROR(__xludf.DUMMYFUNCTION("""COMPUTED_VALUE"""),"2.1.1.16")</f>
        <v>2.1.1.16</v>
      </c>
      <c r="B117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17" s="42" t="str">
        <f ca="1">IFERROR(__xludf.DUMMYFUNCTION("""COMPUTED_VALUE"""),"3. Operación")</f>
        <v>3. Operación</v>
      </c>
      <c r="D117" s="42" t="str">
        <f ca="1">IFERROR(__xludf.DUMMYFUNCTION("""COMPUTED_VALUE"""),"Guadalajara en Paz")</f>
        <v>Guadalajara en Paz</v>
      </c>
      <c r="E117" s="42" t="str">
        <f ca="1">IFERROR(__xludf.DUMMYFUNCTION("""COMPUTED_VALUE"""),"Educación Preescolar en Centros de Desarrollo Comunitarios")</f>
        <v>Educación Preescolar en Centros de Desarrollo Comunitarios</v>
      </c>
      <c r="F117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17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17" s="42" t="str">
        <f ca="1">IFERROR(__xludf.DUMMYFUNCTION("""COMPUTED_VALUE"""),"AH FEBRERO")</f>
        <v>AH FEBRERO</v>
      </c>
      <c r="I117" s="42" t="str">
        <f ca="1">IFERROR(__xludf.DUMMYFUNCTION("""COMPUTED_VALUE"""),"Febrero")</f>
        <v>Febrero</v>
      </c>
      <c r="J117" s="42" t="str">
        <f ca="1">IFERROR(__xludf.DUMMYFUNCTION("""COMPUTED_VALUE"""),"AH")</f>
        <v>AH</v>
      </c>
      <c r="K117" s="98"/>
      <c r="L117" s="42" t="str">
        <f ca="1">IFERROR(__xludf.DUMMYFUNCTION("""COMPUTED_VALUE"""),"TRIMESTRE 1")</f>
        <v>TRIMESTRE 1</v>
      </c>
      <c r="M117" s="42" t="str">
        <f ca="1">IFERROR(__xludf.DUMMYFUNCTION("""COMPUTED_VALUE"""),"ADOLESCENTES HOMBRES")</f>
        <v>ADOLESCENTES HOMBRES</v>
      </c>
    </row>
    <row r="118" spans="1:13">
      <c r="A118" s="42" t="str">
        <f ca="1">IFERROR(__xludf.DUMMYFUNCTION("""COMPUTED_VALUE"""),"2.1.1.16")</f>
        <v>2.1.1.16</v>
      </c>
      <c r="B118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18" s="42" t="str">
        <f ca="1">IFERROR(__xludf.DUMMYFUNCTION("""COMPUTED_VALUE"""),"3. Operación")</f>
        <v>3. Operación</v>
      </c>
      <c r="D118" s="42" t="str">
        <f ca="1">IFERROR(__xludf.DUMMYFUNCTION("""COMPUTED_VALUE"""),"Guadalajara en Paz")</f>
        <v>Guadalajara en Paz</v>
      </c>
      <c r="E118" s="42" t="str">
        <f ca="1">IFERROR(__xludf.DUMMYFUNCTION("""COMPUTED_VALUE"""),"Educación Preescolar en Centros de Desarrollo Comunitarios")</f>
        <v>Educación Preescolar en Centros de Desarrollo Comunitarios</v>
      </c>
      <c r="F118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18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18" s="42" t="str">
        <f ca="1">IFERROR(__xludf.DUMMYFUNCTION("""COMPUTED_VALUE"""),"MUJ Febrero")</f>
        <v>MUJ Febrero</v>
      </c>
      <c r="I118" s="42" t="str">
        <f ca="1">IFERROR(__xludf.DUMMYFUNCTION("""COMPUTED_VALUE"""),"Febrero")</f>
        <v>Febrero</v>
      </c>
      <c r="J118" s="42" t="str">
        <f ca="1">IFERROR(__xludf.DUMMYFUNCTION("""COMPUTED_VALUE"""),"MUJ")</f>
        <v>MUJ</v>
      </c>
      <c r="K118" s="98"/>
      <c r="L118" s="42" t="str">
        <f ca="1">IFERROR(__xludf.DUMMYFUNCTION("""COMPUTED_VALUE"""),"TRIMESTRE 1")</f>
        <v>TRIMESTRE 1</v>
      </c>
      <c r="M118" s="42" t="str">
        <f ca="1">IFERROR(__xludf.DUMMYFUNCTION("""COMPUTED_VALUE"""),"MUJERES ADULTAS")</f>
        <v>MUJERES ADULTAS</v>
      </c>
    </row>
    <row r="119" spans="1:13">
      <c r="A119" s="42" t="str">
        <f ca="1">IFERROR(__xludf.DUMMYFUNCTION("""COMPUTED_VALUE"""),"2.1.1.16")</f>
        <v>2.1.1.16</v>
      </c>
      <c r="B119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19" s="42" t="str">
        <f ca="1">IFERROR(__xludf.DUMMYFUNCTION("""COMPUTED_VALUE"""),"3. Operación")</f>
        <v>3. Operación</v>
      </c>
      <c r="D119" s="42" t="str">
        <f ca="1">IFERROR(__xludf.DUMMYFUNCTION("""COMPUTED_VALUE"""),"Guadalajara en Paz")</f>
        <v>Guadalajara en Paz</v>
      </c>
      <c r="E119" s="42" t="str">
        <f ca="1">IFERROR(__xludf.DUMMYFUNCTION("""COMPUTED_VALUE"""),"Educación Preescolar en Centros de Desarrollo Comunitarios")</f>
        <v>Educación Preescolar en Centros de Desarrollo Comunitarios</v>
      </c>
      <c r="F119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19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19" s="42" t="str">
        <f ca="1">IFERROR(__xludf.DUMMYFUNCTION("""COMPUTED_VALUE"""),"HOM Febrero")</f>
        <v>HOM Febrero</v>
      </c>
      <c r="I119" s="42" t="str">
        <f ca="1">IFERROR(__xludf.DUMMYFUNCTION("""COMPUTED_VALUE"""),"Febrero")</f>
        <v>Febrero</v>
      </c>
      <c r="J119" s="42" t="str">
        <f ca="1">IFERROR(__xludf.DUMMYFUNCTION("""COMPUTED_VALUE"""),"HOM")</f>
        <v>HOM</v>
      </c>
      <c r="K119" s="98"/>
      <c r="L119" s="42" t="str">
        <f ca="1">IFERROR(__xludf.DUMMYFUNCTION("""COMPUTED_VALUE"""),"TRIMESTRE 1")</f>
        <v>TRIMESTRE 1</v>
      </c>
      <c r="M119" s="42" t="str">
        <f ca="1">IFERROR(__xludf.DUMMYFUNCTION("""COMPUTED_VALUE"""),"HOMBRES ADULTOS")</f>
        <v>HOMBRES ADULTOS</v>
      </c>
    </row>
    <row r="120" spans="1:13">
      <c r="A120" s="42" t="str">
        <f ca="1">IFERROR(__xludf.DUMMYFUNCTION("""COMPUTED_VALUE"""),"2.1.1.16")</f>
        <v>2.1.1.16</v>
      </c>
      <c r="B120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20" s="42" t="str">
        <f ca="1">IFERROR(__xludf.DUMMYFUNCTION("""COMPUTED_VALUE"""),"3. Operación")</f>
        <v>3. Operación</v>
      </c>
      <c r="D120" s="42" t="str">
        <f ca="1">IFERROR(__xludf.DUMMYFUNCTION("""COMPUTED_VALUE"""),"Guadalajara en Paz")</f>
        <v>Guadalajara en Paz</v>
      </c>
      <c r="E120" s="42" t="str">
        <f ca="1">IFERROR(__xludf.DUMMYFUNCTION("""COMPUTED_VALUE"""),"Educación Preescolar en Centros de Desarrollo Comunitarios")</f>
        <v>Educación Preescolar en Centros de Desarrollo Comunitarios</v>
      </c>
      <c r="F120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20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20" s="42" t="str">
        <f ca="1">IFERROR(__xludf.DUMMYFUNCTION("""COMPUTED_VALUE"""),"AMM Febrero")</f>
        <v>AMM Febrero</v>
      </c>
      <c r="I120" s="42" t="str">
        <f ca="1">IFERROR(__xludf.DUMMYFUNCTION("""COMPUTED_VALUE"""),"Febrero")</f>
        <v>Febrero</v>
      </c>
      <c r="J120" s="42" t="str">
        <f ca="1">IFERROR(__xludf.DUMMYFUNCTION("""COMPUTED_VALUE"""),"AMM")</f>
        <v>AMM</v>
      </c>
      <c r="K120" s="98"/>
      <c r="L120" s="42" t="str">
        <f ca="1">IFERROR(__xludf.DUMMYFUNCTION("""COMPUTED_VALUE"""),"TRIMESTRE 1")</f>
        <v>TRIMESTRE 1</v>
      </c>
      <c r="M120" s="42" t="str">
        <f ca="1">IFERROR(__xludf.DUMMYFUNCTION("""COMPUTED_VALUE"""),"ADULTA MAYOR MUJER")</f>
        <v>ADULTA MAYOR MUJER</v>
      </c>
    </row>
    <row r="121" spans="1:13">
      <c r="A121" s="42" t="str">
        <f ca="1">IFERROR(__xludf.DUMMYFUNCTION("""COMPUTED_VALUE"""),"2.1.1.16")</f>
        <v>2.1.1.16</v>
      </c>
      <c r="B121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21" s="42" t="str">
        <f ca="1">IFERROR(__xludf.DUMMYFUNCTION("""COMPUTED_VALUE"""),"3. Operación")</f>
        <v>3. Operación</v>
      </c>
      <c r="D121" s="42" t="str">
        <f ca="1">IFERROR(__xludf.DUMMYFUNCTION("""COMPUTED_VALUE"""),"Guadalajara en Paz")</f>
        <v>Guadalajara en Paz</v>
      </c>
      <c r="E121" s="42" t="str">
        <f ca="1">IFERROR(__xludf.DUMMYFUNCTION("""COMPUTED_VALUE"""),"Educación Preescolar en Centros de Desarrollo Comunitarios")</f>
        <v>Educación Preescolar en Centros de Desarrollo Comunitarios</v>
      </c>
      <c r="F121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21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21" s="42" t="str">
        <f ca="1">IFERROR(__xludf.DUMMYFUNCTION("""COMPUTED_VALUE"""),"AMH Febrero")</f>
        <v>AMH Febrero</v>
      </c>
      <c r="I121" s="42" t="str">
        <f ca="1">IFERROR(__xludf.DUMMYFUNCTION("""COMPUTED_VALUE"""),"Febrero")</f>
        <v>Febrero</v>
      </c>
      <c r="J121" s="42" t="str">
        <f ca="1">IFERROR(__xludf.DUMMYFUNCTION("""COMPUTED_VALUE"""),"AMH")</f>
        <v>AMH</v>
      </c>
      <c r="K121" s="98"/>
      <c r="L121" s="42" t="str">
        <f ca="1">IFERROR(__xludf.DUMMYFUNCTION("""COMPUTED_VALUE"""),"TRIMESTRE 1")</f>
        <v>TRIMESTRE 1</v>
      </c>
      <c r="M121" s="42" t="str">
        <f ca="1">IFERROR(__xludf.DUMMYFUNCTION("""COMPUTED_VALUE"""),"ADULTO MAYOR HOMBRE")</f>
        <v>ADULTO MAYOR HOMBRE</v>
      </c>
    </row>
    <row r="122" spans="1:13">
      <c r="A122" s="42" t="str">
        <f ca="1">IFERROR(__xludf.DUMMYFUNCTION("""COMPUTED_VALUE"""),"#N/A")</f>
        <v>#N/A</v>
      </c>
      <c r="B122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22" s="42" t="str">
        <f ca="1">IFERROR(__xludf.DUMMYFUNCTION("""COMPUTED_VALUE"""),"3. Operación")</f>
        <v>3. Operación</v>
      </c>
      <c r="D122" s="42" t="str">
        <f ca="1">IFERROR(__xludf.DUMMYFUNCTION("""COMPUTED_VALUE"""),"Guadalajara en Paz")</f>
        <v>Guadalajara en Paz</v>
      </c>
      <c r="E122" s="42" t="str">
        <f ca="1">IFERROR(__xludf.DUMMYFUNCTION("""COMPUTED_VALUE"""),"Educación Preescolar en Centros de Desarrollo Comunitarios")</f>
        <v>Educación Preescolar en Centros de Desarrollo Comunitarios</v>
      </c>
      <c r="F122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122" s="42" t="str">
        <f ca="1">IFERROR(__xludf.DUMMYFUNCTION("""COMPUTED_VALUE"""),"Promedio de niñas y niños que asisten al Preescolar en CDC,en 2023")</f>
        <v>Promedio de niñas y niños que asisten al Preescolar en CDC,en 2023</v>
      </c>
      <c r="H122" s="42" t="str">
        <f ca="1">IFERROR(__xludf.DUMMYFUNCTION("""COMPUTED_VALUE"""),"NAS Febrero")</f>
        <v>NAS Febrero</v>
      </c>
      <c r="I122" s="42" t="str">
        <f ca="1">IFERROR(__xludf.DUMMYFUNCTION("""COMPUTED_VALUE"""),"Febrero")</f>
        <v>Febrero</v>
      </c>
      <c r="J122" s="42" t="str">
        <f ca="1">IFERROR(__xludf.DUMMYFUNCTION("""COMPUTED_VALUE"""),"NAS")</f>
        <v>NAS</v>
      </c>
      <c r="K122" s="98">
        <f ca="1">IFERROR(__xludf.DUMMYFUNCTION("""COMPUTED_VALUE"""),1024)</f>
        <v>1024</v>
      </c>
      <c r="L122" s="42" t="str">
        <f ca="1">IFERROR(__xludf.DUMMYFUNCTION("""COMPUTED_VALUE"""),"TRIMESTRE 1")</f>
        <v>TRIMESTRE 1</v>
      </c>
      <c r="M122" s="42" t="str">
        <f ca="1">IFERROR(__xludf.DUMMYFUNCTION("""COMPUTED_VALUE"""),"NIÑAS")</f>
        <v>NIÑAS</v>
      </c>
    </row>
    <row r="123" spans="1:13">
      <c r="A123" s="42" t="str">
        <f ca="1">IFERROR(__xludf.DUMMYFUNCTION("""COMPUTED_VALUE"""),"#N/A")</f>
        <v>#N/A</v>
      </c>
      <c r="B123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23" s="42" t="str">
        <f ca="1">IFERROR(__xludf.DUMMYFUNCTION("""COMPUTED_VALUE"""),"3. Operación")</f>
        <v>3. Operación</v>
      </c>
      <c r="D123" s="42" t="str">
        <f ca="1">IFERROR(__xludf.DUMMYFUNCTION("""COMPUTED_VALUE"""),"Guadalajara en Paz")</f>
        <v>Guadalajara en Paz</v>
      </c>
      <c r="E123" s="42" t="str">
        <f ca="1">IFERROR(__xludf.DUMMYFUNCTION("""COMPUTED_VALUE"""),"Educación Preescolar en Centros de Desarrollo Comunitarios")</f>
        <v>Educación Preescolar en Centros de Desarrollo Comunitarios</v>
      </c>
      <c r="F123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123" s="42" t="str">
        <f ca="1">IFERROR(__xludf.DUMMYFUNCTION("""COMPUTED_VALUE"""),"Promedio de niñas y niños que asisten al Preescolar en CDC,en 2023")</f>
        <v>Promedio de niñas y niños que asisten al Preescolar en CDC,en 2023</v>
      </c>
      <c r="H123" s="42" t="str">
        <f ca="1">IFERROR(__xludf.DUMMYFUNCTION("""COMPUTED_VALUE"""),"NOS Febrero")</f>
        <v>NOS Febrero</v>
      </c>
      <c r="I123" s="42" t="str">
        <f ca="1">IFERROR(__xludf.DUMMYFUNCTION("""COMPUTED_VALUE"""),"Febrero")</f>
        <v>Febrero</v>
      </c>
      <c r="J123" s="42" t="str">
        <f ca="1">IFERROR(__xludf.DUMMYFUNCTION("""COMPUTED_VALUE"""),"NOS")</f>
        <v>NOS</v>
      </c>
      <c r="K123" s="98">
        <f ca="1">IFERROR(__xludf.DUMMYFUNCTION("""COMPUTED_VALUE"""),1084)</f>
        <v>1084</v>
      </c>
      <c r="L123" s="42" t="str">
        <f ca="1">IFERROR(__xludf.DUMMYFUNCTION("""COMPUTED_VALUE"""),"TRIMESTRE 1")</f>
        <v>TRIMESTRE 1</v>
      </c>
      <c r="M123" s="42" t="str">
        <f ca="1">IFERROR(__xludf.DUMMYFUNCTION("""COMPUTED_VALUE"""),"NIÑOS")</f>
        <v>NIÑOS</v>
      </c>
    </row>
    <row r="124" spans="1:13">
      <c r="A124" s="42" t="str">
        <f ca="1">IFERROR(__xludf.DUMMYFUNCTION("""COMPUTED_VALUE"""),"#N/A")</f>
        <v>#N/A</v>
      </c>
      <c r="B124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24" s="42" t="str">
        <f ca="1">IFERROR(__xludf.DUMMYFUNCTION("""COMPUTED_VALUE"""),"3. Operación")</f>
        <v>3. Operación</v>
      </c>
      <c r="D124" s="42" t="str">
        <f ca="1">IFERROR(__xludf.DUMMYFUNCTION("""COMPUTED_VALUE"""),"Guadalajara en Paz")</f>
        <v>Guadalajara en Paz</v>
      </c>
      <c r="E124" s="42" t="str">
        <f ca="1">IFERROR(__xludf.DUMMYFUNCTION("""COMPUTED_VALUE"""),"Educación Preescolar en Centros de Desarrollo Comunitarios")</f>
        <v>Educación Preescolar en Centros de Desarrollo Comunitarios</v>
      </c>
      <c r="F124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124" s="42" t="str">
        <f ca="1">IFERROR(__xludf.DUMMYFUNCTION("""COMPUTED_VALUE"""),"Promedio de niñas y niños que asisten al Preescolar en CDC,en 2023")</f>
        <v>Promedio de niñas y niños que asisten al Preescolar en CDC,en 2023</v>
      </c>
      <c r="H124" s="42" t="str">
        <f ca="1">IFERROR(__xludf.DUMMYFUNCTION("""COMPUTED_VALUE"""),"AM FEBRERO")</f>
        <v>AM FEBRERO</v>
      </c>
      <c r="I124" s="42" t="str">
        <f ca="1">IFERROR(__xludf.DUMMYFUNCTION("""COMPUTED_VALUE"""),"Febrero")</f>
        <v>Febrero</v>
      </c>
      <c r="J124" s="42" t="str">
        <f ca="1">IFERROR(__xludf.DUMMYFUNCTION("""COMPUTED_VALUE"""),"AM")</f>
        <v>AM</v>
      </c>
      <c r="K124" s="98"/>
      <c r="L124" s="42" t="str">
        <f ca="1">IFERROR(__xludf.DUMMYFUNCTION("""COMPUTED_VALUE"""),"TRIMESTRE 1")</f>
        <v>TRIMESTRE 1</v>
      </c>
      <c r="M124" s="42" t="str">
        <f ca="1">IFERROR(__xludf.DUMMYFUNCTION("""COMPUTED_VALUE"""),"ADOLESCENTES MUJERES")</f>
        <v>ADOLESCENTES MUJERES</v>
      </c>
    </row>
    <row r="125" spans="1:13">
      <c r="A125" s="42" t="str">
        <f ca="1">IFERROR(__xludf.DUMMYFUNCTION("""COMPUTED_VALUE"""),"#N/A")</f>
        <v>#N/A</v>
      </c>
      <c r="B125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25" s="42" t="str">
        <f ca="1">IFERROR(__xludf.DUMMYFUNCTION("""COMPUTED_VALUE"""),"3. Operación")</f>
        <v>3. Operación</v>
      </c>
      <c r="D125" s="42" t="str">
        <f ca="1">IFERROR(__xludf.DUMMYFUNCTION("""COMPUTED_VALUE"""),"Guadalajara en Paz")</f>
        <v>Guadalajara en Paz</v>
      </c>
      <c r="E125" s="42" t="str">
        <f ca="1">IFERROR(__xludf.DUMMYFUNCTION("""COMPUTED_VALUE"""),"Educación Preescolar en Centros de Desarrollo Comunitarios")</f>
        <v>Educación Preescolar en Centros de Desarrollo Comunitarios</v>
      </c>
      <c r="F125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125" s="42" t="str">
        <f ca="1">IFERROR(__xludf.DUMMYFUNCTION("""COMPUTED_VALUE"""),"Promedio de niñas y niños que asisten al Preescolar en CDC,en 2023")</f>
        <v>Promedio de niñas y niños que asisten al Preescolar en CDC,en 2023</v>
      </c>
      <c r="H125" s="42" t="str">
        <f ca="1">IFERROR(__xludf.DUMMYFUNCTION("""COMPUTED_VALUE"""),"AH FEBRERO")</f>
        <v>AH FEBRERO</v>
      </c>
      <c r="I125" s="42" t="str">
        <f ca="1">IFERROR(__xludf.DUMMYFUNCTION("""COMPUTED_VALUE"""),"Febrero")</f>
        <v>Febrero</v>
      </c>
      <c r="J125" s="42" t="str">
        <f ca="1">IFERROR(__xludf.DUMMYFUNCTION("""COMPUTED_VALUE"""),"AH")</f>
        <v>AH</v>
      </c>
      <c r="K125" s="98"/>
      <c r="L125" s="42" t="str">
        <f ca="1">IFERROR(__xludf.DUMMYFUNCTION("""COMPUTED_VALUE"""),"TRIMESTRE 1")</f>
        <v>TRIMESTRE 1</v>
      </c>
      <c r="M125" s="42" t="str">
        <f ca="1">IFERROR(__xludf.DUMMYFUNCTION("""COMPUTED_VALUE"""),"ADOLESCENTES HOMBRES")</f>
        <v>ADOLESCENTES HOMBRES</v>
      </c>
    </row>
    <row r="126" spans="1:13">
      <c r="A126" s="42" t="str">
        <f ca="1">IFERROR(__xludf.DUMMYFUNCTION("""COMPUTED_VALUE"""),"#N/A")</f>
        <v>#N/A</v>
      </c>
      <c r="B126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26" s="42" t="str">
        <f ca="1">IFERROR(__xludf.DUMMYFUNCTION("""COMPUTED_VALUE"""),"3. Operación")</f>
        <v>3. Operación</v>
      </c>
      <c r="D126" s="42" t="str">
        <f ca="1">IFERROR(__xludf.DUMMYFUNCTION("""COMPUTED_VALUE"""),"Guadalajara en Paz")</f>
        <v>Guadalajara en Paz</v>
      </c>
      <c r="E126" s="42" t="str">
        <f ca="1">IFERROR(__xludf.DUMMYFUNCTION("""COMPUTED_VALUE"""),"Educación Preescolar en Centros de Desarrollo Comunitarios")</f>
        <v>Educación Preescolar en Centros de Desarrollo Comunitarios</v>
      </c>
      <c r="F126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126" s="42" t="str">
        <f ca="1">IFERROR(__xludf.DUMMYFUNCTION("""COMPUTED_VALUE"""),"Promedio de niñas y niños que asisten al Preescolar en CDC,en 2023")</f>
        <v>Promedio de niñas y niños que asisten al Preescolar en CDC,en 2023</v>
      </c>
      <c r="H126" s="42" t="str">
        <f ca="1">IFERROR(__xludf.DUMMYFUNCTION("""COMPUTED_VALUE"""),"MUJ Febrero")</f>
        <v>MUJ Febrero</v>
      </c>
      <c r="I126" s="42" t="str">
        <f ca="1">IFERROR(__xludf.DUMMYFUNCTION("""COMPUTED_VALUE"""),"Febrero")</f>
        <v>Febrero</v>
      </c>
      <c r="J126" s="42" t="str">
        <f ca="1">IFERROR(__xludf.DUMMYFUNCTION("""COMPUTED_VALUE"""),"MUJ")</f>
        <v>MUJ</v>
      </c>
      <c r="K126" s="98"/>
      <c r="L126" s="42" t="str">
        <f ca="1">IFERROR(__xludf.DUMMYFUNCTION("""COMPUTED_VALUE"""),"TRIMESTRE 1")</f>
        <v>TRIMESTRE 1</v>
      </c>
      <c r="M126" s="42" t="str">
        <f ca="1">IFERROR(__xludf.DUMMYFUNCTION("""COMPUTED_VALUE"""),"MUJERES ADULTAS")</f>
        <v>MUJERES ADULTAS</v>
      </c>
    </row>
    <row r="127" spans="1:13">
      <c r="A127" s="42" t="str">
        <f ca="1">IFERROR(__xludf.DUMMYFUNCTION("""COMPUTED_VALUE"""),"#N/A")</f>
        <v>#N/A</v>
      </c>
      <c r="B127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27" s="42" t="str">
        <f ca="1">IFERROR(__xludf.DUMMYFUNCTION("""COMPUTED_VALUE"""),"3. Operación")</f>
        <v>3. Operación</v>
      </c>
      <c r="D127" s="42" t="str">
        <f ca="1">IFERROR(__xludf.DUMMYFUNCTION("""COMPUTED_VALUE"""),"Guadalajara en Paz")</f>
        <v>Guadalajara en Paz</v>
      </c>
      <c r="E127" s="42" t="str">
        <f ca="1">IFERROR(__xludf.DUMMYFUNCTION("""COMPUTED_VALUE"""),"Educación Preescolar en Centros de Desarrollo Comunitarios")</f>
        <v>Educación Preescolar en Centros de Desarrollo Comunitarios</v>
      </c>
      <c r="F127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127" s="42" t="str">
        <f ca="1">IFERROR(__xludf.DUMMYFUNCTION("""COMPUTED_VALUE"""),"Promedio de niñas y niños que asisten al Preescolar en CDC,en 2023")</f>
        <v>Promedio de niñas y niños que asisten al Preescolar en CDC,en 2023</v>
      </c>
      <c r="H127" s="42" t="str">
        <f ca="1">IFERROR(__xludf.DUMMYFUNCTION("""COMPUTED_VALUE"""),"HOM Febrero")</f>
        <v>HOM Febrero</v>
      </c>
      <c r="I127" s="42" t="str">
        <f ca="1">IFERROR(__xludf.DUMMYFUNCTION("""COMPUTED_VALUE"""),"Febrero")</f>
        <v>Febrero</v>
      </c>
      <c r="J127" s="42" t="str">
        <f ca="1">IFERROR(__xludf.DUMMYFUNCTION("""COMPUTED_VALUE"""),"HOM")</f>
        <v>HOM</v>
      </c>
      <c r="K127" s="98"/>
      <c r="L127" s="42" t="str">
        <f ca="1">IFERROR(__xludf.DUMMYFUNCTION("""COMPUTED_VALUE"""),"TRIMESTRE 1")</f>
        <v>TRIMESTRE 1</v>
      </c>
      <c r="M127" s="42" t="str">
        <f ca="1">IFERROR(__xludf.DUMMYFUNCTION("""COMPUTED_VALUE"""),"HOMBRES ADULTOS")</f>
        <v>HOMBRES ADULTOS</v>
      </c>
    </row>
    <row r="128" spans="1:13">
      <c r="A128" s="42" t="str">
        <f ca="1">IFERROR(__xludf.DUMMYFUNCTION("""COMPUTED_VALUE"""),"#N/A")</f>
        <v>#N/A</v>
      </c>
      <c r="B128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28" s="42" t="str">
        <f ca="1">IFERROR(__xludf.DUMMYFUNCTION("""COMPUTED_VALUE"""),"3. Operación")</f>
        <v>3. Operación</v>
      </c>
      <c r="D128" s="42" t="str">
        <f ca="1">IFERROR(__xludf.DUMMYFUNCTION("""COMPUTED_VALUE"""),"Guadalajara en Paz")</f>
        <v>Guadalajara en Paz</v>
      </c>
      <c r="E128" s="42" t="str">
        <f ca="1">IFERROR(__xludf.DUMMYFUNCTION("""COMPUTED_VALUE"""),"Educación Preescolar en Centros de Desarrollo Comunitarios")</f>
        <v>Educación Preescolar en Centros de Desarrollo Comunitarios</v>
      </c>
      <c r="F128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128" s="42" t="str">
        <f ca="1">IFERROR(__xludf.DUMMYFUNCTION("""COMPUTED_VALUE"""),"Promedio de niñas y niños que asisten al Preescolar en CDC,en 2023")</f>
        <v>Promedio de niñas y niños que asisten al Preescolar en CDC,en 2023</v>
      </c>
      <c r="H128" s="42" t="str">
        <f ca="1">IFERROR(__xludf.DUMMYFUNCTION("""COMPUTED_VALUE"""),"AMM Febrero")</f>
        <v>AMM Febrero</v>
      </c>
      <c r="I128" s="42" t="str">
        <f ca="1">IFERROR(__xludf.DUMMYFUNCTION("""COMPUTED_VALUE"""),"Febrero")</f>
        <v>Febrero</v>
      </c>
      <c r="J128" s="42" t="str">
        <f ca="1">IFERROR(__xludf.DUMMYFUNCTION("""COMPUTED_VALUE"""),"AMM")</f>
        <v>AMM</v>
      </c>
      <c r="K128" s="98"/>
      <c r="L128" s="42" t="str">
        <f ca="1">IFERROR(__xludf.DUMMYFUNCTION("""COMPUTED_VALUE"""),"TRIMESTRE 1")</f>
        <v>TRIMESTRE 1</v>
      </c>
      <c r="M128" s="42" t="str">
        <f ca="1">IFERROR(__xludf.DUMMYFUNCTION("""COMPUTED_VALUE"""),"ADULTA MAYOR MUJER")</f>
        <v>ADULTA MAYOR MUJER</v>
      </c>
    </row>
    <row r="129" spans="1:13">
      <c r="A129" s="42" t="str">
        <f ca="1">IFERROR(__xludf.DUMMYFUNCTION("""COMPUTED_VALUE"""),"#N/A")</f>
        <v>#N/A</v>
      </c>
      <c r="B129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29" s="42" t="str">
        <f ca="1">IFERROR(__xludf.DUMMYFUNCTION("""COMPUTED_VALUE"""),"3. Operación")</f>
        <v>3. Operación</v>
      </c>
      <c r="D129" s="42" t="str">
        <f ca="1">IFERROR(__xludf.DUMMYFUNCTION("""COMPUTED_VALUE"""),"Guadalajara en Paz")</f>
        <v>Guadalajara en Paz</v>
      </c>
      <c r="E129" s="42" t="str">
        <f ca="1">IFERROR(__xludf.DUMMYFUNCTION("""COMPUTED_VALUE"""),"Educación Preescolar en Centros de Desarrollo Comunitarios")</f>
        <v>Educación Preescolar en Centros de Desarrollo Comunitarios</v>
      </c>
      <c r="F129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129" s="42" t="str">
        <f ca="1">IFERROR(__xludf.DUMMYFUNCTION("""COMPUTED_VALUE"""),"Promedio de niñas y niños que asisten al Preescolar en CDC,en 2023")</f>
        <v>Promedio de niñas y niños que asisten al Preescolar en CDC,en 2023</v>
      </c>
      <c r="H129" s="42" t="str">
        <f ca="1">IFERROR(__xludf.DUMMYFUNCTION("""COMPUTED_VALUE"""),"AMH Febrero")</f>
        <v>AMH Febrero</v>
      </c>
      <c r="I129" s="42" t="str">
        <f ca="1">IFERROR(__xludf.DUMMYFUNCTION("""COMPUTED_VALUE"""),"Febrero")</f>
        <v>Febrero</v>
      </c>
      <c r="J129" s="42" t="str">
        <f ca="1">IFERROR(__xludf.DUMMYFUNCTION("""COMPUTED_VALUE"""),"AMH")</f>
        <v>AMH</v>
      </c>
      <c r="K129" s="98"/>
      <c r="L129" s="42" t="str">
        <f ca="1">IFERROR(__xludf.DUMMYFUNCTION("""COMPUTED_VALUE"""),"TRIMESTRE 1")</f>
        <v>TRIMESTRE 1</v>
      </c>
      <c r="M129" s="42" t="str">
        <f ca="1">IFERROR(__xludf.DUMMYFUNCTION("""COMPUTED_VALUE"""),"ADULTO MAYOR HOMBRE")</f>
        <v>ADULTO MAYOR HOMBRE</v>
      </c>
    </row>
    <row r="130" spans="1:13">
      <c r="A130" s="42" t="str">
        <f ca="1">IFERROR(__xludf.DUMMYFUNCTION("""COMPUTED_VALUE"""),"2.1.1.16")</f>
        <v>2.1.1.16</v>
      </c>
      <c r="B130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30" s="42" t="str">
        <f ca="1">IFERROR(__xludf.DUMMYFUNCTION("""COMPUTED_VALUE"""),"3. Operación")</f>
        <v>3. Operación</v>
      </c>
      <c r="D130" s="42" t="str">
        <f ca="1">IFERROR(__xludf.DUMMYFUNCTION("""COMPUTED_VALUE"""),"Guadalajara en Paz")</f>
        <v>Guadalajara en Paz</v>
      </c>
      <c r="E130" s="42" t="str">
        <f ca="1">IFERROR(__xludf.DUMMYFUNCTION("""COMPUTED_VALUE"""),"Educación Preescolar en Centros de Desarrollo Comunitarios")</f>
        <v>Educación Preescolar en Centros de Desarrollo Comunitarios</v>
      </c>
      <c r="F130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30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30" s="42" t="str">
        <f ca="1">IFERROR(__xludf.DUMMYFUNCTION("""COMPUTED_VALUE"""),"NAS Marzo")</f>
        <v>NAS Marzo</v>
      </c>
      <c r="I130" s="42" t="str">
        <f ca="1">IFERROR(__xludf.DUMMYFUNCTION("""COMPUTED_VALUE"""),"Marzo")</f>
        <v>Marzo</v>
      </c>
      <c r="J130" s="42" t="str">
        <f ca="1">IFERROR(__xludf.DUMMYFUNCTION("""COMPUTED_VALUE"""),"NAS")</f>
        <v>NAS</v>
      </c>
      <c r="K130" s="98"/>
      <c r="L130" s="42" t="str">
        <f ca="1">IFERROR(__xludf.DUMMYFUNCTION("""COMPUTED_VALUE"""),"TRIMESTRE 1")</f>
        <v>TRIMESTRE 1</v>
      </c>
      <c r="M130" s="42" t="str">
        <f ca="1">IFERROR(__xludf.DUMMYFUNCTION("""COMPUTED_VALUE"""),"NIÑAS")</f>
        <v>NIÑAS</v>
      </c>
    </row>
    <row r="131" spans="1:13">
      <c r="A131" s="42" t="str">
        <f ca="1">IFERROR(__xludf.DUMMYFUNCTION("""COMPUTED_VALUE"""),"2.1.1.16")</f>
        <v>2.1.1.16</v>
      </c>
      <c r="B131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31" s="42" t="str">
        <f ca="1">IFERROR(__xludf.DUMMYFUNCTION("""COMPUTED_VALUE"""),"3. Operación")</f>
        <v>3. Operación</v>
      </c>
      <c r="D131" s="42" t="str">
        <f ca="1">IFERROR(__xludf.DUMMYFUNCTION("""COMPUTED_VALUE"""),"Guadalajara en Paz")</f>
        <v>Guadalajara en Paz</v>
      </c>
      <c r="E131" s="42" t="str">
        <f ca="1">IFERROR(__xludf.DUMMYFUNCTION("""COMPUTED_VALUE"""),"Educación Preescolar en Centros de Desarrollo Comunitarios")</f>
        <v>Educación Preescolar en Centros de Desarrollo Comunitarios</v>
      </c>
      <c r="F131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31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31" s="42" t="str">
        <f ca="1">IFERROR(__xludf.DUMMYFUNCTION("""COMPUTED_VALUE"""),"NOS Marzo")</f>
        <v>NOS Marzo</v>
      </c>
      <c r="I131" s="42" t="str">
        <f ca="1">IFERROR(__xludf.DUMMYFUNCTION("""COMPUTED_VALUE"""),"Marzo")</f>
        <v>Marzo</v>
      </c>
      <c r="J131" s="42" t="str">
        <f ca="1">IFERROR(__xludf.DUMMYFUNCTION("""COMPUTED_VALUE"""),"NOS")</f>
        <v>NOS</v>
      </c>
      <c r="K131" s="98"/>
      <c r="L131" s="42" t="str">
        <f ca="1">IFERROR(__xludf.DUMMYFUNCTION("""COMPUTED_VALUE"""),"TRIMESTRE 1")</f>
        <v>TRIMESTRE 1</v>
      </c>
      <c r="M131" s="42" t="str">
        <f ca="1">IFERROR(__xludf.DUMMYFUNCTION("""COMPUTED_VALUE"""),"NIÑOS")</f>
        <v>NIÑOS</v>
      </c>
    </row>
    <row r="132" spans="1:13">
      <c r="A132" s="42" t="str">
        <f ca="1">IFERROR(__xludf.DUMMYFUNCTION("""COMPUTED_VALUE"""),"2.1.1.16")</f>
        <v>2.1.1.16</v>
      </c>
      <c r="B132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32" s="42" t="str">
        <f ca="1">IFERROR(__xludf.DUMMYFUNCTION("""COMPUTED_VALUE"""),"3. Operación")</f>
        <v>3. Operación</v>
      </c>
      <c r="D132" s="42" t="str">
        <f ca="1">IFERROR(__xludf.DUMMYFUNCTION("""COMPUTED_VALUE"""),"Guadalajara en Paz")</f>
        <v>Guadalajara en Paz</v>
      </c>
      <c r="E132" s="42" t="str">
        <f ca="1">IFERROR(__xludf.DUMMYFUNCTION("""COMPUTED_VALUE"""),"Educación Preescolar en Centros de Desarrollo Comunitarios")</f>
        <v>Educación Preescolar en Centros de Desarrollo Comunitarios</v>
      </c>
      <c r="F132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32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32" s="42" t="str">
        <f ca="1">IFERROR(__xludf.DUMMYFUNCTION("""COMPUTED_VALUE"""),"AM MARZO")</f>
        <v>AM MARZO</v>
      </c>
      <c r="I132" s="42" t="str">
        <f ca="1">IFERROR(__xludf.DUMMYFUNCTION("""COMPUTED_VALUE"""),"Marzo")</f>
        <v>Marzo</v>
      </c>
      <c r="J132" s="42" t="str">
        <f ca="1">IFERROR(__xludf.DUMMYFUNCTION("""COMPUTED_VALUE"""),"AM")</f>
        <v>AM</v>
      </c>
      <c r="K132" s="98"/>
      <c r="L132" s="42" t="str">
        <f ca="1">IFERROR(__xludf.DUMMYFUNCTION("""COMPUTED_VALUE"""),"TRIMESTRE 1")</f>
        <v>TRIMESTRE 1</v>
      </c>
      <c r="M132" s="42" t="str">
        <f ca="1">IFERROR(__xludf.DUMMYFUNCTION("""COMPUTED_VALUE"""),"ADOLESCENTES MUJERES")</f>
        <v>ADOLESCENTES MUJERES</v>
      </c>
    </row>
    <row r="133" spans="1:13">
      <c r="A133" s="42" t="str">
        <f ca="1">IFERROR(__xludf.DUMMYFUNCTION("""COMPUTED_VALUE"""),"2.1.1.16")</f>
        <v>2.1.1.16</v>
      </c>
      <c r="B133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33" s="42" t="str">
        <f ca="1">IFERROR(__xludf.DUMMYFUNCTION("""COMPUTED_VALUE"""),"3. Operación")</f>
        <v>3. Operación</v>
      </c>
      <c r="D133" s="42" t="str">
        <f ca="1">IFERROR(__xludf.DUMMYFUNCTION("""COMPUTED_VALUE"""),"Guadalajara en Paz")</f>
        <v>Guadalajara en Paz</v>
      </c>
      <c r="E133" s="42" t="str">
        <f ca="1">IFERROR(__xludf.DUMMYFUNCTION("""COMPUTED_VALUE"""),"Educación Preescolar en Centros de Desarrollo Comunitarios")</f>
        <v>Educación Preescolar en Centros de Desarrollo Comunitarios</v>
      </c>
      <c r="F133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33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33" s="42" t="str">
        <f ca="1">IFERROR(__xludf.DUMMYFUNCTION("""COMPUTED_VALUE"""),"AH MARZO")</f>
        <v>AH MARZO</v>
      </c>
      <c r="I133" s="42" t="str">
        <f ca="1">IFERROR(__xludf.DUMMYFUNCTION("""COMPUTED_VALUE"""),"Marzo")</f>
        <v>Marzo</v>
      </c>
      <c r="J133" s="42" t="str">
        <f ca="1">IFERROR(__xludf.DUMMYFUNCTION("""COMPUTED_VALUE"""),"AH")</f>
        <v>AH</v>
      </c>
      <c r="K133" s="98"/>
      <c r="L133" s="42" t="str">
        <f ca="1">IFERROR(__xludf.DUMMYFUNCTION("""COMPUTED_VALUE"""),"TRIMESTRE 1")</f>
        <v>TRIMESTRE 1</v>
      </c>
      <c r="M133" s="42" t="str">
        <f ca="1">IFERROR(__xludf.DUMMYFUNCTION("""COMPUTED_VALUE"""),"ADOLESCENTES HOMBRES")</f>
        <v>ADOLESCENTES HOMBRES</v>
      </c>
    </row>
    <row r="134" spans="1:13">
      <c r="A134" s="42" t="str">
        <f ca="1">IFERROR(__xludf.DUMMYFUNCTION("""COMPUTED_VALUE"""),"2.1.1.16")</f>
        <v>2.1.1.16</v>
      </c>
      <c r="B134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34" s="42" t="str">
        <f ca="1">IFERROR(__xludf.DUMMYFUNCTION("""COMPUTED_VALUE"""),"3. Operación")</f>
        <v>3. Operación</v>
      </c>
      <c r="D134" s="42" t="str">
        <f ca="1">IFERROR(__xludf.DUMMYFUNCTION("""COMPUTED_VALUE"""),"Guadalajara en Paz")</f>
        <v>Guadalajara en Paz</v>
      </c>
      <c r="E134" s="42" t="str">
        <f ca="1">IFERROR(__xludf.DUMMYFUNCTION("""COMPUTED_VALUE"""),"Educación Preescolar en Centros de Desarrollo Comunitarios")</f>
        <v>Educación Preescolar en Centros de Desarrollo Comunitarios</v>
      </c>
      <c r="F134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34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34" s="42" t="str">
        <f ca="1">IFERROR(__xludf.DUMMYFUNCTION("""COMPUTED_VALUE"""),"MUJ Marzo")</f>
        <v>MUJ Marzo</v>
      </c>
      <c r="I134" s="42" t="str">
        <f ca="1">IFERROR(__xludf.DUMMYFUNCTION("""COMPUTED_VALUE"""),"Marzo")</f>
        <v>Marzo</v>
      </c>
      <c r="J134" s="42" t="str">
        <f ca="1">IFERROR(__xludf.DUMMYFUNCTION("""COMPUTED_VALUE"""),"MUJ")</f>
        <v>MUJ</v>
      </c>
      <c r="K134" s="98"/>
      <c r="L134" s="42" t="str">
        <f ca="1">IFERROR(__xludf.DUMMYFUNCTION("""COMPUTED_VALUE"""),"TRIMESTRE 1")</f>
        <v>TRIMESTRE 1</v>
      </c>
      <c r="M134" s="42" t="str">
        <f ca="1">IFERROR(__xludf.DUMMYFUNCTION("""COMPUTED_VALUE"""),"MUJERES ADULTAS")</f>
        <v>MUJERES ADULTAS</v>
      </c>
    </row>
    <row r="135" spans="1:13">
      <c r="A135" s="42" t="str">
        <f ca="1">IFERROR(__xludf.DUMMYFUNCTION("""COMPUTED_VALUE"""),"2.1.1.16")</f>
        <v>2.1.1.16</v>
      </c>
      <c r="B135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35" s="42" t="str">
        <f ca="1">IFERROR(__xludf.DUMMYFUNCTION("""COMPUTED_VALUE"""),"3. Operación")</f>
        <v>3. Operación</v>
      </c>
      <c r="D135" s="42" t="str">
        <f ca="1">IFERROR(__xludf.DUMMYFUNCTION("""COMPUTED_VALUE"""),"Guadalajara en Paz")</f>
        <v>Guadalajara en Paz</v>
      </c>
      <c r="E135" s="42" t="str">
        <f ca="1">IFERROR(__xludf.DUMMYFUNCTION("""COMPUTED_VALUE"""),"Educación Preescolar en Centros de Desarrollo Comunitarios")</f>
        <v>Educación Preescolar en Centros de Desarrollo Comunitarios</v>
      </c>
      <c r="F135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35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35" s="42" t="str">
        <f ca="1">IFERROR(__xludf.DUMMYFUNCTION("""COMPUTED_VALUE"""),"HOM Marzo")</f>
        <v>HOM Marzo</v>
      </c>
      <c r="I135" s="42" t="str">
        <f ca="1">IFERROR(__xludf.DUMMYFUNCTION("""COMPUTED_VALUE"""),"Marzo")</f>
        <v>Marzo</v>
      </c>
      <c r="J135" s="42" t="str">
        <f ca="1">IFERROR(__xludf.DUMMYFUNCTION("""COMPUTED_VALUE"""),"HOM")</f>
        <v>HOM</v>
      </c>
      <c r="K135" s="98"/>
      <c r="L135" s="42" t="str">
        <f ca="1">IFERROR(__xludf.DUMMYFUNCTION("""COMPUTED_VALUE"""),"TRIMESTRE 1")</f>
        <v>TRIMESTRE 1</v>
      </c>
      <c r="M135" s="42" t="str">
        <f ca="1">IFERROR(__xludf.DUMMYFUNCTION("""COMPUTED_VALUE"""),"HOMBRES ADULTOS")</f>
        <v>HOMBRES ADULTOS</v>
      </c>
    </row>
    <row r="136" spans="1:13">
      <c r="A136" s="42" t="str">
        <f ca="1">IFERROR(__xludf.DUMMYFUNCTION("""COMPUTED_VALUE"""),"2.1.1.16")</f>
        <v>2.1.1.16</v>
      </c>
      <c r="B136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36" s="42" t="str">
        <f ca="1">IFERROR(__xludf.DUMMYFUNCTION("""COMPUTED_VALUE"""),"3. Operación")</f>
        <v>3. Operación</v>
      </c>
      <c r="D136" s="42" t="str">
        <f ca="1">IFERROR(__xludf.DUMMYFUNCTION("""COMPUTED_VALUE"""),"Guadalajara en Paz")</f>
        <v>Guadalajara en Paz</v>
      </c>
      <c r="E136" s="42" t="str">
        <f ca="1">IFERROR(__xludf.DUMMYFUNCTION("""COMPUTED_VALUE"""),"Educación Preescolar en Centros de Desarrollo Comunitarios")</f>
        <v>Educación Preescolar en Centros de Desarrollo Comunitarios</v>
      </c>
      <c r="F136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36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36" s="42" t="str">
        <f ca="1">IFERROR(__xludf.DUMMYFUNCTION("""COMPUTED_VALUE"""),"AMM Marzo")</f>
        <v>AMM Marzo</v>
      </c>
      <c r="I136" s="42" t="str">
        <f ca="1">IFERROR(__xludf.DUMMYFUNCTION("""COMPUTED_VALUE"""),"Marzo")</f>
        <v>Marzo</v>
      </c>
      <c r="J136" s="42" t="str">
        <f ca="1">IFERROR(__xludf.DUMMYFUNCTION("""COMPUTED_VALUE"""),"AMM")</f>
        <v>AMM</v>
      </c>
      <c r="K136" s="98"/>
      <c r="L136" s="42" t="str">
        <f ca="1">IFERROR(__xludf.DUMMYFUNCTION("""COMPUTED_VALUE"""),"TRIMESTRE 1")</f>
        <v>TRIMESTRE 1</v>
      </c>
      <c r="M136" s="42" t="str">
        <f ca="1">IFERROR(__xludf.DUMMYFUNCTION("""COMPUTED_VALUE"""),"ADULTA MAYOR MUJER")</f>
        <v>ADULTA MAYOR MUJER</v>
      </c>
    </row>
    <row r="137" spans="1:13">
      <c r="A137" s="42" t="str">
        <f ca="1">IFERROR(__xludf.DUMMYFUNCTION("""COMPUTED_VALUE"""),"2.1.1.16")</f>
        <v>2.1.1.16</v>
      </c>
      <c r="B137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37" s="42" t="str">
        <f ca="1">IFERROR(__xludf.DUMMYFUNCTION("""COMPUTED_VALUE"""),"3. Operación")</f>
        <v>3. Operación</v>
      </c>
      <c r="D137" s="42" t="str">
        <f ca="1">IFERROR(__xludf.DUMMYFUNCTION("""COMPUTED_VALUE"""),"Guadalajara en Paz")</f>
        <v>Guadalajara en Paz</v>
      </c>
      <c r="E137" s="42" t="str">
        <f ca="1">IFERROR(__xludf.DUMMYFUNCTION("""COMPUTED_VALUE"""),"Educación Preescolar en Centros de Desarrollo Comunitarios")</f>
        <v>Educación Preescolar en Centros de Desarrollo Comunitarios</v>
      </c>
      <c r="F137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37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37" s="42" t="str">
        <f ca="1">IFERROR(__xludf.DUMMYFUNCTION("""COMPUTED_VALUE"""),"AMH Marzo")</f>
        <v>AMH Marzo</v>
      </c>
      <c r="I137" s="42" t="str">
        <f ca="1">IFERROR(__xludf.DUMMYFUNCTION("""COMPUTED_VALUE"""),"Marzo")</f>
        <v>Marzo</v>
      </c>
      <c r="J137" s="42" t="str">
        <f ca="1">IFERROR(__xludf.DUMMYFUNCTION("""COMPUTED_VALUE"""),"AMH")</f>
        <v>AMH</v>
      </c>
      <c r="K137" s="98"/>
      <c r="L137" s="42" t="str">
        <f ca="1">IFERROR(__xludf.DUMMYFUNCTION("""COMPUTED_VALUE"""),"TRIMESTRE 1")</f>
        <v>TRIMESTRE 1</v>
      </c>
      <c r="M137" s="42" t="str">
        <f ca="1">IFERROR(__xludf.DUMMYFUNCTION("""COMPUTED_VALUE"""),"ADULTO MAYOR HOMBRE")</f>
        <v>ADULTO MAYOR HOMBRE</v>
      </c>
    </row>
    <row r="138" spans="1:13">
      <c r="A138" s="42" t="str">
        <f ca="1">IFERROR(__xludf.DUMMYFUNCTION("""COMPUTED_VALUE"""),"#N/A")</f>
        <v>#N/A</v>
      </c>
      <c r="B138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38" s="42" t="str">
        <f ca="1">IFERROR(__xludf.DUMMYFUNCTION("""COMPUTED_VALUE"""),"3. Operación")</f>
        <v>3. Operación</v>
      </c>
      <c r="D138" s="42" t="str">
        <f ca="1">IFERROR(__xludf.DUMMYFUNCTION("""COMPUTED_VALUE"""),"Guadalajara en Paz")</f>
        <v>Guadalajara en Paz</v>
      </c>
      <c r="E138" s="42" t="str">
        <f ca="1">IFERROR(__xludf.DUMMYFUNCTION("""COMPUTED_VALUE"""),"Educación Preescolar en Centros de Desarrollo Comunitarios")</f>
        <v>Educación Preescolar en Centros de Desarrollo Comunitarios</v>
      </c>
      <c r="F138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138" s="42" t="str">
        <f ca="1">IFERROR(__xludf.DUMMYFUNCTION("""COMPUTED_VALUE"""),"Promedio de niñas y niños que asisten al Preescolar en CDC,en 2023")</f>
        <v>Promedio de niñas y niños que asisten al Preescolar en CDC,en 2023</v>
      </c>
      <c r="H138" s="42" t="str">
        <f ca="1">IFERROR(__xludf.DUMMYFUNCTION("""COMPUTED_VALUE"""),"NAS Marzo")</f>
        <v>NAS Marzo</v>
      </c>
      <c r="I138" s="42" t="str">
        <f ca="1">IFERROR(__xludf.DUMMYFUNCTION("""COMPUTED_VALUE"""),"Marzo")</f>
        <v>Marzo</v>
      </c>
      <c r="J138" s="42" t="str">
        <f ca="1">IFERROR(__xludf.DUMMYFUNCTION("""COMPUTED_VALUE"""),"NAS")</f>
        <v>NAS</v>
      </c>
      <c r="K138" s="98">
        <f ca="1">IFERROR(__xludf.DUMMYFUNCTION("""COMPUTED_VALUE"""),1022)</f>
        <v>1022</v>
      </c>
      <c r="L138" s="42" t="str">
        <f ca="1">IFERROR(__xludf.DUMMYFUNCTION("""COMPUTED_VALUE"""),"TRIMESTRE 1")</f>
        <v>TRIMESTRE 1</v>
      </c>
      <c r="M138" s="42" t="str">
        <f ca="1">IFERROR(__xludf.DUMMYFUNCTION("""COMPUTED_VALUE"""),"NIÑAS")</f>
        <v>NIÑAS</v>
      </c>
    </row>
    <row r="139" spans="1:13">
      <c r="A139" s="42" t="str">
        <f ca="1">IFERROR(__xludf.DUMMYFUNCTION("""COMPUTED_VALUE"""),"#N/A")</f>
        <v>#N/A</v>
      </c>
      <c r="B139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39" s="42" t="str">
        <f ca="1">IFERROR(__xludf.DUMMYFUNCTION("""COMPUTED_VALUE"""),"3. Operación")</f>
        <v>3. Operación</v>
      </c>
      <c r="D139" s="42" t="str">
        <f ca="1">IFERROR(__xludf.DUMMYFUNCTION("""COMPUTED_VALUE"""),"Guadalajara en Paz")</f>
        <v>Guadalajara en Paz</v>
      </c>
      <c r="E139" s="42" t="str">
        <f ca="1">IFERROR(__xludf.DUMMYFUNCTION("""COMPUTED_VALUE"""),"Educación Preescolar en Centros de Desarrollo Comunitarios")</f>
        <v>Educación Preescolar en Centros de Desarrollo Comunitarios</v>
      </c>
      <c r="F139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139" s="42" t="str">
        <f ca="1">IFERROR(__xludf.DUMMYFUNCTION("""COMPUTED_VALUE"""),"Promedio de niñas y niños que asisten al Preescolar en CDC,en 2023")</f>
        <v>Promedio de niñas y niños que asisten al Preescolar en CDC,en 2023</v>
      </c>
      <c r="H139" s="42" t="str">
        <f ca="1">IFERROR(__xludf.DUMMYFUNCTION("""COMPUTED_VALUE"""),"NOS Marzo")</f>
        <v>NOS Marzo</v>
      </c>
      <c r="I139" s="42" t="str">
        <f ca="1">IFERROR(__xludf.DUMMYFUNCTION("""COMPUTED_VALUE"""),"Marzo")</f>
        <v>Marzo</v>
      </c>
      <c r="J139" s="42" t="str">
        <f ca="1">IFERROR(__xludf.DUMMYFUNCTION("""COMPUTED_VALUE"""),"NOS")</f>
        <v>NOS</v>
      </c>
      <c r="K139" s="98">
        <f ca="1">IFERROR(__xludf.DUMMYFUNCTION("""COMPUTED_VALUE"""),1085)</f>
        <v>1085</v>
      </c>
      <c r="L139" s="42" t="str">
        <f ca="1">IFERROR(__xludf.DUMMYFUNCTION("""COMPUTED_VALUE"""),"TRIMESTRE 1")</f>
        <v>TRIMESTRE 1</v>
      </c>
      <c r="M139" s="42" t="str">
        <f ca="1">IFERROR(__xludf.DUMMYFUNCTION("""COMPUTED_VALUE"""),"NIÑOS")</f>
        <v>NIÑOS</v>
      </c>
    </row>
    <row r="140" spans="1:13">
      <c r="A140" s="42" t="str">
        <f ca="1">IFERROR(__xludf.DUMMYFUNCTION("""COMPUTED_VALUE"""),"#N/A")</f>
        <v>#N/A</v>
      </c>
      <c r="B140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40" s="42" t="str">
        <f ca="1">IFERROR(__xludf.DUMMYFUNCTION("""COMPUTED_VALUE"""),"3. Operación")</f>
        <v>3. Operación</v>
      </c>
      <c r="D140" s="42" t="str">
        <f ca="1">IFERROR(__xludf.DUMMYFUNCTION("""COMPUTED_VALUE"""),"Guadalajara en Paz")</f>
        <v>Guadalajara en Paz</v>
      </c>
      <c r="E140" s="42" t="str">
        <f ca="1">IFERROR(__xludf.DUMMYFUNCTION("""COMPUTED_VALUE"""),"Educación Preescolar en Centros de Desarrollo Comunitarios")</f>
        <v>Educación Preescolar en Centros de Desarrollo Comunitarios</v>
      </c>
      <c r="F140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140" s="42" t="str">
        <f ca="1">IFERROR(__xludf.DUMMYFUNCTION("""COMPUTED_VALUE"""),"Promedio de niñas y niños que asisten al Preescolar en CDC,en 2023")</f>
        <v>Promedio de niñas y niños que asisten al Preescolar en CDC,en 2023</v>
      </c>
      <c r="H140" s="42" t="str">
        <f ca="1">IFERROR(__xludf.DUMMYFUNCTION("""COMPUTED_VALUE"""),"AM MARZO")</f>
        <v>AM MARZO</v>
      </c>
      <c r="I140" s="42" t="str">
        <f ca="1">IFERROR(__xludf.DUMMYFUNCTION("""COMPUTED_VALUE"""),"Marzo")</f>
        <v>Marzo</v>
      </c>
      <c r="J140" s="42" t="str">
        <f ca="1">IFERROR(__xludf.DUMMYFUNCTION("""COMPUTED_VALUE"""),"AM")</f>
        <v>AM</v>
      </c>
      <c r="K140" s="98"/>
      <c r="L140" s="42" t="str">
        <f ca="1">IFERROR(__xludf.DUMMYFUNCTION("""COMPUTED_VALUE"""),"TRIMESTRE 1")</f>
        <v>TRIMESTRE 1</v>
      </c>
      <c r="M140" s="42" t="str">
        <f ca="1">IFERROR(__xludf.DUMMYFUNCTION("""COMPUTED_VALUE"""),"ADOLESCENTES MUJERES")</f>
        <v>ADOLESCENTES MUJERES</v>
      </c>
    </row>
    <row r="141" spans="1:13">
      <c r="A141" s="42" t="str">
        <f ca="1">IFERROR(__xludf.DUMMYFUNCTION("""COMPUTED_VALUE"""),"#N/A")</f>
        <v>#N/A</v>
      </c>
      <c r="B141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41" s="42" t="str">
        <f ca="1">IFERROR(__xludf.DUMMYFUNCTION("""COMPUTED_VALUE"""),"3. Operación")</f>
        <v>3. Operación</v>
      </c>
      <c r="D141" s="42" t="str">
        <f ca="1">IFERROR(__xludf.DUMMYFUNCTION("""COMPUTED_VALUE"""),"Guadalajara en Paz")</f>
        <v>Guadalajara en Paz</v>
      </c>
      <c r="E141" s="42" t="str">
        <f ca="1">IFERROR(__xludf.DUMMYFUNCTION("""COMPUTED_VALUE"""),"Educación Preescolar en Centros de Desarrollo Comunitarios")</f>
        <v>Educación Preescolar en Centros de Desarrollo Comunitarios</v>
      </c>
      <c r="F141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141" s="42" t="str">
        <f ca="1">IFERROR(__xludf.DUMMYFUNCTION("""COMPUTED_VALUE"""),"Promedio de niñas y niños que asisten al Preescolar en CDC,en 2023")</f>
        <v>Promedio de niñas y niños que asisten al Preescolar en CDC,en 2023</v>
      </c>
      <c r="H141" s="42" t="str">
        <f ca="1">IFERROR(__xludf.DUMMYFUNCTION("""COMPUTED_VALUE"""),"AH MARZO")</f>
        <v>AH MARZO</v>
      </c>
      <c r="I141" s="42" t="str">
        <f ca="1">IFERROR(__xludf.DUMMYFUNCTION("""COMPUTED_VALUE"""),"Marzo")</f>
        <v>Marzo</v>
      </c>
      <c r="J141" s="42" t="str">
        <f ca="1">IFERROR(__xludf.DUMMYFUNCTION("""COMPUTED_VALUE"""),"AH")</f>
        <v>AH</v>
      </c>
      <c r="K141" s="98"/>
      <c r="L141" s="42" t="str">
        <f ca="1">IFERROR(__xludf.DUMMYFUNCTION("""COMPUTED_VALUE"""),"TRIMESTRE 1")</f>
        <v>TRIMESTRE 1</v>
      </c>
      <c r="M141" s="42" t="str">
        <f ca="1">IFERROR(__xludf.DUMMYFUNCTION("""COMPUTED_VALUE"""),"ADOLESCENTES HOMBRES")</f>
        <v>ADOLESCENTES HOMBRES</v>
      </c>
    </row>
    <row r="142" spans="1:13">
      <c r="A142" s="42" t="str">
        <f ca="1">IFERROR(__xludf.DUMMYFUNCTION("""COMPUTED_VALUE"""),"#N/A")</f>
        <v>#N/A</v>
      </c>
      <c r="B142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42" s="42" t="str">
        <f ca="1">IFERROR(__xludf.DUMMYFUNCTION("""COMPUTED_VALUE"""),"3. Operación")</f>
        <v>3. Operación</v>
      </c>
      <c r="D142" s="42" t="str">
        <f ca="1">IFERROR(__xludf.DUMMYFUNCTION("""COMPUTED_VALUE"""),"Guadalajara en Paz")</f>
        <v>Guadalajara en Paz</v>
      </c>
      <c r="E142" s="42" t="str">
        <f ca="1">IFERROR(__xludf.DUMMYFUNCTION("""COMPUTED_VALUE"""),"Educación Preescolar en Centros de Desarrollo Comunitarios")</f>
        <v>Educación Preescolar en Centros de Desarrollo Comunitarios</v>
      </c>
      <c r="F142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142" s="42" t="str">
        <f ca="1">IFERROR(__xludf.DUMMYFUNCTION("""COMPUTED_VALUE"""),"Promedio de niñas y niños que asisten al Preescolar en CDC,en 2023")</f>
        <v>Promedio de niñas y niños que asisten al Preescolar en CDC,en 2023</v>
      </c>
      <c r="H142" s="42" t="str">
        <f ca="1">IFERROR(__xludf.DUMMYFUNCTION("""COMPUTED_VALUE"""),"MUJ Marzo")</f>
        <v>MUJ Marzo</v>
      </c>
      <c r="I142" s="42" t="str">
        <f ca="1">IFERROR(__xludf.DUMMYFUNCTION("""COMPUTED_VALUE"""),"Marzo")</f>
        <v>Marzo</v>
      </c>
      <c r="J142" s="42" t="str">
        <f ca="1">IFERROR(__xludf.DUMMYFUNCTION("""COMPUTED_VALUE"""),"MUJ")</f>
        <v>MUJ</v>
      </c>
      <c r="K142" s="98"/>
      <c r="L142" s="42" t="str">
        <f ca="1">IFERROR(__xludf.DUMMYFUNCTION("""COMPUTED_VALUE"""),"TRIMESTRE 1")</f>
        <v>TRIMESTRE 1</v>
      </c>
      <c r="M142" s="42" t="str">
        <f ca="1">IFERROR(__xludf.DUMMYFUNCTION("""COMPUTED_VALUE"""),"MUJERES ADULTAS")</f>
        <v>MUJERES ADULTAS</v>
      </c>
    </row>
    <row r="143" spans="1:13">
      <c r="A143" s="42" t="str">
        <f ca="1">IFERROR(__xludf.DUMMYFUNCTION("""COMPUTED_VALUE"""),"#N/A")</f>
        <v>#N/A</v>
      </c>
      <c r="B143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43" s="42" t="str">
        <f ca="1">IFERROR(__xludf.DUMMYFUNCTION("""COMPUTED_VALUE"""),"3. Operación")</f>
        <v>3. Operación</v>
      </c>
      <c r="D143" s="42" t="str">
        <f ca="1">IFERROR(__xludf.DUMMYFUNCTION("""COMPUTED_VALUE"""),"Guadalajara en Paz")</f>
        <v>Guadalajara en Paz</v>
      </c>
      <c r="E143" s="42" t="str">
        <f ca="1">IFERROR(__xludf.DUMMYFUNCTION("""COMPUTED_VALUE"""),"Educación Preescolar en Centros de Desarrollo Comunitarios")</f>
        <v>Educación Preescolar en Centros de Desarrollo Comunitarios</v>
      </c>
      <c r="F143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143" s="42" t="str">
        <f ca="1">IFERROR(__xludf.DUMMYFUNCTION("""COMPUTED_VALUE"""),"Promedio de niñas y niños que asisten al Preescolar en CDC,en 2023")</f>
        <v>Promedio de niñas y niños que asisten al Preescolar en CDC,en 2023</v>
      </c>
      <c r="H143" s="42" t="str">
        <f ca="1">IFERROR(__xludf.DUMMYFUNCTION("""COMPUTED_VALUE"""),"HOM Marzo")</f>
        <v>HOM Marzo</v>
      </c>
      <c r="I143" s="42" t="str">
        <f ca="1">IFERROR(__xludf.DUMMYFUNCTION("""COMPUTED_VALUE"""),"Marzo")</f>
        <v>Marzo</v>
      </c>
      <c r="J143" s="42" t="str">
        <f ca="1">IFERROR(__xludf.DUMMYFUNCTION("""COMPUTED_VALUE"""),"HOM")</f>
        <v>HOM</v>
      </c>
      <c r="K143" s="98"/>
      <c r="L143" s="42" t="str">
        <f ca="1">IFERROR(__xludf.DUMMYFUNCTION("""COMPUTED_VALUE"""),"TRIMESTRE 1")</f>
        <v>TRIMESTRE 1</v>
      </c>
      <c r="M143" s="42" t="str">
        <f ca="1">IFERROR(__xludf.DUMMYFUNCTION("""COMPUTED_VALUE"""),"HOMBRES ADULTOS")</f>
        <v>HOMBRES ADULTOS</v>
      </c>
    </row>
    <row r="144" spans="1:13">
      <c r="A144" s="42" t="str">
        <f ca="1">IFERROR(__xludf.DUMMYFUNCTION("""COMPUTED_VALUE"""),"#N/A")</f>
        <v>#N/A</v>
      </c>
      <c r="B144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44" s="42" t="str">
        <f ca="1">IFERROR(__xludf.DUMMYFUNCTION("""COMPUTED_VALUE"""),"3. Operación")</f>
        <v>3. Operación</v>
      </c>
      <c r="D144" s="42" t="str">
        <f ca="1">IFERROR(__xludf.DUMMYFUNCTION("""COMPUTED_VALUE"""),"Guadalajara en Paz")</f>
        <v>Guadalajara en Paz</v>
      </c>
      <c r="E144" s="42" t="str">
        <f ca="1">IFERROR(__xludf.DUMMYFUNCTION("""COMPUTED_VALUE"""),"Educación Preescolar en Centros de Desarrollo Comunitarios")</f>
        <v>Educación Preescolar en Centros de Desarrollo Comunitarios</v>
      </c>
      <c r="F144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144" s="42" t="str">
        <f ca="1">IFERROR(__xludf.DUMMYFUNCTION("""COMPUTED_VALUE"""),"Promedio de niñas y niños que asisten al Preescolar en CDC,en 2023")</f>
        <v>Promedio de niñas y niños que asisten al Preescolar en CDC,en 2023</v>
      </c>
      <c r="H144" s="42" t="str">
        <f ca="1">IFERROR(__xludf.DUMMYFUNCTION("""COMPUTED_VALUE"""),"AMM Marzo")</f>
        <v>AMM Marzo</v>
      </c>
      <c r="I144" s="42" t="str">
        <f ca="1">IFERROR(__xludf.DUMMYFUNCTION("""COMPUTED_VALUE"""),"Marzo")</f>
        <v>Marzo</v>
      </c>
      <c r="J144" s="42" t="str">
        <f ca="1">IFERROR(__xludf.DUMMYFUNCTION("""COMPUTED_VALUE"""),"AMM")</f>
        <v>AMM</v>
      </c>
      <c r="K144" s="98"/>
      <c r="L144" s="42" t="str">
        <f ca="1">IFERROR(__xludf.DUMMYFUNCTION("""COMPUTED_VALUE"""),"TRIMESTRE 1")</f>
        <v>TRIMESTRE 1</v>
      </c>
      <c r="M144" s="42" t="str">
        <f ca="1">IFERROR(__xludf.DUMMYFUNCTION("""COMPUTED_VALUE"""),"ADULTA MAYOR MUJER")</f>
        <v>ADULTA MAYOR MUJER</v>
      </c>
    </row>
    <row r="145" spans="1:13">
      <c r="A145" s="42" t="str">
        <f ca="1">IFERROR(__xludf.DUMMYFUNCTION("""COMPUTED_VALUE"""),"#N/A")</f>
        <v>#N/A</v>
      </c>
      <c r="B145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45" s="42" t="str">
        <f ca="1">IFERROR(__xludf.DUMMYFUNCTION("""COMPUTED_VALUE"""),"3. Operación")</f>
        <v>3. Operación</v>
      </c>
      <c r="D145" s="42" t="str">
        <f ca="1">IFERROR(__xludf.DUMMYFUNCTION("""COMPUTED_VALUE"""),"Guadalajara en Paz")</f>
        <v>Guadalajara en Paz</v>
      </c>
      <c r="E145" s="42" t="str">
        <f ca="1">IFERROR(__xludf.DUMMYFUNCTION("""COMPUTED_VALUE"""),"Educación Preescolar en Centros de Desarrollo Comunitarios")</f>
        <v>Educación Preescolar en Centros de Desarrollo Comunitarios</v>
      </c>
      <c r="F145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145" s="42" t="str">
        <f ca="1">IFERROR(__xludf.DUMMYFUNCTION("""COMPUTED_VALUE"""),"Promedio de niñas y niños que asisten al Preescolar en CDC,en 2023")</f>
        <v>Promedio de niñas y niños que asisten al Preescolar en CDC,en 2023</v>
      </c>
      <c r="H145" s="42" t="str">
        <f ca="1">IFERROR(__xludf.DUMMYFUNCTION("""COMPUTED_VALUE"""),"AMH Marzo")</f>
        <v>AMH Marzo</v>
      </c>
      <c r="I145" s="42" t="str">
        <f ca="1">IFERROR(__xludf.DUMMYFUNCTION("""COMPUTED_VALUE"""),"Marzo")</f>
        <v>Marzo</v>
      </c>
      <c r="J145" s="42" t="str">
        <f ca="1">IFERROR(__xludf.DUMMYFUNCTION("""COMPUTED_VALUE"""),"AMH")</f>
        <v>AMH</v>
      </c>
      <c r="K145" s="98"/>
      <c r="L145" s="42" t="str">
        <f ca="1">IFERROR(__xludf.DUMMYFUNCTION("""COMPUTED_VALUE"""),"TRIMESTRE 1")</f>
        <v>TRIMESTRE 1</v>
      </c>
      <c r="M145" s="42" t="str">
        <f ca="1">IFERROR(__xludf.DUMMYFUNCTION("""COMPUTED_VALUE"""),"ADULTO MAYOR HOMBRE")</f>
        <v>ADULTO MAYOR HOMBRE</v>
      </c>
    </row>
    <row r="146" spans="1:13">
      <c r="A146" s="42" t="str">
        <f ca="1">IFERROR(__xludf.DUMMYFUNCTION("""COMPUTED_VALUE"""),"2.1.1.16")</f>
        <v>2.1.1.16</v>
      </c>
      <c r="B146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46" s="42" t="str">
        <f ca="1">IFERROR(__xludf.DUMMYFUNCTION("""COMPUTED_VALUE"""),"3. Operación")</f>
        <v>3. Operación</v>
      </c>
      <c r="D146" s="42" t="str">
        <f ca="1">IFERROR(__xludf.DUMMYFUNCTION("""COMPUTED_VALUE"""),"Guadalajara en Paz")</f>
        <v>Guadalajara en Paz</v>
      </c>
      <c r="E146" s="42" t="str">
        <f ca="1">IFERROR(__xludf.DUMMYFUNCTION("""COMPUTED_VALUE"""),"Educación Preescolar en Centros de Desarrollo Comunitarios")</f>
        <v>Educación Preescolar en Centros de Desarrollo Comunitarios</v>
      </c>
      <c r="F146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46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46" s="42" t="str">
        <f ca="1">IFERROR(__xludf.DUMMYFUNCTION("""COMPUTED_VALUE"""),"NAS Abril")</f>
        <v>NAS Abril</v>
      </c>
      <c r="I146" s="42" t="str">
        <f ca="1">IFERROR(__xludf.DUMMYFUNCTION("""COMPUTED_VALUE"""),"Abril")</f>
        <v>Abril</v>
      </c>
      <c r="J146" s="42" t="str">
        <f ca="1">IFERROR(__xludf.DUMMYFUNCTION("""COMPUTED_VALUE"""),"NAS")</f>
        <v>NAS</v>
      </c>
      <c r="K146" s="98"/>
      <c r="L146" s="42" t="str">
        <f ca="1">IFERROR(__xludf.DUMMYFUNCTION("""COMPUTED_VALUE"""),"TRIMESTRE 2")</f>
        <v>TRIMESTRE 2</v>
      </c>
      <c r="M146" s="42" t="str">
        <f ca="1">IFERROR(__xludf.DUMMYFUNCTION("""COMPUTED_VALUE"""),"NIÑAS")</f>
        <v>NIÑAS</v>
      </c>
    </row>
    <row r="147" spans="1:13">
      <c r="A147" s="42" t="str">
        <f ca="1">IFERROR(__xludf.DUMMYFUNCTION("""COMPUTED_VALUE"""),"2.1.1.16")</f>
        <v>2.1.1.16</v>
      </c>
      <c r="B147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47" s="42" t="str">
        <f ca="1">IFERROR(__xludf.DUMMYFUNCTION("""COMPUTED_VALUE"""),"3. Operación")</f>
        <v>3. Operación</v>
      </c>
      <c r="D147" s="42" t="str">
        <f ca="1">IFERROR(__xludf.DUMMYFUNCTION("""COMPUTED_VALUE"""),"Guadalajara en Paz")</f>
        <v>Guadalajara en Paz</v>
      </c>
      <c r="E147" s="42" t="str">
        <f ca="1">IFERROR(__xludf.DUMMYFUNCTION("""COMPUTED_VALUE"""),"Educación Preescolar en Centros de Desarrollo Comunitarios")</f>
        <v>Educación Preescolar en Centros de Desarrollo Comunitarios</v>
      </c>
      <c r="F147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47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47" s="42" t="str">
        <f ca="1">IFERROR(__xludf.DUMMYFUNCTION("""COMPUTED_VALUE"""),"NOS Abril")</f>
        <v>NOS Abril</v>
      </c>
      <c r="I147" s="42" t="str">
        <f ca="1">IFERROR(__xludf.DUMMYFUNCTION("""COMPUTED_VALUE"""),"Abril")</f>
        <v>Abril</v>
      </c>
      <c r="J147" s="42" t="str">
        <f ca="1">IFERROR(__xludf.DUMMYFUNCTION("""COMPUTED_VALUE"""),"NOS")</f>
        <v>NOS</v>
      </c>
      <c r="K147" s="98"/>
      <c r="L147" s="42" t="str">
        <f ca="1">IFERROR(__xludf.DUMMYFUNCTION("""COMPUTED_VALUE"""),"TRIMESTRE 2")</f>
        <v>TRIMESTRE 2</v>
      </c>
      <c r="M147" s="42" t="str">
        <f ca="1">IFERROR(__xludf.DUMMYFUNCTION("""COMPUTED_VALUE"""),"NIÑOS")</f>
        <v>NIÑOS</v>
      </c>
    </row>
    <row r="148" spans="1:13">
      <c r="A148" s="42" t="str">
        <f ca="1">IFERROR(__xludf.DUMMYFUNCTION("""COMPUTED_VALUE"""),"2.1.1.16")</f>
        <v>2.1.1.16</v>
      </c>
      <c r="B148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48" s="42" t="str">
        <f ca="1">IFERROR(__xludf.DUMMYFUNCTION("""COMPUTED_VALUE"""),"3. Operación")</f>
        <v>3. Operación</v>
      </c>
      <c r="D148" s="42" t="str">
        <f ca="1">IFERROR(__xludf.DUMMYFUNCTION("""COMPUTED_VALUE"""),"Guadalajara en Paz")</f>
        <v>Guadalajara en Paz</v>
      </c>
      <c r="E148" s="42" t="str">
        <f ca="1">IFERROR(__xludf.DUMMYFUNCTION("""COMPUTED_VALUE"""),"Educación Preescolar en Centros de Desarrollo Comunitarios")</f>
        <v>Educación Preescolar en Centros de Desarrollo Comunitarios</v>
      </c>
      <c r="F148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48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48" s="42" t="str">
        <f ca="1">IFERROR(__xludf.DUMMYFUNCTION("""COMPUTED_VALUE"""),"AM ABRIL")</f>
        <v>AM ABRIL</v>
      </c>
      <c r="I148" s="42" t="str">
        <f ca="1">IFERROR(__xludf.DUMMYFUNCTION("""COMPUTED_VALUE"""),"Abril")</f>
        <v>Abril</v>
      </c>
      <c r="J148" s="42" t="str">
        <f ca="1">IFERROR(__xludf.DUMMYFUNCTION("""COMPUTED_VALUE"""),"AM")</f>
        <v>AM</v>
      </c>
      <c r="K148" s="98"/>
      <c r="L148" s="42" t="str">
        <f ca="1">IFERROR(__xludf.DUMMYFUNCTION("""COMPUTED_VALUE"""),"TRIMESTRE 2")</f>
        <v>TRIMESTRE 2</v>
      </c>
      <c r="M148" s="42" t="str">
        <f ca="1">IFERROR(__xludf.DUMMYFUNCTION("""COMPUTED_VALUE"""),"ADOLESCENTES MUJERES")</f>
        <v>ADOLESCENTES MUJERES</v>
      </c>
    </row>
    <row r="149" spans="1:13">
      <c r="A149" s="42" t="str">
        <f ca="1">IFERROR(__xludf.DUMMYFUNCTION("""COMPUTED_VALUE"""),"2.1.1.16")</f>
        <v>2.1.1.16</v>
      </c>
      <c r="B149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49" s="42" t="str">
        <f ca="1">IFERROR(__xludf.DUMMYFUNCTION("""COMPUTED_VALUE"""),"3. Operación")</f>
        <v>3. Operación</v>
      </c>
      <c r="D149" s="42" t="str">
        <f ca="1">IFERROR(__xludf.DUMMYFUNCTION("""COMPUTED_VALUE"""),"Guadalajara en Paz")</f>
        <v>Guadalajara en Paz</v>
      </c>
      <c r="E149" s="42" t="str">
        <f ca="1">IFERROR(__xludf.DUMMYFUNCTION("""COMPUTED_VALUE"""),"Educación Preescolar en Centros de Desarrollo Comunitarios")</f>
        <v>Educación Preescolar en Centros de Desarrollo Comunitarios</v>
      </c>
      <c r="F149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49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49" s="42" t="str">
        <f ca="1">IFERROR(__xludf.DUMMYFUNCTION("""COMPUTED_VALUE"""),"AH ABRIL")</f>
        <v>AH ABRIL</v>
      </c>
      <c r="I149" s="42" t="str">
        <f ca="1">IFERROR(__xludf.DUMMYFUNCTION("""COMPUTED_VALUE"""),"Abril")</f>
        <v>Abril</v>
      </c>
      <c r="J149" s="42" t="str">
        <f ca="1">IFERROR(__xludf.DUMMYFUNCTION("""COMPUTED_VALUE"""),"AH")</f>
        <v>AH</v>
      </c>
      <c r="K149" s="98"/>
      <c r="L149" s="42" t="str">
        <f ca="1">IFERROR(__xludf.DUMMYFUNCTION("""COMPUTED_VALUE"""),"TRIMESTRE 2")</f>
        <v>TRIMESTRE 2</v>
      </c>
      <c r="M149" s="42" t="str">
        <f ca="1">IFERROR(__xludf.DUMMYFUNCTION("""COMPUTED_VALUE"""),"ADOLESCENTES HOMBRES")</f>
        <v>ADOLESCENTES HOMBRES</v>
      </c>
    </row>
    <row r="150" spans="1:13">
      <c r="A150" s="42" t="str">
        <f ca="1">IFERROR(__xludf.DUMMYFUNCTION("""COMPUTED_VALUE"""),"2.1.1.16")</f>
        <v>2.1.1.16</v>
      </c>
      <c r="B150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50" s="42" t="str">
        <f ca="1">IFERROR(__xludf.DUMMYFUNCTION("""COMPUTED_VALUE"""),"3. Operación")</f>
        <v>3. Operación</v>
      </c>
      <c r="D150" s="42" t="str">
        <f ca="1">IFERROR(__xludf.DUMMYFUNCTION("""COMPUTED_VALUE"""),"Guadalajara en Paz")</f>
        <v>Guadalajara en Paz</v>
      </c>
      <c r="E150" s="42" t="str">
        <f ca="1">IFERROR(__xludf.DUMMYFUNCTION("""COMPUTED_VALUE"""),"Educación Preescolar en Centros de Desarrollo Comunitarios")</f>
        <v>Educación Preescolar en Centros de Desarrollo Comunitarios</v>
      </c>
      <c r="F150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50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50" s="42" t="str">
        <f ca="1">IFERROR(__xludf.DUMMYFUNCTION("""COMPUTED_VALUE"""),"MUJ Abril")</f>
        <v>MUJ Abril</v>
      </c>
      <c r="I150" s="42" t="str">
        <f ca="1">IFERROR(__xludf.DUMMYFUNCTION("""COMPUTED_VALUE"""),"Abril")</f>
        <v>Abril</v>
      </c>
      <c r="J150" s="42" t="str">
        <f ca="1">IFERROR(__xludf.DUMMYFUNCTION("""COMPUTED_VALUE"""),"MUJ")</f>
        <v>MUJ</v>
      </c>
      <c r="K150" s="98"/>
      <c r="L150" s="42" t="str">
        <f ca="1">IFERROR(__xludf.DUMMYFUNCTION("""COMPUTED_VALUE"""),"TRIMESTRE 2")</f>
        <v>TRIMESTRE 2</v>
      </c>
      <c r="M150" s="42" t="str">
        <f ca="1">IFERROR(__xludf.DUMMYFUNCTION("""COMPUTED_VALUE"""),"MUJERES ADULTAS")</f>
        <v>MUJERES ADULTAS</v>
      </c>
    </row>
    <row r="151" spans="1:13">
      <c r="A151" s="42" t="str">
        <f ca="1">IFERROR(__xludf.DUMMYFUNCTION("""COMPUTED_VALUE"""),"2.1.1.16")</f>
        <v>2.1.1.16</v>
      </c>
      <c r="B151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51" s="42" t="str">
        <f ca="1">IFERROR(__xludf.DUMMYFUNCTION("""COMPUTED_VALUE"""),"3. Operación")</f>
        <v>3. Operación</v>
      </c>
      <c r="D151" s="42" t="str">
        <f ca="1">IFERROR(__xludf.DUMMYFUNCTION("""COMPUTED_VALUE"""),"Guadalajara en Paz")</f>
        <v>Guadalajara en Paz</v>
      </c>
      <c r="E151" s="42" t="str">
        <f ca="1">IFERROR(__xludf.DUMMYFUNCTION("""COMPUTED_VALUE"""),"Educación Preescolar en Centros de Desarrollo Comunitarios")</f>
        <v>Educación Preescolar en Centros de Desarrollo Comunitarios</v>
      </c>
      <c r="F151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51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51" s="42" t="str">
        <f ca="1">IFERROR(__xludf.DUMMYFUNCTION("""COMPUTED_VALUE"""),"HOM Abril")</f>
        <v>HOM Abril</v>
      </c>
      <c r="I151" s="42" t="str">
        <f ca="1">IFERROR(__xludf.DUMMYFUNCTION("""COMPUTED_VALUE"""),"Abril")</f>
        <v>Abril</v>
      </c>
      <c r="J151" s="42" t="str">
        <f ca="1">IFERROR(__xludf.DUMMYFUNCTION("""COMPUTED_VALUE"""),"HOM")</f>
        <v>HOM</v>
      </c>
      <c r="K151" s="98"/>
      <c r="L151" s="42" t="str">
        <f ca="1">IFERROR(__xludf.DUMMYFUNCTION("""COMPUTED_VALUE"""),"TRIMESTRE 2")</f>
        <v>TRIMESTRE 2</v>
      </c>
      <c r="M151" s="42" t="str">
        <f ca="1">IFERROR(__xludf.DUMMYFUNCTION("""COMPUTED_VALUE"""),"HOMBRES ADULTOS")</f>
        <v>HOMBRES ADULTOS</v>
      </c>
    </row>
    <row r="152" spans="1:13">
      <c r="A152" s="42" t="str">
        <f ca="1">IFERROR(__xludf.DUMMYFUNCTION("""COMPUTED_VALUE"""),"2.1.1.16")</f>
        <v>2.1.1.16</v>
      </c>
      <c r="B152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52" s="42" t="str">
        <f ca="1">IFERROR(__xludf.DUMMYFUNCTION("""COMPUTED_VALUE"""),"3. Operación")</f>
        <v>3. Operación</v>
      </c>
      <c r="D152" s="42" t="str">
        <f ca="1">IFERROR(__xludf.DUMMYFUNCTION("""COMPUTED_VALUE"""),"Guadalajara en Paz")</f>
        <v>Guadalajara en Paz</v>
      </c>
      <c r="E152" s="42" t="str">
        <f ca="1">IFERROR(__xludf.DUMMYFUNCTION("""COMPUTED_VALUE"""),"Educación Preescolar en Centros de Desarrollo Comunitarios")</f>
        <v>Educación Preescolar en Centros de Desarrollo Comunitarios</v>
      </c>
      <c r="F152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52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52" s="42" t="str">
        <f ca="1">IFERROR(__xludf.DUMMYFUNCTION("""COMPUTED_VALUE"""),"AMM Abril")</f>
        <v>AMM Abril</v>
      </c>
      <c r="I152" s="42" t="str">
        <f ca="1">IFERROR(__xludf.DUMMYFUNCTION("""COMPUTED_VALUE"""),"Abril")</f>
        <v>Abril</v>
      </c>
      <c r="J152" s="42" t="str">
        <f ca="1">IFERROR(__xludf.DUMMYFUNCTION("""COMPUTED_VALUE"""),"AMM")</f>
        <v>AMM</v>
      </c>
      <c r="K152" s="98"/>
      <c r="L152" s="42" t="str">
        <f ca="1">IFERROR(__xludf.DUMMYFUNCTION("""COMPUTED_VALUE"""),"TRIMESTRE 2")</f>
        <v>TRIMESTRE 2</v>
      </c>
      <c r="M152" s="42" t="str">
        <f ca="1">IFERROR(__xludf.DUMMYFUNCTION("""COMPUTED_VALUE"""),"ADULTA MAYOR MUJER")</f>
        <v>ADULTA MAYOR MUJER</v>
      </c>
    </row>
    <row r="153" spans="1:13">
      <c r="A153" s="42" t="str">
        <f ca="1">IFERROR(__xludf.DUMMYFUNCTION("""COMPUTED_VALUE"""),"2.1.1.16")</f>
        <v>2.1.1.16</v>
      </c>
      <c r="B153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53" s="42" t="str">
        <f ca="1">IFERROR(__xludf.DUMMYFUNCTION("""COMPUTED_VALUE"""),"3. Operación")</f>
        <v>3. Operación</v>
      </c>
      <c r="D153" s="42" t="str">
        <f ca="1">IFERROR(__xludf.DUMMYFUNCTION("""COMPUTED_VALUE"""),"Guadalajara en Paz")</f>
        <v>Guadalajara en Paz</v>
      </c>
      <c r="E153" s="42" t="str">
        <f ca="1">IFERROR(__xludf.DUMMYFUNCTION("""COMPUTED_VALUE"""),"Educación Preescolar en Centros de Desarrollo Comunitarios")</f>
        <v>Educación Preescolar en Centros de Desarrollo Comunitarios</v>
      </c>
      <c r="F153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53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53" s="42" t="str">
        <f ca="1">IFERROR(__xludf.DUMMYFUNCTION("""COMPUTED_VALUE"""),"AMH Abril")</f>
        <v>AMH Abril</v>
      </c>
      <c r="I153" s="42" t="str">
        <f ca="1">IFERROR(__xludf.DUMMYFUNCTION("""COMPUTED_VALUE"""),"Abril")</f>
        <v>Abril</v>
      </c>
      <c r="J153" s="42" t="str">
        <f ca="1">IFERROR(__xludf.DUMMYFUNCTION("""COMPUTED_VALUE"""),"AMH")</f>
        <v>AMH</v>
      </c>
      <c r="K153" s="98"/>
      <c r="L153" s="42" t="str">
        <f ca="1">IFERROR(__xludf.DUMMYFUNCTION("""COMPUTED_VALUE"""),"TRIMESTRE 2")</f>
        <v>TRIMESTRE 2</v>
      </c>
      <c r="M153" s="42" t="str">
        <f ca="1">IFERROR(__xludf.DUMMYFUNCTION("""COMPUTED_VALUE"""),"ADULTO MAYOR HOMBRE")</f>
        <v>ADULTO MAYOR HOMBRE</v>
      </c>
    </row>
    <row r="154" spans="1:13">
      <c r="A154" s="42" t="str">
        <f ca="1">IFERROR(__xludf.DUMMYFUNCTION("""COMPUTED_VALUE"""),"#N/A")</f>
        <v>#N/A</v>
      </c>
      <c r="B154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54" s="42" t="str">
        <f ca="1">IFERROR(__xludf.DUMMYFUNCTION("""COMPUTED_VALUE"""),"3. Operación")</f>
        <v>3. Operación</v>
      </c>
      <c r="D154" s="42" t="str">
        <f ca="1">IFERROR(__xludf.DUMMYFUNCTION("""COMPUTED_VALUE"""),"Guadalajara en Paz")</f>
        <v>Guadalajara en Paz</v>
      </c>
      <c r="E154" s="42" t="str">
        <f ca="1">IFERROR(__xludf.DUMMYFUNCTION("""COMPUTED_VALUE"""),"Educación Preescolar en Centros de Desarrollo Comunitarios")</f>
        <v>Educación Preescolar en Centros de Desarrollo Comunitarios</v>
      </c>
      <c r="F154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154" s="42" t="str">
        <f ca="1">IFERROR(__xludf.DUMMYFUNCTION("""COMPUTED_VALUE"""),"Promedio de niñas y niños que asisten al Preescolar en CDC,en 2023")</f>
        <v>Promedio de niñas y niños que asisten al Preescolar en CDC,en 2023</v>
      </c>
      <c r="H154" s="42" t="str">
        <f ca="1">IFERROR(__xludf.DUMMYFUNCTION("""COMPUTED_VALUE"""),"NAS Abril")</f>
        <v>NAS Abril</v>
      </c>
      <c r="I154" s="42" t="str">
        <f ca="1">IFERROR(__xludf.DUMMYFUNCTION("""COMPUTED_VALUE"""),"Abril")</f>
        <v>Abril</v>
      </c>
      <c r="J154" s="42" t="str">
        <f ca="1">IFERROR(__xludf.DUMMYFUNCTION("""COMPUTED_VALUE"""),"NAS")</f>
        <v>NAS</v>
      </c>
      <c r="K154" s="98">
        <f ca="1">IFERROR(__xludf.DUMMYFUNCTION("""COMPUTED_VALUE"""),1019)</f>
        <v>1019</v>
      </c>
      <c r="L154" s="42" t="str">
        <f ca="1">IFERROR(__xludf.DUMMYFUNCTION("""COMPUTED_VALUE"""),"TRIMESTRE 2")</f>
        <v>TRIMESTRE 2</v>
      </c>
      <c r="M154" s="42" t="str">
        <f ca="1">IFERROR(__xludf.DUMMYFUNCTION("""COMPUTED_VALUE"""),"NIÑAS")</f>
        <v>NIÑAS</v>
      </c>
    </row>
    <row r="155" spans="1:13">
      <c r="A155" s="42" t="str">
        <f ca="1">IFERROR(__xludf.DUMMYFUNCTION("""COMPUTED_VALUE"""),"#N/A")</f>
        <v>#N/A</v>
      </c>
      <c r="B155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55" s="42" t="str">
        <f ca="1">IFERROR(__xludf.DUMMYFUNCTION("""COMPUTED_VALUE"""),"3. Operación")</f>
        <v>3. Operación</v>
      </c>
      <c r="D155" s="42" t="str">
        <f ca="1">IFERROR(__xludf.DUMMYFUNCTION("""COMPUTED_VALUE"""),"Guadalajara en Paz")</f>
        <v>Guadalajara en Paz</v>
      </c>
      <c r="E155" s="42" t="str">
        <f ca="1">IFERROR(__xludf.DUMMYFUNCTION("""COMPUTED_VALUE"""),"Educación Preescolar en Centros de Desarrollo Comunitarios")</f>
        <v>Educación Preescolar en Centros de Desarrollo Comunitarios</v>
      </c>
      <c r="F155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155" s="42" t="str">
        <f ca="1">IFERROR(__xludf.DUMMYFUNCTION("""COMPUTED_VALUE"""),"Promedio de niñas y niños que asisten al Preescolar en CDC,en 2023")</f>
        <v>Promedio de niñas y niños que asisten al Preescolar en CDC,en 2023</v>
      </c>
      <c r="H155" s="42" t="str">
        <f ca="1">IFERROR(__xludf.DUMMYFUNCTION("""COMPUTED_VALUE"""),"NOS Abril")</f>
        <v>NOS Abril</v>
      </c>
      <c r="I155" s="42" t="str">
        <f ca="1">IFERROR(__xludf.DUMMYFUNCTION("""COMPUTED_VALUE"""),"Abril")</f>
        <v>Abril</v>
      </c>
      <c r="J155" s="42" t="str">
        <f ca="1">IFERROR(__xludf.DUMMYFUNCTION("""COMPUTED_VALUE"""),"NOS")</f>
        <v>NOS</v>
      </c>
      <c r="K155" s="98">
        <f ca="1">IFERROR(__xludf.DUMMYFUNCTION("""COMPUTED_VALUE"""),1084)</f>
        <v>1084</v>
      </c>
      <c r="L155" s="42" t="str">
        <f ca="1">IFERROR(__xludf.DUMMYFUNCTION("""COMPUTED_VALUE"""),"TRIMESTRE 2")</f>
        <v>TRIMESTRE 2</v>
      </c>
      <c r="M155" s="42" t="str">
        <f ca="1">IFERROR(__xludf.DUMMYFUNCTION("""COMPUTED_VALUE"""),"NIÑOS")</f>
        <v>NIÑOS</v>
      </c>
    </row>
    <row r="156" spans="1:13">
      <c r="A156" s="42" t="str">
        <f ca="1">IFERROR(__xludf.DUMMYFUNCTION("""COMPUTED_VALUE"""),"#N/A")</f>
        <v>#N/A</v>
      </c>
      <c r="B156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56" s="42" t="str">
        <f ca="1">IFERROR(__xludf.DUMMYFUNCTION("""COMPUTED_VALUE"""),"3. Operación")</f>
        <v>3. Operación</v>
      </c>
      <c r="D156" s="42" t="str">
        <f ca="1">IFERROR(__xludf.DUMMYFUNCTION("""COMPUTED_VALUE"""),"Guadalajara en Paz")</f>
        <v>Guadalajara en Paz</v>
      </c>
      <c r="E156" s="42" t="str">
        <f ca="1">IFERROR(__xludf.DUMMYFUNCTION("""COMPUTED_VALUE"""),"Educación Preescolar en Centros de Desarrollo Comunitarios")</f>
        <v>Educación Preescolar en Centros de Desarrollo Comunitarios</v>
      </c>
      <c r="F156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156" s="42" t="str">
        <f ca="1">IFERROR(__xludf.DUMMYFUNCTION("""COMPUTED_VALUE"""),"Promedio de niñas y niños que asisten al Preescolar en CDC,en 2023")</f>
        <v>Promedio de niñas y niños que asisten al Preescolar en CDC,en 2023</v>
      </c>
      <c r="H156" s="42" t="str">
        <f ca="1">IFERROR(__xludf.DUMMYFUNCTION("""COMPUTED_VALUE"""),"AM ABRIL")</f>
        <v>AM ABRIL</v>
      </c>
      <c r="I156" s="42" t="str">
        <f ca="1">IFERROR(__xludf.DUMMYFUNCTION("""COMPUTED_VALUE"""),"Abril")</f>
        <v>Abril</v>
      </c>
      <c r="J156" s="42" t="str">
        <f ca="1">IFERROR(__xludf.DUMMYFUNCTION("""COMPUTED_VALUE"""),"AM")</f>
        <v>AM</v>
      </c>
      <c r="K156" s="98"/>
      <c r="L156" s="42" t="str">
        <f ca="1">IFERROR(__xludf.DUMMYFUNCTION("""COMPUTED_VALUE"""),"TRIMESTRE 2")</f>
        <v>TRIMESTRE 2</v>
      </c>
      <c r="M156" s="42" t="str">
        <f ca="1">IFERROR(__xludf.DUMMYFUNCTION("""COMPUTED_VALUE"""),"ADOLESCENTES MUJERES")</f>
        <v>ADOLESCENTES MUJERES</v>
      </c>
    </row>
    <row r="157" spans="1:13">
      <c r="A157" s="42" t="str">
        <f ca="1">IFERROR(__xludf.DUMMYFUNCTION("""COMPUTED_VALUE"""),"#N/A")</f>
        <v>#N/A</v>
      </c>
      <c r="B157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57" s="42" t="str">
        <f ca="1">IFERROR(__xludf.DUMMYFUNCTION("""COMPUTED_VALUE"""),"3. Operación")</f>
        <v>3. Operación</v>
      </c>
      <c r="D157" s="42" t="str">
        <f ca="1">IFERROR(__xludf.DUMMYFUNCTION("""COMPUTED_VALUE"""),"Guadalajara en Paz")</f>
        <v>Guadalajara en Paz</v>
      </c>
      <c r="E157" s="42" t="str">
        <f ca="1">IFERROR(__xludf.DUMMYFUNCTION("""COMPUTED_VALUE"""),"Educación Preescolar en Centros de Desarrollo Comunitarios")</f>
        <v>Educación Preescolar en Centros de Desarrollo Comunitarios</v>
      </c>
      <c r="F157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157" s="42" t="str">
        <f ca="1">IFERROR(__xludf.DUMMYFUNCTION("""COMPUTED_VALUE"""),"Promedio de niñas y niños que asisten al Preescolar en CDC,en 2023")</f>
        <v>Promedio de niñas y niños que asisten al Preescolar en CDC,en 2023</v>
      </c>
      <c r="H157" s="42" t="str">
        <f ca="1">IFERROR(__xludf.DUMMYFUNCTION("""COMPUTED_VALUE"""),"AH ABRIL")</f>
        <v>AH ABRIL</v>
      </c>
      <c r="I157" s="42" t="str">
        <f ca="1">IFERROR(__xludf.DUMMYFUNCTION("""COMPUTED_VALUE"""),"Abril")</f>
        <v>Abril</v>
      </c>
      <c r="J157" s="42" t="str">
        <f ca="1">IFERROR(__xludf.DUMMYFUNCTION("""COMPUTED_VALUE"""),"AH")</f>
        <v>AH</v>
      </c>
      <c r="K157" s="98"/>
      <c r="L157" s="42" t="str">
        <f ca="1">IFERROR(__xludf.DUMMYFUNCTION("""COMPUTED_VALUE"""),"TRIMESTRE 2")</f>
        <v>TRIMESTRE 2</v>
      </c>
      <c r="M157" s="42" t="str">
        <f ca="1">IFERROR(__xludf.DUMMYFUNCTION("""COMPUTED_VALUE"""),"ADOLESCENTES HOMBRES")</f>
        <v>ADOLESCENTES HOMBRES</v>
      </c>
    </row>
    <row r="158" spans="1:13">
      <c r="A158" s="42" t="str">
        <f ca="1">IFERROR(__xludf.DUMMYFUNCTION("""COMPUTED_VALUE"""),"#N/A")</f>
        <v>#N/A</v>
      </c>
      <c r="B158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58" s="42" t="str">
        <f ca="1">IFERROR(__xludf.DUMMYFUNCTION("""COMPUTED_VALUE"""),"3. Operación")</f>
        <v>3. Operación</v>
      </c>
      <c r="D158" s="42" t="str">
        <f ca="1">IFERROR(__xludf.DUMMYFUNCTION("""COMPUTED_VALUE"""),"Guadalajara en Paz")</f>
        <v>Guadalajara en Paz</v>
      </c>
      <c r="E158" s="42" t="str">
        <f ca="1">IFERROR(__xludf.DUMMYFUNCTION("""COMPUTED_VALUE"""),"Educación Preescolar en Centros de Desarrollo Comunitarios")</f>
        <v>Educación Preescolar en Centros de Desarrollo Comunitarios</v>
      </c>
      <c r="F158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158" s="42" t="str">
        <f ca="1">IFERROR(__xludf.DUMMYFUNCTION("""COMPUTED_VALUE"""),"Promedio de niñas y niños que asisten al Preescolar en CDC,en 2023")</f>
        <v>Promedio de niñas y niños que asisten al Preescolar en CDC,en 2023</v>
      </c>
      <c r="H158" s="42" t="str">
        <f ca="1">IFERROR(__xludf.DUMMYFUNCTION("""COMPUTED_VALUE"""),"MUJ Abril")</f>
        <v>MUJ Abril</v>
      </c>
      <c r="I158" s="42" t="str">
        <f ca="1">IFERROR(__xludf.DUMMYFUNCTION("""COMPUTED_VALUE"""),"Abril")</f>
        <v>Abril</v>
      </c>
      <c r="J158" s="42" t="str">
        <f ca="1">IFERROR(__xludf.DUMMYFUNCTION("""COMPUTED_VALUE"""),"MUJ")</f>
        <v>MUJ</v>
      </c>
      <c r="K158" s="98"/>
      <c r="L158" s="42" t="str">
        <f ca="1">IFERROR(__xludf.DUMMYFUNCTION("""COMPUTED_VALUE"""),"TRIMESTRE 2")</f>
        <v>TRIMESTRE 2</v>
      </c>
      <c r="M158" s="42" t="str">
        <f ca="1">IFERROR(__xludf.DUMMYFUNCTION("""COMPUTED_VALUE"""),"MUJERES ADULTAS")</f>
        <v>MUJERES ADULTAS</v>
      </c>
    </row>
    <row r="159" spans="1:13">
      <c r="A159" s="42" t="str">
        <f ca="1">IFERROR(__xludf.DUMMYFUNCTION("""COMPUTED_VALUE"""),"#N/A")</f>
        <v>#N/A</v>
      </c>
      <c r="B159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59" s="42" t="str">
        <f ca="1">IFERROR(__xludf.DUMMYFUNCTION("""COMPUTED_VALUE"""),"3. Operación")</f>
        <v>3. Operación</v>
      </c>
      <c r="D159" s="42" t="str">
        <f ca="1">IFERROR(__xludf.DUMMYFUNCTION("""COMPUTED_VALUE"""),"Guadalajara en Paz")</f>
        <v>Guadalajara en Paz</v>
      </c>
      <c r="E159" s="42" t="str">
        <f ca="1">IFERROR(__xludf.DUMMYFUNCTION("""COMPUTED_VALUE"""),"Educación Preescolar en Centros de Desarrollo Comunitarios")</f>
        <v>Educación Preescolar en Centros de Desarrollo Comunitarios</v>
      </c>
      <c r="F159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159" s="42" t="str">
        <f ca="1">IFERROR(__xludf.DUMMYFUNCTION("""COMPUTED_VALUE"""),"Promedio de niñas y niños que asisten al Preescolar en CDC,en 2023")</f>
        <v>Promedio de niñas y niños que asisten al Preescolar en CDC,en 2023</v>
      </c>
      <c r="H159" s="42" t="str">
        <f ca="1">IFERROR(__xludf.DUMMYFUNCTION("""COMPUTED_VALUE"""),"HOM Abril")</f>
        <v>HOM Abril</v>
      </c>
      <c r="I159" s="42" t="str">
        <f ca="1">IFERROR(__xludf.DUMMYFUNCTION("""COMPUTED_VALUE"""),"Abril")</f>
        <v>Abril</v>
      </c>
      <c r="J159" s="42" t="str">
        <f ca="1">IFERROR(__xludf.DUMMYFUNCTION("""COMPUTED_VALUE"""),"HOM")</f>
        <v>HOM</v>
      </c>
      <c r="K159" s="98"/>
      <c r="L159" s="42" t="str">
        <f ca="1">IFERROR(__xludf.DUMMYFUNCTION("""COMPUTED_VALUE"""),"TRIMESTRE 2")</f>
        <v>TRIMESTRE 2</v>
      </c>
      <c r="M159" s="42" t="str">
        <f ca="1">IFERROR(__xludf.DUMMYFUNCTION("""COMPUTED_VALUE"""),"HOMBRES ADULTOS")</f>
        <v>HOMBRES ADULTOS</v>
      </c>
    </row>
    <row r="160" spans="1:13">
      <c r="A160" s="42" t="str">
        <f ca="1">IFERROR(__xludf.DUMMYFUNCTION("""COMPUTED_VALUE"""),"#N/A")</f>
        <v>#N/A</v>
      </c>
      <c r="B160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60" s="42" t="str">
        <f ca="1">IFERROR(__xludf.DUMMYFUNCTION("""COMPUTED_VALUE"""),"3. Operación")</f>
        <v>3. Operación</v>
      </c>
      <c r="D160" s="42" t="str">
        <f ca="1">IFERROR(__xludf.DUMMYFUNCTION("""COMPUTED_VALUE"""),"Guadalajara en Paz")</f>
        <v>Guadalajara en Paz</v>
      </c>
      <c r="E160" s="42" t="str">
        <f ca="1">IFERROR(__xludf.DUMMYFUNCTION("""COMPUTED_VALUE"""),"Educación Preescolar en Centros de Desarrollo Comunitarios")</f>
        <v>Educación Preescolar en Centros de Desarrollo Comunitarios</v>
      </c>
      <c r="F160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160" s="42" t="str">
        <f ca="1">IFERROR(__xludf.DUMMYFUNCTION("""COMPUTED_VALUE"""),"Promedio de niñas y niños que asisten al Preescolar en CDC,en 2023")</f>
        <v>Promedio de niñas y niños que asisten al Preescolar en CDC,en 2023</v>
      </c>
      <c r="H160" s="42" t="str">
        <f ca="1">IFERROR(__xludf.DUMMYFUNCTION("""COMPUTED_VALUE"""),"AMM Abril")</f>
        <v>AMM Abril</v>
      </c>
      <c r="I160" s="42" t="str">
        <f ca="1">IFERROR(__xludf.DUMMYFUNCTION("""COMPUTED_VALUE"""),"Abril")</f>
        <v>Abril</v>
      </c>
      <c r="J160" s="42" t="str">
        <f ca="1">IFERROR(__xludf.DUMMYFUNCTION("""COMPUTED_VALUE"""),"AMM")</f>
        <v>AMM</v>
      </c>
      <c r="K160" s="98"/>
      <c r="L160" s="42" t="str">
        <f ca="1">IFERROR(__xludf.DUMMYFUNCTION("""COMPUTED_VALUE"""),"TRIMESTRE 2")</f>
        <v>TRIMESTRE 2</v>
      </c>
      <c r="M160" s="42" t="str">
        <f ca="1">IFERROR(__xludf.DUMMYFUNCTION("""COMPUTED_VALUE"""),"ADULTA MAYOR MUJER")</f>
        <v>ADULTA MAYOR MUJER</v>
      </c>
    </row>
    <row r="161" spans="1:13">
      <c r="A161" s="42" t="str">
        <f ca="1">IFERROR(__xludf.DUMMYFUNCTION("""COMPUTED_VALUE"""),"#N/A")</f>
        <v>#N/A</v>
      </c>
      <c r="B161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61" s="42" t="str">
        <f ca="1">IFERROR(__xludf.DUMMYFUNCTION("""COMPUTED_VALUE"""),"3. Operación")</f>
        <v>3. Operación</v>
      </c>
      <c r="D161" s="42" t="str">
        <f ca="1">IFERROR(__xludf.DUMMYFUNCTION("""COMPUTED_VALUE"""),"Guadalajara en Paz")</f>
        <v>Guadalajara en Paz</v>
      </c>
      <c r="E161" s="42" t="str">
        <f ca="1">IFERROR(__xludf.DUMMYFUNCTION("""COMPUTED_VALUE"""),"Educación Preescolar en Centros de Desarrollo Comunitarios")</f>
        <v>Educación Preescolar en Centros de Desarrollo Comunitarios</v>
      </c>
      <c r="F161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161" s="42" t="str">
        <f ca="1">IFERROR(__xludf.DUMMYFUNCTION("""COMPUTED_VALUE"""),"Promedio de niñas y niños que asisten al Preescolar en CDC,en 2023")</f>
        <v>Promedio de niñas y niños que asisten al Preescolar en CDC,en 2023</v>
      </c>
      <c r="H161" s="42" t="str">
        <f ca="1">IFERROR(__xludf.DUMMYFUNCTION("""COMPUTED_VALUE"""),"AMH Abril")</f>
        <v>AMH Abril</v>
      </c>
      <c r="I161" s="42" t="str">
        <f ca="1">IFERROR(__xludf.DUMMYFUNCTION("""COMPUTED_VALUE"""),"Abril")</f>
        <v>Abril</v>
      </c>
      <c r="J161" s="42" t="str">
        <f ca="1">IFERROR(__xludf.DUMMYFUNCTION("""COMPUTED_VALUE"""),"AMH")</f>
        <v>AMH</v>
      </c>
      <c r="K161" s="98"/>
      <c r="L161" s="42" t="str">
        <f ca="1">IFERROR(__xludf.DUMMYFUNCTION("""COMPUTED_VALUE"""),"TRIMESTRE 2")</f>
        <v>TRIMESTRE 2</v>
      </c>
      <c r="M161" s="42" t="str">
        <f ca="1">IFERROR(__xludf.DUMMYFUNCTION("""COMPUTED_VALUE"""),"ADULTO MAYOR HOMBRE")</f>
        <v>ADULTO MAYOR HOMBRE</v>
      </c>
    </row>
    <row r="162" spans="1:13">
      <c r="A162" s="42" t="str">
        <f ca="1">IFERROR(__xludf.DUMMYFUNCTION("""COMPUTED_VALUE"""),"2.1.1.16")</f>
        <v>2.1.1.16</v>
      </c>
      <c r="B162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62" s="42" t="str">
        <f ca="1">IFERROR(__xludf.DUMMYFUNCTION("""COMPUTED_VALUE"""),"3. Operación")</f>
        <v>3. Operación</v>
      </c>
      <c r="D162" s="42" t="str">
        <f ca="1">IFERROR(__xludf.DUMMYFUNCTION("""COMPUTED_VALUE"""),"Guadalajara en Paz")</f>
        <v>Guadalajara en Paz</v>
      </c>
      <c r="E162" s="42" t="str">
        <f ca="1">IFERROR(__xludf.DUMMYFUNCTION("""COMPUTED_VALUE"""),"Educación Preescolar en Centros de Desarrollo Comunitarios")</f>
        <v>Educación Preescolar en Centros de Desarrollo Comunitarios</v>
      </c>
      <c r="F162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62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62" s="42" t="str">
        <f ca="1">IFERROR(__xludf.DUMMYFUNCTION("""COMPUTED_VALUE"""),"NAS Mayo")</f>
        <v>NAS Mayo</v>
      </c>
      <c r="I162" s="42" t="str">
        <f ca="1">IFERROR(__xludf.DUMMYFUNCTION("""COMPUTED_VALUE"""),"Mayo")</f>
        <v>Mayo</v>
      </c>
      <c r="J162" s="42" t="str">
        <f ca="1">IFERROR(__xludf.DUMMYFUNCTION("""COMPUTED_VALUE"""),"NAS")</f>
        <v>NAS</v>
      </c>
      <c r="K162" s="98"/>
      <c r="L162" s="42" t="str">
        <f ca="1">IFERROR(__xludf.DUMMYFUNCTION("""COMPUTED_VALUE"""),"TRIMESTRE 2")</f>
        <v>TRIMESTRE 2</v>
      </c>
      <c r="M162" s="42" t="str">
        <f ca="1">IFERROR(__xludf.DUMMYFUNCTION("""COMPUTED_VALUE"""),"NIÑAS")</f>
        <v>NIÑAS</v>
      </c>
    </row>
    <row r="163" spans="1:13">
      <c r="A163" s="42" t="str">
        <f ca="1">IFERROR(__xludf.DUMMYFUNCTION("""COMPUTED_VALUE"""),"2.1.1.16")</f>
        <v>2.1.1.16</v>
      </c>
      <c r="B163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63" s="42" t="str">
        <f ca="1">IFERROR(__xludf.DUMMYFUNCTION("""COMPUTED_VALUE"""),"3. Operación")</f>
        <v>3. Operación</v>
      </c>
      <c r="D163" s="42" t="str">
        <f ca="1">IFERROR(__xludf.DUMMYFUNCTION("""COMPUTED_VALUE"""),"Guadalajara en Paz")</f>
        <v>Guadalajara en Paz</v>
      </c>
      <c r="E163" s="42" t="str">
        <f ca="1">IFERROR(__xludf.DUMMYFUNCTION("""COMPUTED_VALUE"""),"Educación Preescolar en Centros de Desarrollo Comunitarios")</f>
        <v>Educación Preescolar en Centros de Desarrollo Comunitarios</v>
      </c>
      <c r="F163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63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63" s="42" t="str">
        <f ca="1">IFERROR(__xludf.DUMMYFUNCTION("""COMPUTED_VALUE"""),"NOS Mayo")</f>
        <v>NOS Mayo</v>
      </c>
      <c r="I163" s="42" t="str">
        <f ca="1">IFERROR(__xludf.DUMMYFUNCTION("""COMPUTED_VALUE"""),"Mayo")</f>
        <v>Mayo</v>
      </c>
      <c r="J163" s="42" t="str">
        <f ca="1">IFERROR(__xludf.DUMMYFUNCTION("""COMPUTED_VALUE"""),"NOS")</f>
        <v>NOS</v>
      </c>
      <c r="K163" s="98"/>
      <c r="L163" s="42" t="str">
        <f ca="1">IFERROR(__xludf.DUMMYFUNCTION("""COMPUTED_VALUE"""),"TRIMESTRE 2")</f>
        <v>TRIMESTRE 2</v>
      </c>
      <c r="M163" s="42" t="str">
        <f ca="1">IFERROR(__xludf.DUMMYFUNCTION("""COMPUTED_VALUE"""),"NIÑOS")</f>
        <v>NIÑOS</v>
      </c>
    </row>
    <row r="164" spans="1:13">
      <c r="A164" s="42" t="str">
        <f ca="1">IFERROR(__xludf.DUMMYFUNCTION("""COMPUTED_VALUE"""),"2.1.1.16")</f>
        <v>2.1.1.16</v>
      </c>
      <c r="B164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64" s="42" t="str">
        <f ca="1">IFERROR(__xludf.DUMMYFUNCTION("""COMPUTED_VALUE"""),"3. Operación")</f>
        <v>3. Operación</v>
      </c>
      <c r="D164" s="42" t="str">
        <f ca="1">IFERROR(__xludf.DUMMYFUNCTION("""COMPUTED_VALUE"""),"Guadalajara en Paz")</f>
        <v>Guadalajara en Paz</v>
      </c>
      <c r="E164" s="42" t="str">
        <f ca="1">IFERROR(__xludf.DUMMYFUNCTION("""COMPUTED_VALUE"""),"Educación Preescolar en Centros de Desarrollo Comunitarios")</f>
        <v>Educación Preescolar en Centros de Desarrollo Comunitarios</v>
      </c>
      <c r="F164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64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64" s="42" t="str">
        <f ca="1">IFERROR(__xludf.DUMMYFUNCTION("""COMPUTED_VALUE"""),"AM MAYO")</f>
        <v>AM MAYO</v>
      </c>
      <c r="I164" s="42" t="str">
        <f ca="1">IFERROR(__xludf.DUMMYFUNCTION("""COMPUTED_VALUE"""),"Mayo")</f>
        <v>Mayo</v>
      </c>
      <c r="J164" s="42" t="str">
        <f ca="1">IFERROR(__xludf.DUMMYFUNCTION("""COMPUTED_VALUE"""),"AM")</f>
        <v>AM</v>
      </c>
      <c r="K164" s="98"/>
      <c r="L164" s="42" t="str">
        <f ca="1">IFERROR(__xludf.DUMMYFUNCTION("""COMPUTED_VALUE"""),"TRIMESTRE 2")</f>
        <v>TRIMESTRE 2</v>
      </c>
      <c r="M164" s="42" t="str">
        <f ca="1">IFERROR(__xludf.DUMMYFUNCTION("""COMPUTED_VALUE"""),"ADOLESCENTES MUJERES")</f>
        <v>ADOLESCENTES MUJERES</v>
      </c>
    </row>
    <row r="165" spans="1:13">
      <c r="A165" s="42" t="str">
        <f ca="1">IFERROR(__xludf.DUMMYFUNCTION("""COMPUTED_VALUE"""),"2.1.1.16")</f>
        <v>2.1.1.16</v>
      </c>
      <c r="B165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65" s="42" t="str">
        <f ca="1">IFERROR(__xludf.DUMMYFUNCTION("""COMPUTED_VALUE"""),"3. Operación")</f>
        <v>3. Operación</v>
      </c>
      <c r="D165" s="42" t="str">
        <f ca="1">IFERROR(__xludf.DUMMYFUNCTION("""COMPUTED_VALUE"""),"Guadalajara en Paz")</f>
        <v>Guadalajara en Paz</v>
      </c>
      <c r="E165" s="42" t="str">
        <f ca="1">IFERROR(__xludf.DUMMYFUNCTION("""COMPUTED_VALUE"""),"Educación Preescolar en Centros de Desarrollo Comunitarios")</f>
        <v>Educación Preescolar en Centros de Desarrollo Comunitarios</v>
      </c>
      <c r="F165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65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65" s="42" t="str">
        <f ca="1">IFERROR(__xludf.DUMMYFUNCTION("""COMPUTED_VALUE"""),"AH MAYO")</f>
        <v>AH MAYO</v>
      </c>
      <c r="I165" s="42" t="str">
        <f ca="1">IFERROR(__xludf.DUMMYFUNCTION("""COMPUTED_VALUE"""),"Mayo")</f>
        <v>Mayo</v>
      </c>
      <c r="J165" s="42" t="str">
        <f ca="1">IFERROR(__xludf.DUMMYFUNCTION("""COMPUTED_VALUE"""),"AH")</f>
        <v>AH</v>
      </c>
      <c r="K165" s="98"/>
      <c r="L165" s="42" t="str">
        <f ca="1">IFERROR(__xludf.DUMMYFUNCTION("""COMPUTED_VALUE"""),"TRIMESTRE 2")</f>
        <v>TRIMESTRE 2</v>
      </c>
      <c r="M165" s="42" t="str">
        <f ca="1">IFERROR(__xludf.DUMMYFUNCTION("""COMPUTED_VALUE"""),"ADOLESCENTES HOMBRES")</f>
        <v>ADOLESCENTES HOMBRES</v>
      </c>
    </row>
    <row r="166" spans="1:13">
      <c r="A166" s="42" t="str">
        <f ca="1">IFERROR(__xludf.DUMMYFUNCTION("""COMPUTED_VALUE"""),"2.1.1.16")</f>
        <v>2.1.1.16</v>
      </c>
      <c r="B166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66" s="42" t="str">
        <f ca="1">IFERROR(__xludf.DUMMYFUNCTION("""COMPUTED_VALUE"""),"3. Operación")</f>
        <v>3. Operación</v>
      </c>
      <c r="D166" s="42" t="str">
        <f ca="1">IFERROR(__xludf.DUMMYFUNCTION("""COMPUTED_VALUE"""),"Guadalajara en Paz")</f>
        <v>Guadalajara en Paz</v>
      </c>
      <c r="E166" s="42" t="str">
        <f ca="1">IFERROR(__xludf.DUMMYFUNCTION("""COMPUTED_VALUE"""),"Educación Preescolar en Centros de Desarrollo Comunitarios")</f>
        <v>Educación Preescolar en Centros de Desarrollo Comunitarios</v>
      </c>
      <c r="F166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66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66" s="42" t="str">
        <f ca="1">IFERROR(__xludf.DUMMYFUNCTION("""COMPUTED_VALUE"""),"MUJ Mayo")</f>
        <v>MUJ Mayo</v>
      </c>
      <c r="I166" s="42" t="str">
        <f ca="1">IFERROR(__xludf.DUMMYFUNCTION("""COMPUTED_VALUE"""),"Mayo")</f>
        <v>Mayo</v>
      </c>
      <c r="J166" s="42" t="str">
        <f ca="1">IFERROR(__xludf.DUMMYFUNCTION("""COMPUTED_VALUE"""),"MUJ")</f>
        <v>MUJ</v>
      </c>
      <c r="K166" s="98"/>
      <c r="L166" s="42" t="str">
        <f ca="1">IFERROR(__xludf.DUMMYFUNCTION("""COMPUTED_VALUE"""),"TRIMESTRE 2")</f>
        <v>TRIMESTRE 2</v>
      </c>
      <c r="M166" s="42" t="str">
        <f ca="1">IFERROR(__xludf.DUMMYFUNCTION("""COMPUTED_VALUE"""),"MUJERES ADULTAS")</f>
        <v>MUJERES ADULTAS</v>
      </c>
    </row>
    <row r="167" spans="1:13">
      <c r="A167" s="42" t="str">
        <f ca="1">IFERROR(__xludf.DUMMYFUNCTION("""COMPUTED_VALUE"""),"2.1.1.16")</f>
        <v>2.1.1.16</v>
      </c>
      <c r="B167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67" s="42" t="str">
        <f ca="1">IFERROR(__xludf.DUMMYFUNCTION("""COMPUTED_VALUE"""),"3. Operación")</f>
        <v>3. Operación</v>
      </c>
      <c r="D167" s="42" t="str">
        <f ca="1">IFERROR(__xludf.DUMMYFUNCTION("""COMPUTED_VALUE"""),"Guadalajara en Paz")</f>
        <v>Guadalajara en Paz</v>
      </c>
      <c r="E167" s="42" t="str">
        <f ca="1">IFERROR(__xludf.DUMMYFUNCTION("""COMPUTED_VALUE"""),"Educación Preescolar en Centros de Desarrollo Comunitarios")</f>
        <v>Educación Preescolar en Centros de Desarrollo Comunitarios</v>
      </c>
      <c r="F167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67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67" s="42" t="str">
        <f ca="1">IFERROR(__xludf.DUMMYFUNCTION("""COMPUTED_VALUE"""),"HOM Mayo")</f>
        <v>HOM Mayo</v>
      </c>
      <c r="I167" s="42" t="str">
        <f ca="1">IFERROR(__xludf.DUMMYFUNCTION("""COMPUTED_VALUE"""),"Mayo")</f>
        <v>Mayo</v>
      </c>
      <c r="J167" s="42" t="str">
        <f ca="1">IFERROR(__xludf.DUMMYFUNCTION("""COMPUTED_VALUE"""),"HOM")</f>
        <v>HOM</v>
      </c>
      <c r="K167" s="98"/>
      <c r="L167" s="42" t="str">
        <f ca="1">IFERROR(__xludf.DUMMYFUNCTION("""COMPUTED_VALUE"""),"TRIMESTRE 2")</f>
        <v>TRIMESTRE 2</v>
      </c>
      <c r="M167" s="42" t="str">
        <f ca="1">IFERROR(__xludf.DUMMYFUNCTION("""COMPUTED_VALUE"""),"HOMBRES ADULTOS")</f>
        <v>HOMBRES ADULTOS</v>
      </c>
    </row>
    <row r="168" spans="1:13">
      <c r="A168" s="42" t="str">
        <f ca="1">IFERROR(__xludf.DUMMYFUNCTION("""COMPUTED_VALUE"""),"2.1.1.16")</f>
        <v>2.1.1.16</v>
      </c>
      <c r="B168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68" s="42" t="str">
        <f ca="1">IFERROR(__xludf.DUMMYFUNCTION("""COMPUTED_VALUE"""),"3. Operación")</f>
        <v>3. Operación</v>
      </c>
      <c r="D168" s="42" t="str">
        <f ca="1">IFERROR(__xludf.DUMMYFUNCTION("""COMPUTED_VALUE"""),"Guadalajara en Paz")</f>
        <v>Guadalajara en Paz</v>
      </c>
      <c r="E168" s="42" t="str">
        <f ca="1">IFERROR(__xludf.DUMMYFUNCTION("""COMPUTED_VALUE"""),"Educación Preescolar en Centros de Desarrollo Comunitarios")</f>
        <v>Educación Preescolar en Centros de Desarrollo Comunitarios</v>
      </c>
      <c r="F168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68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68" s="42" t="str">
        <f ca="1">IFERROR(__xludf.DUMMYFUNCTION("""COMPUTED_VALUE"""),"AMM Mayo")</f>
        <v>AMM Mayo</v>
      </c>
      <c r="I168" s="42" t="str">
        <f ca="1">IFERROR(__xludf.DUMMYFUNCTION("""COMPUTED_VALUE"""),"Mayo")</f>
        <v>Mayo</v>
      </c>
      <c r="J168" s="42" t="str">
        <f ca="1">IFERROR(__xludf.DUMMYFUNCTION("""COMPUTED_VALUE"""),"AMM")</f>
        <v>AMM</v>
      </c>
      <c r="K168" s="98"/>
      <c r="L168" s="42" t="str">
        <f ca="1">IFERROR(__xludf.DUMMYFUNCTION("""COMPUTED_VALUE"""),"TRIMESTRE 2")</f>
        <v>TRIMESTRE 2</v>
      </c>
      <c r="M168" s="42" t="str">
        <f ca="1">IFERROR(__xludf.DUMMYFUNCTION("""COMPUTED_VALUE"""),"ADULTA MAYOR MUJER")</f>
        <v>ADULTA MAYOR MUJER</v>
      </c>
    </row>
    <row r="169" spans="1:13">
      <c r="A169" s="42" t="str">
        <f ca="1">IFERROR(__xludf.DUMMYFUNCTION("""COMPUTED_VALUE"""),"2.1.1.16")</f>
        <v>2.1.1.16</v>
      </c>
      <c r="B169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69" s="42" t="str">
        <f ca="1">IFERROR(__xludf.DUMMYFUNCTION("""COMPUTED_VALUE"""),"3. Operación")</f>
        <v>3. Operación</v>
      </c>
      <c r="D169" s="42" t="str">
        <f ca="1">IFERROR(__xludf.DUMMYFUNCTION("""COMPUTED_VALUE"""),"Guadalajara en Paz")</f>
        <v>Guadalajara en Paz</v>
      </c>
      <c r="E169" s="42" t="str">
        <f ca="1">IFERROR(__xludf.DUMMYFUNCTION("""COMPUTED_VALUE"""),"Educación Preescolar en Centros de Desarrollo Comunitarios")</f>
        <v>Educación Preescolar en Centros de Desarrollo Comunitarios</v>
      </c>
      <c r="F169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69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69" s="42" t="str">
        <f ca="1">IFERROR(__xludf.DUMMYFUNCTION("""COMPUTED_VALUE"""),"AMH Mayo")</f>
        <v>AMH Mayo</v>
      </c>
      <c r="I169" s="42" t="str">
        <f ca="1">IFERROR(__xludf.DUMMYFUNCTION("""COMPUTED_VALUE"""),"Mayo")</f>
        <v>Mayo</v>
      </c>
      <c r="J169" s="42" t="str">
        <f ca="1">IFERROR(__xludf.DUMMYFUNCTION("""COMPUTED_VALUE"""),"AMH")</f>
        <v>AMH</v>
      </c>
      <c r="K169" s="98"/>
      <c r="L169" s="42" t="str">
        <f ca="1">IFERROR(__xludf.DUMMYFUNCTION("""COMPUTED_VALUE"""),"TRIMESTRE 2")</f>
        <v>TRIMESTRE 2</v>
      </c>
      <c r="M169" s="42" t="str">
        <f ca="1">IFERROR(__xludf.DUMMYFUNCTION("""COMPUTED_VALUE"""),"ADULTO MAYOR HOMBRE")</f>
        <v>ADULTO MAYOR HOMBRE</v>
      </c>
    </row>
    <row r="170" spans="1:13">
      <c r="A170" s="42" t="str">
        <f ca="1">IFERROR(__xludf.DUMMYFUNCTION("""COMPUTED_VALUE"""),"#N/A")</f>
        <v>#N/A</v>
      </c>
      <c r="B170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70" s="42" t="str">
        <f ca="1">IFERROR(__xludf.DUMMYFUNCTION("""COMPUTED_VALUE"""),"3. Operación")</f>
        <v>3. Operación</v>
      </c>
      <c r="D170" s="42" t="str">
        <f ca="1">IFERROR(__xludf.DUMMYFUNCTION("""COMPUTED_VALUE"""),"Guadalajara en Paz")</f>
        <v>Guadalajara en Paz</v>
      </c>
      <c r="E170" s="42" t="str">
        <f ca="1">IFERROR(__xludf.DUMMYFUNCTION("""COMPUTED_VALUE"""),"Educación Preescolar en Centros de Desarrollo Comunitarios")</f>
        <v>Educación Preescolar en Centros de Desarrollo Comunitarios</v>
      </c>
      <c r="F170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170" s="42" t="str">
        <f ca="1">IFERROR(__xludf.DUMMYFUNCTION("""COMPUTED_VALUE"""),"Promedio de niñas y niños que asisten al Preescolar en CDC,en 2023")</f>
        <v>Promedio de niñas y niños que asisten al Preescolar en CDC,en 2023</v>
      </c>
      <c r="H170" s="42" t="str">
        <f ca="1">IFERROR(__xludf.DUMMYFUNCTION("""COMPUTED_VALUE"""),"NAS Mayo")</f>
        <v>NAS Mayo</v>
      </c>
      <c r="I170" s="42" t="str">
        <f ca="1">IFERROR(__xludf.DUMMYFUNCTION("""COMPUTED_VALUE"""),"Mayo")</f>
        <v>Mayo</v>
      </c>
      <c r="J170" s="42" t="str">
        <f ca="1">IFERROR(__xludf.DUMMYFUNCTION("""COMPUTED_VALUE"""),"NAS")</f>
        <v>NAS</v>
      </c>
      <c r="K170" s="98">
        <f ca="1">IFERROR(__xludf.DUMMYFUNCTION("""COMPUTED_VALUE"""),1013)</f>
        <v>1013</v>
      </c>
      <c r="L170" s="42" t="str">
        <f ca="1">IFERROR(__xludf.DUMMYFUNCTION("""COMPUTED_VALUE"""),"TRIMESTRE 2")</f>
        <v>TRIMESTRE 2</v>
      </c>
      <c r="M170" s="42" t="str">
        <f ca="1">IFERROR(__xludf.DUMMYFUNCTION("""COMPUTED_VALUE"""),"NIÑAS")</f>
        <v>NIÑAS</v>
      </c>
    </row>
    <row r="171" spans="1:13">
      <c r="A171" s="42" t="str">
        <f ca="1">IFERROR(__xludf.DUMMYFUNCTION("""COMPUTED_VALUE"""),"#N/A")</f>
        <v>#N/A</v>
      </c>
      <c r="B171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71" s="42" t="str">
        <f ca="1">IFERROR(__xludf.DUMMYFUNCTION("""COMPUTED_VALUE"""),"3. Operación")</f>
        <v>3. Operación</v>
      </c>
      <c r="D171" s="42" t="str">
        <f ca="1">IFERROR(__xludf.DUMMYFUNCTION("""COMPUTED_VALUE"""),"Guadalajara en Paz")</f>
        <v>Guadalajara en Paz</v>
      </c>
      <c r="E171" s="42" t="str">
        <f ca="1">IFERROR(__xludf.DUMMYFUNCTION("""COMPUTED_VALUE"""),"Educación Preescolar en Centros de Desarrollo Comunitarios")</f>
        <v>Educación Preescolar en Centros de Desarrollo Comunitarios</v>
      </c>
      <c r="F171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171" s="42" t="str">
        <f ca="1">IFERROR(__xludf.DUMMYFUNCTION("""COMPUTED_VALUE"""),"Promedio de niñas y niños que asisten al Preescolar en CDC,en 2023")</f>
        <v>Promedio de niñas y niños que asisten al Preescolar en CDC,en 2023</v>
      </c>
      <c r="H171" s="42" t="str">
        <f ca="1">IFERROR(__xludf.DUMMYFUNCTION("""COMPUTED_VALUE"""),"NOS Mayo")</f>
        <v>NOS Mayo</v>
      </c>
      <c r="I171" s="42" t="str">
        <f ca="1">IFERROR(__xludf.DUMMYFUNCTION("""COMPUTED_VALUE"""),"Mayo")</f>
        <v>Mayo</v>
      </c>
      <c r="J171" s="42" t="str">
        <f ca="1">IFERROR(__xludf.DUMMYFUNCTION("""COMPUTED_VALUE"""),"NOS")</f>
        <v>NOS</v>
      </c>
      <c r="K171" s="98">
        <f ca="1">IFERROR(__xludf.DUMMYFUNCTION("""COMPUTED_VALUE"""),1083)</f>
        <v>1083</v>
      </c>
      <c r="L171" s="42" t="str">
        <f ca="1">IFERROR(__xludf.DUMMYFUNCTION("""COMPUTED_VALUE"""),"TRIMESTRE 2")</f>
        <v>TRIMESTRE 2</v>
      </c>
      <c r="M171" s="42" t="str">
        <f ca="1">IFERROR(__xludf.DUMMYFUNCTION("""COMPUTED_VALUE"""),"NIÑOS")</f>
        <v>NIÑOS</v>
      </c>
    </row>
    <row r="172" spans="1:13">
      <c r="A172" s="42" t="str">
        <f ca="1">IFERROR(__xludf.DUMMYFUNCTION("""COMPUTED_VALUE"""),"#N/A")</f>
        <v>#N/A</v>
      </c>
      <c r="B172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72" s="42" t="str">
        <f ca="1">IFERROR(__xludf.DUMMYFUNCTION("""COMPUTED_VALUE"""),"3. Operación")</f>
        <v>3. Operación</v>
      </c>
      <c r="D172" s="42" t="str">
        <f ca="1">IFERROR(__xludf.DUMMYFUNCTION("""COMPUTED_VALUE"""),"Guadalajara en Paz")</f>
        <v>Guadalajara en Paz</v>
      </c>
      <c r="E172" s="42" t="str">
        <f ca="1">IFERROR(__xludf.DUMMYFUNCTION("""COMPUTED_VALUE"""),"Educación Preescolar en Centros de Desarrollo Comunitarios")</f>
        <v>Educación Preescolar en Centros de Desarrollo Comunitarios</v>
      </c>
      <c r="F172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172" s="42" t="str">
        <f ca="1">IFERROR(__xludf.DUMMYFUNCTION("""COMPUTED_VALUE"""),"Promedio de niñas y niños que asisten al Preescolar en CDC,en 2023")</f>
        <v>Promedio de niñas y niños que asisten al Preescolar en CDC,en 2023</v>
      </c>
      <c r="H172" s="42" t="str">
        <f ca="1">IFERROR(__xludf.DUMMYFUNCTION("""COMPUTED_VALUE"""),"AM MAYO")</f>
        <v>AM MAYO</v>
      </c>
      <c r="I172" s="42" t="str">
        <f ca="1">IFERROR(__xludf.DUMMYFUNCTION("""COMPUTED_VALUE"""),"Mayo")</f>
        <v>Mayo</v>
      </c>
      <c r="J172" s="42" t="str">
        <f ca="1">IFERROR(__xludf.DUMMYFUNCTION("""COMPUTED_VALUE"""),"AM")</f>
        <v>AM</v>
      </c>
      <c r="K172" s="98"/>
      <c r="L172" s="42" t="str">
        <f ca="1">IFERROR(__xludf.DUMMYFUNCTION("""COMPUTED_VALUE"""),"TRIMESTRE 2")</f>
        <v>TRIMESTRE 2</v>
      </c>
      <c r="M172" s="42" t="str">
        <f ca="1">IFERROR(__xludf.DUMMYFUNCTION("""COMPUTED_VALUE"""),"ADOLESCENTES MUJERES")</f>
        <v>ADOLESCENTES MUJERES</v>
      </c>
    </row>
    <row r="173" spans="1:13">
      <c r="A173" s="42" t="str">
        <f ca="1">IFERROR(__xludf.DUMMYFUNCTION("""COMPUTED_VALUE"""),"#N/A")</f>
        <v>#N/A</v>
      </c>
      <c r="B173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73" s="42" t="str">
        <f ca="1">IFERROR(__xludf.DUMMYFUNCTION("""COMPUTED_VALUE"""),"3. Operación")</f>
        <v>3. Operación</v>
      </c>
      <c r="D173" s="42" t="str">
        <f ca="1">IFERROR(__xludf.DUMMYFUNCTION("""COMPUTED_VALUE"""),"Guadalajara en Paz")</f>
        <v>Guadalajara en Paz</v>
      </c>
      <c r="E173" s="42" t="str">
        <f ca="1">IFERROR(__xludf.DUMMYFUNCTION("""COMPUTED_VALUE"""),"Educación Preescolar en Centros de Desarrollo Comunitarios")</f>
        <v>Educación Preescolar en Centros de Desarrollo Comunitarios</v>
      </c>
      <c r="F173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173" s="42" t="str">
        <f ca="1">IFERROR(__xludf.DUMMYFUNCTION("""COMPUTED_VALUE"""),"Promedio de niñas y niños que asisten al Preescolar en CDC,en 2023")</f>
        <v>Promedio de niñas y niños que asisten al Preescolar en CDC,en 2023</v>
      </c>
      <c r="H173" s="42" t="str">
        <f ca="1">IFERROR(__xludf.DUMMYFUNCTION("""COMPUTED_VALUE"""),"AH MAYO")</f>
        <v>AH MAYO</v>
      </c>
      <c r="I173" s="42" t="str">
        <f ca="1">IFERROR(__xludf.DUMMYFUNCTION("""COMPUTED_VALUE"""),"Mayo")</f>
        <v>Mayo</v>
      </c>
      <c r="J173" s="42" t="str">
        <f ca="1">IFERROR(__xludf.DUMMYFUNCTION("""COMPUTED_VALUE"""),"AH")</f>
        <v>AH</v>
      </c>
      <c r="K173" s="98"/>
      <c r="L173" s="42" t="str">
        <f ca="1">IFERROR(__xludf.DUMMYFUNCTION("""COMPUTED_VALUE"""),"TRIMESTRE 2")</f>
        <v>TRIMESTRE 2</v>
      </c>
      <c r="M173" s="42" t="str">
        <f ca="1">IFERROR(__xludf.DUMMYFUNCTION("""COMPUTED_VALUE"""),"ADOLESCENTES HOMBRES")</f>
        <v>ADOLESCENTES HOMBRES</v>
      </c>
    </row>
    <row r="174" spans="1:13">
      <c r="A174" s="42" t="str">
        <f ca="1">IFERROR(__xludf.DUMMYFUNCTION("""COMPUTED_VALUE"""),"#N/A")</f>
        <v>#N/A</v>
      </c>
      <c r="B174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74" s="42" t="str">
        <f ca="1">IFERROR(__xludf.DUMMYFUNCTION("""COMPUTED_VALUE"""),"3. Operación")</f>
        <v>3. Operación</v>
      </c>
      <c r="D174" s="42" t="str">
        <f ca="1">IFERROR(__xludf.DUMMYFUNCTION("""COMPUTED_VALUE"""),"Guadalajara en Paz")</f>
        <v>Guadalajara en Paz</v>
      </c>
      <c r="E174" s="42" t="str">
        <f ca="1">IFERROR(__xludf.DUMMYFUNCTION("""COMPUTED_VALUE"""),"Educación Preescolar en Centros de Desarrollo Comunitarios")</f>
        <v>Educación Preescolar en Centros de Desarrollo Comunitarios</v>
      </c>
      <c r="F174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174" s="42" t="str">
        <f ca="1">IFERROR(__xludf.DUMMYFUNCTION("""COMPUTED_VALUE"""),"Promedio de niñas y niños que asisten al Preescolar en CDC,en 2023")</f>
        <v>Promedio de niñas y niños que asisten al Preescolar en CDC,en 2023</v>
      </c>
      <c r="H174" s="42" t="str">
        <f ca="1">IFERROR(__xludf.DUMMYFUNCTION("""COMPUTED_VALUE"""),"MUJ Mayo")</f>
        <v>MUJ Mayo</v>
      </c>
      <c r="I174" s="42" t="str">
        <f ca="1">IFERROR(__xludf.DUMMYFUNCTION("""COMPUTED_VALUE"""),"Mayo")</f>
        <v>Mayo</v>
      </c>
      <c r="J174" s="42" t="str">
        <f ca="1">IFERROR(__xludf.DUMMYFUNCTION("""COMPUTED_VALUE"""),"MUJ")</f>
        <v>MUJ</v>
      </c>
      <c r="K174" s="98"/>
      <c r="L174" s="42" t="str">
        <f ca="1">IFERROR(__xludf.DUMMYFUNCTION("""COMPUTED_VALUE"""),"TRIMESTRE 2")</f>
        <v>TRIMESTRE 2</v>
      </c>
      <c r="M174" s="42" t="str">
        <f ca="1">IFERROR(__xludf.DUMMYFUNCTION("""COMPUTED_VALUE"""),"MUJERES ADULTAS")</f>
        <v>MUJERES ADULTAS</v>
      </c>
    </row>
    <row r="175" spans="1:13">
      <c r="A175" s="42" t="str">
        <f ca="1">IFERROR(__xludf.DUMMYFUNCTION("""COMPUTED_VALUE"""),"#N/A")</f>
        <v>#N/A</v>
      </c>
      <c r="B175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75" s="42" t="str">
        <f ca="1">IFERROR(__xludf.DUMMYFUNCTION("""COMPUTED_VALUE"""),"3. Operación")</f>
        <v>3. Operación</v>
      </c>
      <c r="D175" s="42" t="str">
        <f ca="1">IFERROR(__xludf.DUMMYFUNCTION("""COMPUTED_VALUE"""),"Guadalajara en Paz")</f>
        <v>Guadalajara en Paz</v>
      </c>
      <c r="E175" s="42" t="str">
        <f ca="1">IFERROR(__xludf.DUMMYFUNCTION("""COMPUTED_VALUE"""),"Educación Preescolar en Centros de Desarrollo Comunitarios")</f>
        <v>Educación Preescolar en Centros de Desarrollo Comunitarios</v>
      </c>
      <c r="F175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175" s="42" t="str">
        <f ca="1">IFERROR(__xludf.DUMMYFUNCTION("""COMPUTED_VALUE"""),"Promedio de niñas y niños que asisten al Preescolar en CDC,en 2023")</f>
        <v>Promedio de niñas y niños que asisten al Preescolar en CDC,en 2023</v>
      </c>
      <c r="H175" s="42" t="str">
        <f ca="1">IFERROR(__xludf.DUMMYFUNCTION("""COMPUTED_VALUE"""),"HOM Mayo")</f>
        <v>HOM Mayo</v>
      </c>
      <c r="I175" s="42" t="str">
        <f ca="1">IFERROR(__xludf.DUMMYFUNCTION("""COMPUTED_VALUE"""),"Mayo")</f>
        <v>Mayo</v>
      </c>
      <c r="J175" s="42" t="str">
        <f ca="1">IFERROR(__xludf.DUMMYFUNCTION("""COMPUTED_VALUE"""),"HOM")</f>
        <v>HOM</v>
      </c>
      <c r="K175" s="98"/>
      <c r="L175" s="42" t="str">
        <f ca="1">IFERROR(__xludf.DUMMYFUNCTION("""COMPUTED_VALUE"""),"TRIMESTRE 2")</f>
        <v>TRIMESTRE 2</v>
      </c>
      <c r="M175" s="42" t="str">
        <f ca="1">IFERROR(__xludf.DUMMYFUNCTION("""COMPUTED_VALUE"""),"HOMBRES ADULTOS")</f>
        <v>HOMBRES ADULTOS</v>
      </c>
    </row>
    <row r="176" spans="1:13">
      <c r="A176" s="42" t="str">
        <f ca="1">IFERROR(__xludf.DUMMYFUNCTION("""COMPUTED_VALUE"""),"#N/A")</f>
        <v>#N/A</v>
      </c>
      <c r="B176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76" s="42" t="str">
        <f ca="1">IFERROR(__xludf.DUMMYFUNCTION("""COMPUTED_VALUE"""),"3. Operación")</f>
        <v>3. Operación</v>
      </c>
      <c r="D176" s="42" t="str">
        <f ca="1">IFERROR(__xludf.DUMMYFUNCTION("""COMPUTED_VALUE"""),"Guadalajara en Paz")</f>
        <v>Guadalajara en Paz</v>
      </c>
      <c r="E176" s="42" t="str">
        <f ca="1">IFERROR(__xludf.DUMMYFUNCTION("""COMPUTED_VALUE"""),"Educación Preescolar en Centros de Desarrollo Comunitarios")</f>
        <v>Educación Preescolar en Centros de Desarrollo Comunitarios</v>
      </c>
      <c r="F176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176" s="42" t="str">
        <f ca="1">IFERROR(__xludf.DUMMYFUNCTION("""COMPUTED_VALUE"""),"Promedio de niñas y niños que asisten al Preescolar en CDC,en 2023")</f>
        <v>Promedio de niñas y niños que asisten al Preescolar en CDC,en 2023</v>
      </c>
      <c r="H176" s="42" t="str">
        <f ca="1">IFERROR(__xludf.DUMMYFUNCTION("""COMPUTED_VALUE"""),"AMM Mayo")</f>
        <v>AMM Mayo</v>
      </c>
      <c r="I176" s="42" t="str">
        <f ca="1">IFERROR(__xludf.DUMMYFUNCTION("""COMPUTED_VALUE"""),"Mayo")</f>
        <v>Mayo</v>
      </c>
      <c r="J176" s="42" t="str">
        <f ca="1">IFERROR(__xludf.DUMMYFUNCTION("""COMPUTED_VALUE"""),"AMM")</f>
        <v>AMM</v>
      </c>
      <c r="K176" s="98"/>
      <c r="L176" s="42" t="str">
        <f ca="1">IFERROR(__xludf.DUMMYFUNCTION("""COMPUTED_VALUE"""),"TRIMESTRE 2")</f>
        <v>TRIMESTRE 2</v>
      </c>
      <c r="M176" s="42" t="str">
        <f ca="1">IFERROR(__xludf.DUMMYFUNCTION("""COMPUTED_VALUE"""),"ADULTA MAYOR MUJER")</f>
        <v>ADULTA MAYOR MUJER</v>
      </c>
    </row>
    <row r="177" spans="1:13">
      <c r="A177" s="42" t="str">
        <f ca="1">IFERROR(__xludf.DUMMYFUNCTION("""COMPUTED_VALUE"""),"#N/A")</f>
        <v>#N/A</v>
      </c>
      <c r="B177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77" s="42" t="str">
        <f ca="1">IFERROR(__xludf.DUMMYFUNCTION("""COMPUTED_VALUE"""),"3. Operación")</f>
        <v>3. Operación</v>
      </c>
      <c r="D177" s="42" t="str">
        <f ca="1">IFERROR(__xludf.DUMMYFUNCTION("""COMPUTED_VALUE"""),"Guadalajara en Paz")</f>
        <v>Guadalajara en Paz</v>
      </c>
      <c r="E177" s="42" t="str">
        <f ca="1">IFERROR(__xludf.DUMMYFUNCTION("""COMPUTED_VALUE"""),"Educación Preescolar en Centros de Desarrollo Comunitarios")</f>
        <v>Educación Preescolar en Centros de Desarrollo Comunitarios</v>
      </c>
      <c r="F177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177" s="42" t="str">
        <f ca="1">IFERROR(__xludf.DUMMYFUNCTION("""COMPUTED_VALUE"""),"Promedio de niñas y niños que asisten al Preescolar en CDC,en 2023")</f>
        <v>Promedio de niñas y niños que asisten al Preescolar en CDC,en 2023</v>
      </c>
      <c r="H177" s="42" t="str">
        <f ca="1">IFERROR(__xludf.DUMMYFUNCTION("""COMPUTED_VALUE"""),"AMH Mayo")</f>
        <v>AMH Mayo</v>
      </c>
      <c r="I177" s="42" t="str">
        <f ca="1">IFERROR(__xludf.DUMMYFUNCTION("""COMPUTED_VALUE"""),"Mayo")</f>
        <v>Mayo</v>
      </c>
      <c r="J177" s="42" t="str">
        <f ca="1">IFERROR(__xludf.DUMMYFUNCTION("""COMPUTED_VALUE"""),"AMH")</f>
        <v>AMH</v>
      </c>
      <c r="K177" s="98"/>
      <c r="L177" s="42" t="str">
        <f ca="1">IFERROR(__xludf.DUMMYFUNCTION("""COMPUTED_VALUE"""),"TRIMESTRE 2")</f>
        <v>TRIMESTRE 2</v>
      </c>
      <c r="M177" s="42" t="str">
        <f ca="1">IFERROR(__xludf.DUMMYFUNCTION("""COMPUTED_VALUE"""),"ADULTO MAYOR HOMBRE")</f>
        <v>ADULTO MAYOR HOMBRE</v>
      </c>
    </row>
    <row r="178" spans="1:13">
      <c r="A178" s="42" t="str">
        <f ca="1">IFERROR(__xludf.DUMMYFUNCTION("""COMPUTED_VALUE"""),"2.1.1.16")</f>
        <v>2.1.1.16</v>
      </c>
      <c r="B178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78" s="42" t="str">
        <f ca="1">IFERROR(__xludf.DUMMYFUNCTION("""COMPUTED_VALUE"""),"3. Operación")</f>
        <v>3. Operación</v>
      </c>
      <c r="D178" s="42" t="str">
        <f ca="1">IFERROR(__xludf.DUMMYFUNCTION("""COMPUTED_VALUE"""),"Guadalajara en Paz")</f>
        <v>Guadalajara en Paz</v>
      </c>
      <c r="E178" s="42" t="str">
        <f ca="1">IFERROR(__xludf.DUMMYFUNCTION("""COMPUTED_VALUE"""),"Educación Preescolar en Centros de Desarrollo Comunitarios")</f>
        <v>Educación Preescolar en Centros de Desarrollo Comunitarios</v>
      </c>
      <c r="F178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78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78" s="42" t="str">
        <f ca="1">IFERROR(__xludf.DUMMYFUNCTION("""COMPUTED_VALUE"""),"NAS Junio")</f>
        <v>NAS Junio</v>
      </c>
      <c r="I178" s="42" t="str">
        <f ca="1">IFERROR(__xludf.DUMMYFUNCTION("""COMPUTED_VALUE"""),"Junio")</f>
        <v>Junio</v>
      </c>
      <c r="J178" s="42" t="str">
        <f ca="1">IFERROR(__xludf.DUMMYFUNCTION("""COMPUTED_VALUE"""),"NAS")</f>
        <v>NAS</v>
      </c>
      <c r="K178" s="98">
        <f ca="1">IFERROR(__xludf.DUMMYFUNCTION("""COMPUTED_VALUE"""),0)</f>
        <v>0</v>
      </c>
      <c r="L178" s="42" t="str">
        <f ca="1">IFERROR(__xludf.DUMMYFUNCTION("""COMPUTED_VALUE"""),"TRIMESTRE 2")</f>
        <v>TRIMESTRE 2</v>
      </c>
      <c r="M178" s="42" t="str">
        <f ca="1">IFERROR(__xludf.DUMMYFUNCTION("""COMPUTED_VALUE"""),"NIÑAS")</f>
        <v>NIÑAS</v>
      </c>
    </row>
    <row r="179" spans="1:13">
      <c r="A179" s="42" t="str">
        <f ca="1">IFERROR(__xludf.DUMMYFUNCTION("""COMPUTED_VALUE"""),"2.1.1.16")</f>
        <v>2.1.1.16</v>
      </c>
      <c r="B179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79" s="42" t="str">
        <f ca="1">IFERROR(__xludf.DUMMYFUNCTION("""COMPUTED_VALUE"""),"3. Operación")</f>
        <v>3. Operación</v>
      </c>
      <c r="D179" s="42" t="str">
        <f ca="1">IFERROR(__xludf.DUMMYFUNCTION("""COMPUTED_VALUE"""),"Guadalajara en Paz")</f>
        <v>Guadalajara en Paz</v>
      </c>
      <c r="E179" s="42" t="str">
        <f ca="1">IFERROR(__xludf.DUMMYFUNCTION("""COMPUTED_VALUE"""),"Educación Preescolar en Centros de Desarrollo Comunitarios")</f>
        <v>Educación Preescolar en Centros de Desarrollo Comunitarios</v>
      </c>
      <c r="F179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79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79" s="42" t="str">
        <f ca="1">IFERROR(__xludf.DUMMYFUNCTION("""COMPUTED_VALUE"""),"NOS Junio")</f>
        <v>NOS Junio</v>
      </c>
      <c r="I179" s="42" t="str">
        <f ca="1">IFERROR(__xludf.DUMMYFUNCTION("""COMPUTED_VALUE"""),"Junio")</f>
        <v>Junio</v>
      </c>
      <c r="J179" s="42" t="str">
        <f ca="1">IFERROR(__xludf.DUMMYFUNCTION("""COMPUTED_VALUE"""),"NOS")</f>
        <v>NOS</v>
      </c>
      <c r="K179" s="98">
        <f ca="1">IFERROR(__xludf.DUMMYFUNCTION("""COMPUTED_VALUE"""),0)</f>
        <v>0</v>
      </c>
      <c r="L179" s="42" t="str">
        <f ca="1">IFERROR(__xludf.DUMMYFUNCTION("""COMPUTED_VALUE"""),"TRIMESTRE 2")</f>
        <v>TRIMESTRE 2</v>
      </c>
      <c r="M179" s="42" t="str">
        <f ca="1">IFERROR(__xludf.DUMMYFUNCTION("""COMPUTED_VALUE"""),"NIÑOS")</f>
        <v>NIÑOS</v>
      </c>
    </row>
    <row r="180" spans="1:13">
      <c r="A180" s="42" t="str">
        <f ca="1">IFERROR(__xludf.DUMMYFUNCTION("""COMPUTED_VALUE"""),"2.1.1.16")</f>
        <v>2.1.1.16</v>
      </c>
      <c r="B180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80" s="42" t="str">
        <f ca="1">IFERROR(__xludf.DUMMYFUNCTION("""COMPUTED_VALUE"""),"3. Operación")</f>
        <v>3. Operación</v>
      </c>
      <c r="D180" s="42" t="str">
        <f ca="1">IFERROR(__xludf.DUMMYFUNCTION("""COMPUTED_VALUE"""),"Guadalajara en Paz")</f>
        <v>Guadalajara en Paz</v>
      </c>
      <c r="E180" s="42" t="str">
        <f ca="1">IFERROR(__xludf.DUMMYFUNCTION("""COMPUTED_VALUE"""),"Educación Preescolar en Centros de Desarrollo Comunitarios")</f>
        <v>Educación Preescolar en Centros de Desarrollo Comunitarios</v>
      </c>
      <c r="F180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80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80" s="42" t="str">
        <f ca="1">IFERROR(__xludf.DUMMYFUNCTION("""COMPUTED_VALUE"""),"AM JUNIO")</f>
        <v>AM JUNIO</v>
      </c>
      <c r="I180" s="42" t="str">
        <f ca="1">IFERROR(__xludf.DUMMYFUNCTION("""COMPUTED_VALUE"""),"Junio")</f>
        <v>Junio</v>
      </c>
      <c r="J180" s="42" t="str">
        <f ca="1">IFERROR(__xludf.DUMMYFUNCTION("""COMPUTED_VALUE"""),"AM")</f>
        <v>AM</v>
      </c>
      <c r="K180" s="98"/>
      <c r="L180" s="42" t="str">
        <f ca="1">IFERROR(__xludf.DUMMYFUNCTION("""COMPUTED_VALUE"""),"TRIMESTRE 2")</f>
        <v>TRIMESTRE 2</v>
      </c>
      <c r="M180" s="42" t="str">
        <f ca="1">IFERROR(__xludf.DUMMYFUNCTION("""COMPUTED_VALUE"""),"ADOLESCENTES MUJERES")</f>
        <v>ADOLESCENTES MUJERES</v>
      </c>
    </row>
    <row r="181" spans="1:13">
      <c r="A181" s="42" t="str">
        <f ca="1">IFERROR(__xludf.DUMMYFUNCTION("""COMPUTED_VALUE"""),"2.1.1.16")</f>
        <v>2.1.1.16</v>
      </c>
      <c r="B181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81" s="42" t="str">
        <f ca="1">IFERROR(__xludf.DUMMYFUNCTION("""COMPUTED_VALUE"""),"3. Operación")</f>
        <v>3. Operación</v>
      </c>
      <c r="D181" s="42" t="str">
        <f ca="1">IFERROR(__xludf.DUMMYFUNCTION("""COMPUTED_VALUE"""),"Guadalajara en Paz")</f>
        <v>Guadalajara en Paz</v>
      </c>
      <c r="E181" s="42" t="str">
        <f ca="1">IFERROR(__xludf.DUMMYFUNCTION("""COMPUTED_VALUE"""),"Educación Preescolar en Centros de Desarrollo Comunitarios")</f>
        <v>Educación Preescolar en Centros de Desarrollo Comunitarios</v>
      </c>
      <c r="F181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81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81" s="42" t="str">
        <f ca="1">IFERROR(__xludf.DUMMYFUNCTION("""COMPUTED_VALUE"""),"AH JUNIO")</f>
        <v>AH JUNIO</v>
      </c>
      <c r="I181" s="42" t="str">
        <f ca="1">IFERROR(__xludf.DUMMYFUNCTION("""COMPUTED_VALUE"""),"Junio")</f>
        <v>Junio</v>
      </c>
      <c r="J181" s="42" t="str">
        <f ca="1">IFERROR(__xludf.DUMMYFUNCTION("""COMPUTED_VALUE"""),"AH")</f>
        <v>AH</v>
      </c>
      <c r="K181" s="98"/>
      <c r="L181" s="42" t="str">
        <f ca="1">IFERROR(__xludf.DUMMYFUNCTION("""COMPUTED_VALUE"""),"TRIMESTRE 2")</f>
        <v>TRIMESTRE 2</v>
      </c>
      <c r="M181" s="42" t="str">
        <f ca="1">IFERROR(__xludf.DUMMYFUNCTION("""COMPUTED_VALUE"""),"ADOLESCENTES HOMBRES")</f>
        <v>ADOLESCENTES HOMBRES</v>
      </c>
    </row>
    <row r="182" spans="1:13">
      <c r="A182" s="42" t="str">
        <f ca="1">IFERROR(__xludf.DUMMYFUNCTION("""COMPUTED_VALUE"""),"2.1.1.16")</f>
        <v>2.1.1.16</v>
      </c>
      <c r="B182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82" s="42" t="str">
        <f ca="1">IFERROR(__xludf.DUMMYFUNCTION("""COMPUTED_VALUE"""),"3. Operación")</f>
        <v>3. Operación</v>
      </c>
      <c r="D182" s="42" t="str">
        <f ca="1">IFERROR(__xludf.DUMMYFUNCTION("""COMPUTED_VALUE"""),"Guadalajara en Paz")</f>
        <v>Guadalajara en Paz</v>
      </c>
      <c r="E182" s="42" t="str">
        <f ca="1">IFERROR(__xludf.DUMMYFUNCTION("""COMPUTED_VALUE"""),"Educación Preescolar en Centros de Desarrollo Comunitarios")</f>
        <v>Educación Preescolar en Centros de Desarrollo Comunitarios</v>
      </c>
      <c r="F182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82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82" s="42" t="str">
        <f ca="1">IFERROR(__xludf.DUMMYFUNCTION("""COMPUTED_VALUE"""),"MUJ Junio")</f>
        <v>MUJ Junio</v>
      </c>
      <c r="I182" s="42" t="str">
        <f ca="1">IFERROR(__xludf.DUMMYFUNCTION("""COMPUTED_VALUE"""),"Junio")</f>
        <v>Junio</v>
      </c>
      <c r="J182" s="42" t="str">
        <f ca="1">IFERROR(__xludf.DUMMYFUNCTION("""COMPUTED_VALUE"""),"MUJ")</f>
        <v>MUJ</v>
      </c>
      <c r="K182" s="98"/>
      <c r="L182" s="42" t="str">
        <f ca="1">IFERROR(__xludf.DUMMYFUNCTION("""COMPUTED_VALUE"""),"TRIMESTRE 2")</f>
        <v>TRIMESTRE 2</v>
      </c>
      <c r="M182" s="42" t="str">
        <f ca="1">IFERROR(__xludf.DUMMYFUNCTION("""COMPUTED_VALUE"""),"MUJERES ADULTAS")</f>
        <v>MUJERES ADULTAS</v>
      </c>
    </row>
    <row r="183" spans="1:13">
      <c r="A183" s="42" t="str">
        <f ca="1">IFERROR(__xludf.DUMMYFUNCTION("""COMPUTED_VALUE"""),"2.1.1.16")</f>
        <v>2.1.1.16</v>
      </c>
      <c r="B183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83" s="42" t="str">
        <f ca="1">IFERROR(__xludf.DUMMYFUNCTION("""COMPUTED_VALUE"""),"3. Operación")</f>
        <v>3. Operación</v>
      </c>
      <c r="D183" s="42" t="str">
        <f ca="1">IFERROR(__xludf.DUMMYFUNCTION("""COMPUTED_VALUE"""),"Guadalajara en Paz")</f>
        <v>Guadalajara en Paz</v>
      </c>
      <c r="E183" s="42" t="str">
        <f ca="1">IFERROR(__xludf.DUMMYFUNCTION("""COMPUTED_VALUE"""),"Educación Preescolar en Centros de Desarrollo Comunitarios")</f>
        <v>Educación Preescolar en Centros de Desarrollo Comunitarios</v>
      </c>
      <c r="F183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83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83" s="42" t="str">
        <f ca="1">IFERROR(__xludf.DUMMYFUNCTION("""COMPUTED_VALUE"""),"HOM Junio")</f>
        <v>HOM Junio</v>
      </c>
      <c r="I183" s="42" t="str">
        <f ca="1">IFERROR(__xludf.DUMMYFUNCTION("""COMPUTED_VALUE"""),"Junio")</f>
        <v>Junio</v>
      </c>
      <c r="J183" s="42" t="str">
        <f ca="1">IFERROR(__xludf.DUMMYFUNCTION("""COMPUTED_VALUE"""),"HOM")</f>
        <v>HOM</v>
      </c>
      <c r="K183" s="98"/>
      <c r="L183" s="42" t="str">
        <f ca="1">IFERROR(__xludf.DUMMYFUNCTION("""COMPUTED_VALUE"""),"TRIMESTRE 2")</f>
        <v>TRIMESTRE 2</v>
      </c>
      <c r="M183" s="42" t="str">
        <f ca="1">IFERROR(__xludf.DUMMYFUNCTION("""COMPUTED_VALUE"""),"HOMBRES ADULTOS")</f>
        <v>HOMBRES ADULTOS</v>
      </c>
    </row>
    <row r="184" spans="1:13">
      <c r="A184" s="42" t="str">
        <f ca="1">IFERROR(__xludf.DUMMYFUNCTION("""COMPUTED_VALUE"""),"2.1.1.16")</f>
        <v>2.1.1.16</v>
      </c>
      <c r="B184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84" s="42" t="str">
        <f ca="1">IFERROR(__xludf.DUMMYFUNCTION("""COMPUTED_VALUE"""),"3. Operación")</f>
        <v>3. Operación</v>
      </c>
      <c r="D184" s="42" t="str">
        <f ca="1">IFERROR(__xludf.DUMMYFUNCTION("""COMPUTED_VALUE"""),"Guadalajara en Paz")</f>
        <v>Guadalajara en Paz</v>
      </c>
      <c r="E184" s="42" t="str">
        <f ca="1">IFERROR(__xludf.DUMMYFUNCTION("""COMPUTED_VALUE"""),"Educación Preescolar en Centros de Desarrollo Comunitarios")</f>
        <v>Educación Preescolar en Centros de Desarrollo Comunitarios</v>
      </c>
      <c r="F184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84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84" s="42" t="str">
        <f ca="1">IFERROR(__xludf.DUMMYFUNCTION("""COMPUTED_VALUE"""),"AMM Junio")</f>
        <v>AMM Junio</v>
      </c>
      <c r="I184" s="42" t="str">
        <f ca="1">IFERROR(__xludf.DUMMYFUNCTION("""COMPUTED_VALUE"""),"Junio")</f>
        <v>Junio</v>
      </c>
      <c r="J184" s="42" t="str">
        <f ca="1">IFERROR(__xludf.DUMMYFUNCTION("""COMPUTED_VALUE"""),"AMM")</f>
        <v>AMM</v>
      </c>
      <c r="K184" s="98"/>
      <c r="L184" s="42" t="str">
        <f ca="1">IFERROR(__xludf.DUMMYFUNCTION("""COMPUTED_VALUE"""),"TRIMESTRE 2")</f>
        <v>TRIMESTRE 2</v>
      </c>
      <c r="M184" s="42" t="str">
        <f ca="1">IFERROR(__xludf.DUMMYFUNCTION("""COMPUTED_VALUE"""),"ADULTA MAYOR MUJER")</f>
        <v>ADULTA MAYOR MUJER</v>
      </c>
    </row>
    <row r="185" spans="1:13">
      <c r="A185" s="42" t="str">
        <f ca="1">IFERROR(__xludf.DUMMYFUNCTION("""COMPUTED_VALUE"""),"2.1.1.16")</f>
        <v>2.1.1.16</v>
      </c>
      <c r="B185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85" s="42" t="str">
        <f ca="1">IFERROR(__xludf.DUMMYFUNCTION("""COMPUTED_VALUE"""),"3. Operación")</f>
        <v>3. Operación</v>
      </c>
      <c r="D185" s="42" t="str">
        <f ca="1">IFERROR(__xludf.DUMMYFUNCTION("""COMPUTED_VALUE"""),"Guadalajara en Paz")</f>
        <v>Guadalajara en Paz</v>
      </c>
      <c r="E185" s="42" t="str">
        <f ca="1">IFERROR(__xludf.DUMMYFUNCTION("""COMPUTED_VALUE"""),"Educación Preescolar en Centros de Desarrollo Comunitarios")</f>
        <v>Educación Preescolar en Centros de Desarrollo Comunitarios</v>
      </c>
      <c r="F185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85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85" s="42" t="str">
        <f ca="1">IFERROR(__xludf.DUMMYFUNCTION("""COMPUTED_VALUE"""),"AMH Junio")</f>
        <v>AMH Junio</v>
      </c>
      <c r="I185" s="42" t="str">
        <f ca="1">IFERROR(__xludf.DUMMYFUNCTION("""COMPUTED_VALUE"""),"Junio")</f>
        <v>Junio</v>
      </c>
      <c r="J185" s="42" t="str">
        <f ca="1">IFERROR(__xludf.DUMMYFUNCTION("""COMPUTED_VALUE"""),"AMH")</f>
        <v>AMH</v>
      </c>
      <c r="K185" s="98"/>
      <c r="L185" s="42" t="str">
        <f ca="1">IFERROR(__xludf.DUMMYFUNCTION("""COMPUTED_VALUE"""),"TRIMESTRE 2")</f>
        <v>TRIMESTRE 2</v>
      </c>
      <c r="M185" s="42" t="str">
        <f ca="1">IFERROR(__xludf.DUMMYFUNCTION("""COMPUTED_VALUE"""),"ADULTO MAYOR HOMBRE")</f>
        <v>ADULTO MAYOR HOMBRE</v>
      </c>
    </row>
    <row r="186" spans="1:13">
      <c r="A186" s="42" t="str">
        <f ca="1">IFERROR(__xludf.DUMMYFUNCTION("""COMPUTED_VALUE"""),"#N/A")</f>
        <v>#N/A</v>
      </c>
      <c r="B186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86" s="42" t="str">
        <f ca="1">IFERROR(__xludf.DUMMYFUNCTION("""COMPUTED_VALUE"""),"3. Operación")</f>
        <v>3. Operación</v>
      </c>
      <c r="D186" s="42" t="str">
        <f ca="1">IFERROR(__xludf.DUMMYFUNCTION("""COMPUTED_VALUE"""),"Guadalajara en Paz")</f>
        <v>Guadalajara en Paz</v>
      </c>
      <c r="E186" s="42" t="str">
        <f ca="1">IFERROR(__xludf.DUMMYFUNCTION("""COMPUTED_VALUE"""),"Educación Preescolar en Centros de Desarrollo Comunitarios")</f>
        <v>Educación Preescolar en Centros de Desarrollo Comunitarios</v>
      </c>
      <c r="F186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186" s="42" t="str">
        <f ca="1">IFERROR(__xludf.DUMMYFUNCTION("""COMPUTED_VALUE"""),"Promedio de niñas y niños que asisten al Preescolar en CDC,en 2023")</f>
        <v>Promedio de niñas y niños que asisten al Preescolar en CDC,en 2023</v>
      </c>
      <c r="H186" s="42" t="str">
        <f ca="1">IFERROR(__xludf.DUMMYFUNCTION("""COMPUTED_VALUE"""),"NAS Junio")</f>
        <v>NAS Junio</v>
      </c>
      <c r="I186" s="42" t="str">
        <f ca="1">IFERROR(__xludf.DUMMYFUNCTION("""COMPUTED_VALUE"""),"Junio")</f>
        <v>Junio</v>
      </c>
      <c r="J186" s="42" t="str">
        <f ca="1">IFERROR(__xludf.DUMMYFUNCTION("""COMPUTED_VALUE"""),"NAS")</f>
        <v>NAS</v>
      </c>
      <c r="K186" s="98">
        <f ca="1">IFERROR(__xludf.DUMMYFUNCTION("""COMPUTED_VALUE"""),1013)</f>
        <v>1013</v>
      </c>
      <c r="L186" s="42" t="str">
        <f ca="1">IFERROR(__xludf.DUMMYFUNCTION("""COMPUTED_VALUE"""),"TRIMESTRE 2")</f>
        <v>TRIMESTRE 2</v>
      </c>
      <c r="M186" s="42" t="str">
        <f ca="1">IFERROR(__xludf.DUMMYFUNCTION("""COMPUTED_VALUE"""),"NIÑAS")</f>
        <v>NIÑAS</v>
      </c>
    </row>
    <row r="187" spans="1:13">
      <c r="A187" s="42" t="str">
        <f ca="1">IFERROR(__xludf.DUMMYFUNCTION("""COMPUTED_VALUE"""),"#N/A")</f>
        <v>#N/A</v>
      </c>
      <c r="B187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87" s="42" t="str">
        <f ca="1">IFERROR(__xludf.DUMMYFUNCTION("""COMPUTED_VALUE"""),"3. Operación")</f>
        <v>3. Operación</v>
      </c>
      <c r="D187" s="42" t="str">
        <f ca="1">IFERROR(__xludf.DUMMYFUNCTION("""COMPUTED_VALUE"""),"Guadalajara en Paz")</f>
        <v>Guadalajara en Paz</v>
      </c>
      <c r="E187" s="42" t="str">
        <f ca="1">IFERROR(__xludf.DUMMYFUNCTION("""COMPUTED_VALUE"""),"Educación Preescolar en Centros de Desarrollo Comunitarios")</f>
        <v>Educación Preescolar en Centros de Desarrollo Comunitarios</v>
      </c>
      <c r="F187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187" s="42" t="str">
        <f ca="1">IFERROR(__xludf.DUMMYFUNCTION("""COMPUTED_VALUE"""),"Promedio de niñas y niños que asisten al Preescolar en CDC,en 2023")</f>
        <v>Promedio de niñas y niños que asisten al Preescolar en CDC,en 2023</v>
      </c>
      <c r="H187" s="42" t="str">
        <f ca="1">IFERROR(__xludf.DUMMYFUNCTION("""COMPUTED_VALUE"""),"NOS Junio")</f>
        <v>NOS Junio</v>
      </c>
      <c r="I187" s="42" t="str">
        <f ca="1">IFERROR(__xludf.DUMMYFUNCTION("""COMPUTED_VALUE"""),"Junio")</f>
        <v>Junio</v>
      </c>
      <c r="J187" s="42" t="str">
        <f ca="1">IFERROR(__xludf.DUMMYFUNCTION("""COMPUTED_VALUE"""),"NOS")</f>
        <v>NOS</v>
      </c>
      <c r="K187" s="98">
        <f ca="1">IFERROR(__xludf.DUMMYFUNCTION("""COMPUTED_VALUE"""),1079)</f>
        <v>1079</v>
      </c>
      <c r="L187" s="42" t="str">
        <f ca="1">IFERROR(__xludf.DUMMYFUNCTION("""COMPUTED_VALUE"""),"TRIMESTRE 2")</f>
        <v>TRIMESTRE 2</v>
      </c>
      <c r="M187" s="42" t="str">
        <f ca="1">IFERROR(__xludf.DUMMYFUNCTION("""COMPUTED_VALUE"""),"NIÑOS")</f>
        <v>NIÑOS</v>
      </c>
    </row>
    <row r="188" spans="1:13">
      <c r="A188" s="42" t="str">
        <f ca="1">IFERROR(__xludf.DUMMYFUNCTION("""COMPUTED_VALUE"""),"#N/A")</f>
        <v>#N/A</v>
      </c>
      <c r="B188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88" s="42" t="str">
        <f ca="1">IFERROR(__xludf.DUMMYFUNCTION("""COMPUTED_VALUE"""),"3. Operación")</f>
        <v>3. Operación</v>
      </c>
      <c r="D188" s="42" t="str">
        <f ca="1">IFERROR(__xludf.DUMMYFUNCTION("""COMPUTED_VALUE"""),"Guadalajara en Paz")</f>
        <v>Guadalajara en Paz</v>
      </c>
      <c r="E188" s="42" t="str">
        <f ca="1">IFERROR(__xludf.DUMMYFUNCTION("""COMPUTED_VALUE"""),"Educación Preescolar en Centros de Desarrollo Comunitarios")</f>
        <v>Educación Preescolar en Centros de Desarrollo Comunitarios</v>
      </c>
      <c r="F188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188" s="42" t="str">
        <f ca="1">IFERROR(__xludf.DUMMYFUNCTION("""COMPUTED_VALUE"""),"Promedio de niñas y niños que asisten al Preescolar en CDC,en 2023")</f>
        <v>Promedio de niñas y niños que asisten al Preescolar en CDC,en 2023</v>
      </c>
      <c r="H188" s="42" t="str">
        <f ca="1">IFERROR(__xludf.DUMMYFUNCTION("""COMPUTED_VALUE"""),"AM JUNIO")</f>
        <v>AM JUNIO</v>
      </c>
      <c r="I188" s="42" t="str">
        <f ca="1">IFERROR(__xludf.DUMMYFUNCTION("""COMPUTED_VALUE"""),"Junio")</f>
        <v>Junio</v>
      </c>
      <c r="J188" s="42" t="str">
        <f ca="1">IFERROR(__xludf.DUMMYFUNCTION("""COMPUTED_VALUE"""),"AM")</f>
        <v>AM</v>
      </c>
      <c r="K188" s="98"/>
      <c r="L188" s="42" t="str">
        <f ca="1">IFERROR(__xludf.DUMMYFUNCTION("""COMPUTED_VALUE"""),"TRIMESTRE 2")</f>
        <v>TRIMESTRE 2</v>
      </c>
      <c r="M188" s="42" t="str">
        <f ca="1">IFERROR(__xludf.DUMMYFUNCTION("""COMPUTED_VALUE"""),"ADOLESCENTES MUJERES")</f>
        <v>ADOLESCENTES MUJERES</v>
      </c>
    </row>
    <row r="189" spans="1:13">
      <c r="A189" s="42" t="str">
        <f ca="1">IFERROR(__xludf.DUMMYFUNCTION("""COMPUTED_VALUE"""),"#N/A")</f>
        <v>#N/A</v>
      </c>
      <c r="B189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89" s="42" t="str">
        <f ca="1">IFERROR(__xludf.DUMMYFUNCTION("""COMPUTED_VALUE"""),"3. Operación")</f>
        <v>3. Operación</v>
      </c>
      <c r="D189" s="42" t="str">
        <f ca="1">IFERROR(__xludf.DUMMYFUNCTION("""COMPUTED_VALUE"""),"Guadalajara en Paz")</f>
        <v>Guadalajara en Paz</v>
      </c>
      <c r="E189" s="42" t="str">
        <f ca="1">IFERROR(__xludf.DUMMYFUNCTION("""COMPUTED_VALUE"""),"Educación Preescolar en Centros de Desarrollo Comunitarios")</f>
        <v>Educación Preescolar en Centros de Desarrollo Comunitarios</v>
      </c>
      <c r="F189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189" s="42" t="str">
        <f ca="1">IFERROR(__xludf.DUMMYFUNCTION("""COMPUTED_VALUE"""),"Promedio de niñas y niños que asisten al Preescolar en CDC,en 2023")</f>
        <v>Promedio de niñas y niños que asisten al Preescolar en CDC,en 2023</v>
      </c>
      <c r="H189" s="42" t="str">
        <f ca="1">IFERROR(__xludf.DUMMYFUNCTION("""COMPUTED_VALUE"""),"AH JUNIO")</f>
        <v>AH JUNIO</v>
      </c>
      <c r="I189" s="42" t="str">
        <f ca="1">IFERROR(__xludf.DUMMYFUNCTION("""COMPUTED_VALUE"""),"Junio")</f>
        <v>Junio</v>
      </c>
      <c r="J189" s="42" t="str">
        <f ca="1">IFERROR(__xludf.DUMMYFUNCTION("""COMPUTED_VALUE"""),"AH")</f>
        <v>AH</v>
      </c>
      <c r="K189" s="98"/>
      <c r="L189" s="42" t="str">
        <f ca="1">IFERROR(__xludf.DUMMYFUNCTION("""COMPUTED_VALUE"""),"TRIMESTRE 2")</f>
        <v>TRIMESTRE 2</v>
      </c>
      <c r="M189" s="42" t="str">
        <f ca="1">IFERROR(__xludf.DUMMYFUNCTION("""COMPUTED_VALUE"""),"ADOLESCENTES HOMBRES")</f>
        <v>ADOLESCENTES HOMBRES</v>
      </c>
    </row>
    <row r="190" spans="1:13">
      <c r="A190" s="42" t="str">
        <f ca="1">IFERROR(__xludf.DUMMYFUNCTION("""COMPUTED_VALUE"""),"#N/A")</f>
        <v>#N/A</v>
      </c>
      <c r="B190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90" s="42" t="str">
        <f ca="1">IFERROR(__xludf.DUMMYFUNCTION("""COMPUTED_VALUE"""),"3. Operación")</f>
        <v>3. Operación</v>
      </c>
      <c r="D190" s="42" t="str">
        <f ca="1">IFERROR(__xludf.DUMMYFUNCTION("""COMPUTED_VALUE"""),"Guadalajara en Paz")</f>
        <v>Guadalajara en Paz</v>
      </c>
      <c r="E190" s="42" t="str">
        <f ca="1">IFERROR(__xludf.DUMMYFUNCTION("""COMPUTED_VALUE"""),"Educación Preescolar en Centros de Desarrollo Comunitarios")</f>
        <v>Educación Preescolar en Centros de Desarrollo Comunitarios</v>
      </c>
      <c r="F190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190" s="42" t="str">
        <f ca="1">IFERROR(__xludf.DUMMYFUNCTION("""COMPUTED_VALUE"""),"Promedio de niñas y niños que asisten al Preescolar en CDC,en 2023")</f>
        <v>Promedio de niñas y niños que asisten al Preescolar en CDC,en 2023</v>
      </c>
      <c r="H190" s="42" t="str">
        <f ca="1">IFERROR(__xludf.DUMMYFUNCTION("""COMPUTED_VALUE"""),"MUJ Junio")</f>
        <v>MUJ Junio</v>
      </c>
      <c r="I190" s="42" t="str">
        <f ca="1">IFERROR(__xludf.DUMMYFUNCTION("""COMPUTED_VALUE"""),"Junio")</f>
        <v>Junio</v>
      </c>
      <c r="J190" s="42" t="str">
        <f ca="1">IFERROR(__xludf.DUMMYFUNCTION("""COMPUTED_VALUE"""),"MUJ")</f>
        <v>MUJ</v>
      </c>
      <c r="K190" s="98"/>
      <c r="L190" s="42" t="str">
        <f ca="1">IFERROR(__xludf.DUMMYFUNCTION("""COMPUTED_VALUE"""),"TRIMESTRE 2")</f>
        <v>TRIMESTRE 2</v>
      </c>
      <c r="M190" s="42" t="str">
        <f ca="1">IFERROR(__xludf.DUMMYFUNCTION("""COMPUTED_VALUE"""),"MUJERES ADULTAS")</f>
        <v>MUJERES ADULTAS</v>
      </c>
    </row>
    <row r="191" spans="1:13">
      <c r="A191" s="42" t="str">
        <f ca="1">IFERROR(__xludf.DUMMYFUNCTION("""COMPUTED_VALUE"""),"#N/A")</f>
        <v>#N/A</v>
      </c>
      <c r="B191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91" s="42" t="str">
        <f ca="1">IFERROR(__xludf.DUMMYFUNCTION("""COMPUTED_VALUE"""),"3. Operación")</f>
        <v>3. Operación</v>
      </c>
      <c r="D191" s="42" t="str">
        <f ca="1">IFERROR(__xludf.DUMMYFUNCTION("""COMPUTED_VALUE"""),"Guadalajara en Paz")</f>
        <v>Guadalajara en Paz</v>
      </c>
      <c r="E191" s="42" t="str">
        <f ca="1">IFERROR(__xludf.DUMMYFUNCTION("""COMPUTED_VALUE"""),"Educación Preescolar en Centros de Desarrollo Comunitarios")</f>
        <v>Educación Preescolar en Centros de Desarrollo Comunitarios</v>
      </c>
      <c r="F191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191" s="42" t="str">
        <f ca="1">IFERROR(__xludf.DUMMYFUNCTION("""COMPUTED_VALUE"""),"Promedio de niñas y niños que asisten al Preescolar en CDC,en 2023")</f>
        <v>Promedio de niñas y niños que asisten al Preescolar en CDC,en 2023</v>
      </c>
      <c r="H191" s="42" t="str">
        <f ca="1">IFERROR(__xludf.DUMMYFUNCTION("""COMPUTED_VALUE"""),"HOM Junio")</f>
        <v>HOM Junio</v>
      </c>
      <c r="I191" s="42" t="str">
        <f ca="1">IFERROR(__xludf.DUMMYFUNCTION("""COMPUTED_VALUE"""),"Junio")</f>
        <v>Junio</v>
      </c>
      <c r="J191" s="42" t="str">
        <f ca="1">IFERROR(__xludf.DUMMYFUNCTION("""COMPUTED_VALUE"""),"HOM")</f>
        <v>HOM</v>
      </c>
      <c r="K191" s="98"/>
      <c r="L191" s="42" t="str">
        <f ca="1">IFERROR(__xludf.DUMMYFUNCTION("""COMPUTED_VALUE"""),"TRIMESTRE 2")</f>
        <v>TRIMESTRE 2</v>
      </c>
      <c r="M191" s="42" t="str">
        <f ca="1">IFERROR(__xludf.DUMMYFUNCTION("""COMPUTED_VALUE"""),"HOMBRES ADULTOS")</f>
        <v>HOMBRES ADULTOS</v>
      </c>
    </row>
    <row r="192" spans="1:13">
      <c r="A192" s="42" t="str">
        <f ca="1">IFERROR(__xludf.DUMMYFUNCTION("""COMPUTED_VALUE"""),"#N/A")</f>
        <v>#N/A</v>
      </c>
      <c r="B192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92" s="42" t="str">
        <f ca="1">IFERROR(__xludf.DUMMYFUNCTION("""COMPUTED_VALUE"""),"3. Operación")</f>
        <v>3. Operación</v>
      </c>
      <c r="D192" s="42" t="str">
        <f ca="1">IFERROR(__xludf.DUMMYFUNCTION("""COMPUTED_VALUE"""),"Guadalajara en Paz")</f>
        <v>Guadalajara en Paz</v>
      </c>
      <c r="E192" s="42" t="str">
        <f ca="1">IFERROR(__xludf.DUMMYFUNCTION("""COMPUTED_VALUE"""),"Educación Preescolar en Centros de Desarrollo Comunitarios")</f>
        <v>Educación Preescolar en Centros de Desarrollo Comunitarios</v>
      </c>
      <c r="F192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192" s="42" t="str">
        <f ca="1">IFERROR(__xludf.DUMMYFUNCTION("""COMPUTED_VALUE"""),"Promedio de niñas y niños que asisten al Preescolar en CDC,en 2023")</f>
        <v>Promedio de niñas y niños que asisten al Preescolar en CDC,en 2023</v>
      </c>
      <c r="H192" s="42" t="str">
        <f ca="1">IFERROR(__xludf.DUMMYFUNCTION("""COMPUTED_VALUE"""),"AMM Junio")</f>
        <v>AMM Junio</v>
      </c>
      <c r="I192" s="42" t="str">
        <f ca="1">IFERROR(__xludf.DUMMYFUNCTION("""COMPUTED_VALUE"""),"Junio")</f>
        <v>Junio</v>
      </c>
      <c r="J192" s="42" t="str">
        <f ca="1">IFERROR(__xludf.DUMMYFUNCTION("""COMPUTED_VALUE"""),"AMM")</f>
        <v>AMM</v>
      </c>
      <c r="K192" s="98"/>
      <c r="L192" s="42" t="str">
        <f ca="1">IFERROR(__xludf.DUMMYFUNCTION("""COMPUTED_VALUE"""),"TRIMESTRE 2")</f>
        <v>TRIMESTRE 2</v>
      </c>
      <c r="M192" s="42" t="str">
        <f ca="1">IFERROR(__xludf.DUMMYFUNCTION("""COMPUTED_VALUE"""),"ADULTA MAYOR MUJER")</f>
        <v>ADULTA MAYOR MUJER</v>
      </c>
    </row>
    <row r="193" spans="1:13">
      <c r="A193" s="42" t="str">
        <f ca="1">IFERROR(__xludf.DUMMYFUNCTION("""COMPUTED_VALUE"""),"#N/A")</f>
        <v>#N/A</v>
      </c>
      <c r="B193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93" s="42" t="str">
        <f ca="1">IFERROR(__xludf.DUMMYFUNCTION("""COMPUTED_VALUE"""),"3. Operación")</f>
        <v>3. Operación</v>
      </c>
      <c r="D193" s="42" t="str">
        <f ca="1">IFERROR(__xludf.DUMMYFUNCTION("""COMPUTED_VALUE"""),"Guadalajara en Paz")</f>
        <v>Guadalajara en Paz</v>
      </c>
      <c r="E193" s="42" t="str">
        <f ca="1">IFERROR(__xludf.DUMMYFUNCTION("""COMPUTED_VALUE"""),"Educación Preescolar en Centros de Desarrollo Comunitarios")</f>
        <v>Educación Preescolar en Centros de Desarrollo Comunitarios</v>
      </c>
      <c r="F193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193" s="42" t="str">
        <f ca="1">IFERROR(__xludf.DUMMYFUNCTION("""COMPUTED_VALUE"""),"Promedio de niñas y niños que asisten al Preescolar en CDC,en 2023")</f>
        <v>Promedio de niñas y niños que asisten al Preescolar en CDC,en 2023</v>
      </c>
      <c r="H193" s="42" t="str">
        <f ca="1">IFERROR(__xludf.DUMMYFUNCTION("""COMPUTED_VALUE"""),"AMH Junio")</f>
        <v>AMH Junio</v>
      </c>
      <c r="I193" s="42" t="str">
        <f ca="1">IFERROR(__xludf.DUMMYFUNCTION("""COMPUTED_VALUE"""),"Junio")</f>
        <v>Junio</v>
      </c>
      <c r="J193" s="42" t="str">
        <f ca="1">IFERROR(__xludf.DUMMYFUNCTION("""COMPUTED_VALUE"""),"AMH")</f>
        <v>AMH</v>
      </c>
      <c r="K193" s="98"/>
      <c r="L193" s="42" t="str">
        <f ca="1">IFERROR(__xludf.DUMMYFUNCTION("""COMPUTED_VALUE"""),"TRIMESTRE 2")</f>
        <v>TRIMESTRE 2</v>
      </c>
      <c r="M193" s="42" t="str">
        <f ca="1">IFERROR(__xludf.DUMMYFUNCTION("""COMPUTED_VALUE"""),"ADULTO MAYOR HOMBRE")</f>
        <v>ADULTO MAYOR HOMBRE</v>
      </c>
    </row>
    <row r="194" spans="1:13">
      <c r="A194" s="42" t="str">
        <f ca="1">IFERROR(__xludf.DUMMYFUNCTION("""COMPUTED_VALUE"""),"2.1.1.16")</f>
        <v>2.1.1.16</v>
      </c>
      <c r="B194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94" s="42" t="str">
        <f ca="1">IFERROR(__xludf.DUMMYFUNCTION("""COMPUTED_VALUE"""),"3. Operación")</f>
        <v>3. Operación</v>
      </c>
      <c r="D194" s="42" t="str">
        <f ca="1">IFERROR(__xludf.DUMMYFUNCTION("""COMPUTED_VALUE"""),"Guadalajara en Paz")</f>
        <v>Guadalajara en Paz</v>
      </c>
      <c r="E194" s="42" t="str">
        <f ca="1">IFERROR(__xludf.DUMMYFUNCTION("""COMPUTED_VALUE"""),"Educación Preescolar en Centros de Desarrollo Comunitarios")</f>
        <v>Educación Preescolar en Centros de Desarrollo Comunitarios</v>
      </c>
      <c r="F194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94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94" s="42" t="str">
        <f ca="1">IFERROR(__xludf.DUMMYFUNCTION("""COMPUTED_VALUE"""),"NAS Julio")</f>
        <v>NAS Julio</v>
      </c>
      <c r="I194" s="42" t="str">
        <f ca="1">IFERROR(__xludf.DUMMYFUNCTION("""COMPUTED_VALUE"""),"Julio")</f>
        <v>Julio</v>
      </c>
      <c r="J194" s="42" t="str">
        <f ca="1">IFERROR(__xludf.DUMMYFUNCTION("""COMPUTED_VALUE"""),"NAS")</f>
        <v>NAS</v>
      </c>
      <c r="K194" s="98">
        <f ca="1">IFERROR(__xludf.DUMMYFUNCTION("""COMPUTED_VALUE"""),1012)</f>
        <v>1012</v>
      </c>
      <c r="L194" s="42" t="str">
        <f ca="1">IFERROR(__xludf.DUMMYFUNCTION("""COMPUTED_VALUE"""),"TRIMESTRE 3")</f>
        <v>TRIMESTRE 3</v>
      </c>
      <c r="M194" s="42" t="str">
        <f ca="1">IFERROR(__xludf.DUMMYFUNCTION("""COMPUTED_VALUE"""),"NIÑAS")</f>
        <v>NIÑAS</v>
      </c>
    </row>
    <row r="195" spans="1:13">
      <c r="A195" s="42" t="str">
        <f ca="1">IFERROR(__xludf.DUMMYFUNCTION("""COMPUTED_VALUE"""),"2.1.1.16")</f>
        <v>2.1.1.16</v>
      </c>
      <c r="B195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95" s="42" t="str">
        <f ca="1">IFERROR(__xludf.DUMMYFUNCTION("""COMPUTED_VALUE"""),"3. Operación")</f>
        <v>3. Operación</v>
      </c>
      <c r="D195" s="42" t="str">
        <f ca="1">IFERROR(__xludf.DUMMYFUNCTION("""COMPUTED_VALUE"""),"Guadalajara en Paz")</f>
        <v>Guadalajara en Paz</v>
      </c>
      <c r="E195" s="42" t="str">
        <f ca="1">IFERROR(__xludf.DUMMYFUNCTION("""COMPUTED_VALUE"""),"Educación Preescolar en Centros de Desarrollo Comunitarios")</f>
        <v>Educación Preescolar en Centros de Desarrollo Comunitarios</v>
      </c>
      <c r="F195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95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95" s="42" t="str">
        <f ca="1">IFERROR(__xludf.DUMMYFUNCTION("""COMPUTED_VALUE"""),"NOS Julio")</f>
        <v>NOS Julio</v>
      </c>
      <c r="I195" s="42" t="str">
        <f ca="1">IFERROR(__xludf.DUMMYFUNCTION("""COMPUTED_VALUE"""),"Julio")</f>
        <v>Julio</v>
      </c>
      <c r="J195" s="42" t="str">
        <f ca="1">IFERROR(__xludf.DUMMYFUNCTION("""COMPUTED_VALUE"""),"NOS")</f>
        <v>NOS</v>
      </c>
      <c r="K195" s="98">
        <f ca="1">IFERROR(__xludf.DUMMYFUNCTION("""COMPUTED_VALUE"""),1080)</f>
        <v>1080</v>
      </c>
      <c r="L195" s="42" t="str">
        <f ca="1">IFERROR(__xludf.DUMMYFUNCTION("""COMPUTED_VALUE"""),"TRIMESTRE 3")</f>
        <v>TRIMESTRE 3</v>
      </c>
      <c r="M195" s="42" t="str">
        <f ca="1">IFERROR(__xludf.DUMMYFUNCTION("""COMPUTED_VALUE"""),"NIÑOS")</f>
        <v>NIÑOS</v>
      </c>
    </row>
    <row r="196" spans="1:13">
      <c r="A196" s="42" t="str">
        <f ca="1">IFERROR(__xludf.DUMMYFUNCTION("""COMPUTED_VALUE"""),"2.1.1.16")</f>
        <v>2.1.1.16</v>
      </c>
      <c r="B196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96" s="42" t="str">
        <f ca="1">IFERROR(__xludf.DUMMYFUNCTION("""COMPUTED_VALUE"""),"3. Operación")</f>
        <v>3. Operación</v>
      </c>
      <c r="D196" s="42" t="str">
        <f ca="1">IFERROR(__xludf.DUMMYFUNCTION("""COMPUTED_VALUE"""),"Guadalajara en Paz")</f>
        <v>Guadalajara en Paz</v>
      </c>
      <c r="E196" s="42" t="str">
        <f ca="1">IFERROR(__xludf.DUMMYFUNCTION("""COMPUTED_VALUE"""),"Educación Preescolar en Centros de Desarrollo Comunitarios")</f>
        <v>Educación Preescolar en Centros de Desarrollo Comunitarios</v>
      </c>
      <c r="F196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96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96" s="42" t="str">
        <f ca="1">IFERROR(__xludf.DUMMYFUNCTION("""COMPUTED_VALUE"""),"AM JULIO")</f>
        <v>AM JULIO</v>
      </c>
      <c r="I196" s="42" t="str">
        <f ca="1">IFERROR(__xludf.DUMMYFUNCTION("""COMPUTED_VALUE"""),"Julio")</f>
        <v>Julio</v>
      </c>
      <c r="J196" s="42" t="str">
        <f ca="1">IFERROR(__xludf.DUMMYFUNCTION("""COMPUTED_VALUE"""),"AM")</f>
        <v>AM</v>
      </c>
      <c r="K196" s="98"/>
      <c r="L196" s="42" t="str">
        <f ca="1">IFERROR(__xludf.DUMMYFUNCTION("""COMPUTED_VALUE"""),"TRIMESTRE 3")</f>
        <v>TRIMESTRE 3</v>
      </c>
      <c r="M196" s="42" t="str">
        <f ca="1">IFERROR(__xludf.DUMMYFUNCTION("""COMPUTED_VALUE"""),"ADOLESCENTES MUJERES")</f>
        <v>ADOLESCENTES MUJERES</v>
      </c>
    </row>
    <row r="197" spans="1:13">
      <c r="A197" s="42" t="str">
        <f ca="1">IFERROR(__xludf.DUMMYFUNCTION("""COMPUTED_VALUE"""),"2.1.1.16")</f>
        <v>2.1.1.16</v>
      </c>
      <c r="B197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97" s="42" t="str">
        <f ca="1">IFERROR(__xludf.DUMMYFUNCTION("""COMPUTED_VALUE"""),"3. Operación")</f>
        <v>3. Operación</v>
      </c>
      <c r="D197" s="42" t="str">
        <f ca="1">IFERROR(__xludf.DUMMYFUNCTION("""COMPUTED_VALUE"""),"Guadalajara en Paz")</f>
        <v>Guadalajara en Paz</v>
      </c>
      <c r="E197" s="42" t="str">
        <f ca="1">IFERROR(__xludf.DUMMYFUNCTION("""COMPUTED_VALUE"""),"Educación Preescolar en Centros de Desarrollo Comunitarios")</f>
        <v>Educación Preescolar en Centros de Desarrollo Comunitarios</v>
      </c>
      <c r="F197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97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97" s="42" t="str">
        <f ca="1">IFERROR(__xludf.DUMMYFUNCTION("""COMPUTED_VALUE"""),"AH JULIO")</f>
        <v>AH JULIO</v>
      </c>
      <c r="I197" s="42" t="str">
        <f ca="1">IFERROR(__xludf.DUMMYFUNCTION("""COMPUTED_VALUE"""),"Julio")</f>
        <v>Julio</v>
      </c>
      <c r="J197" s="42" t="str">
        <f ca="1">IFERROR(__xludf.DUMMYFUNCTION("""COMPUTED_VALUE"""),"AH")</f>
        <v>AH</v>
      </c>
      <c r="K197" s="98"/>
      <c r="L197" s="42" t="str">
        <f ca="1">IFERROR(__xludf.DUMMYFUNCTION("""COMPUTED_VALUE"""),"TRIMESTRE 3")</f>
        <v>TRIMESTRE 3</v>
      </c>
      <c r="M197" s="42" t="str">
        <f ca="1">IFERROR(__xludf.DUMMYFUNCTION("""COMPUTED_VALUE"""),"ADOLESCENTES HOMBRES")</f>
        <v>ADOLESCENTES HOMBRES</v>
      </c>
    </row>
    <row r="198" spans="1:13">
      <c r="A198" s="42" t="str">
        <f ca="1">IFERROR(__xludf.DUMMYFUNCTION("""COMPUTED_VALUE"""),"2.1.1.16")</f>
        <v>2.1.1.16</v>
      </c>
      <c r="B198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98" s="42" t="str">
        <f ca="1">IFERROR(__xludf.DUMMYFUNCTION("""COMPUTED_VALUE"""),"3. Operación")</f>
        <v>3. Operación</v>
      </c>
      <c r="D198" s="42" t="str">
        <f ca="1">IFERROR(__xludf.DUMMYFUNCTION("""COMPUTED_VALUE"""),"Guadalajara en Paz")</f>
        <v>Guadalajara en Paz</v>
      </c>
      <c r="E198" s="42" t="str">
        <f ca="1">IFERROR(__xludf.DUMMYFUNCTION("""COMPUTED_VALUE"""),"Educación Preescolar en Centros de Desarrollo Comunitarios")</f>
        <v>Educación Preescolar en Centros de Desarrollo Comunitarios</v>
      </c>
      <c r="F198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98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98" s="42" t="str">
        <f ca="1">IFERROR(__xludf.DUMMYFUNCTION("""COMPUTED_VALUE"""),"MUJ Julio")</f>
        <v>MUJ Julio</v>
      </c>
      <c r="I198" s="42" t="str">
        <f ca="1">IFERROR(__xludf.DUMMYFUNCTION("""COMPUTED_VALUE"""),"Julio")</f>
        <v>Julio</v>
      </c>
      <c r="J198" s="42" t="str">
        <f ca="1">IFERROR(__xludf.DUMMYFUNCTION("""COMPUTED_VALUE"""),"MUJ")</f>
        <v>MUJ</v>
      </c>
      <c r="K198" s="98"/>
      <c r="L198" s="42" t="str">
        <f ca="1">IFERROR(__xludf.DUMMYFUNCTION("""COMPUTED_VALUE"""),"TRIMESTRE 3")</f>
        <v>TRIMESTRE 3</v>
      </c>
      <c r="M198" s="42" t="str">
        <f ca="1">IFERROR(__xludf.DUMMYFUNCTION("""COMPUTED_VALUE"""),"MUJERES ADULTAS")</f>
        <v>MUJERES ADULTAS</v>
      </c>
    </row>
    <row r="199" spans="1:13">
      <c r="A199" s="42" t="str">
        <f ca="1">IFERROR(__xludf.DUMMYFUNCTION("""COMPUTED_VALUE"""),"2.1.1.16")</f>
        <v>2.1.1.16</v>
      </c>
      <c r="B199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99" s="42" t="str">
        <f ca="1">IFERROR(__xludf.DUMMYFUNCTION("""COMPUTED_VALUE"""),"3. Operación")</f>
        <v>3. Operación</v>
      </c>
      <c r="D199" s="42" t="str">
        <f ca="1">IFERROR(__xludf.DUMMYFUNCTION("""COMPUTED_VALUE"""),"Guadalajara en Paz")</f>
        <v>Guadalajara en Paz</v>
      </c>
      <c r="E199" s="42" t="str">
        <f ca="1">IFERROR(__xludf.DUMMYFUNCTION("""COMPUTED_VALUE"""),"Educación Preescolar en Centros de Desarrollo Comunitarios")</f>
        <v>Educación Preescolar en Centros de Desarrollo Comunitarios</v>
      </c>
      <c r="F199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199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199" s="42" t="str">
        <f ca="1">IFERROR(__xludf.DUMMYFUNCTION("""COMPUTED_VALUE"""),"HOM Julio")</f>
        <v>HOM Julio</v>
      </c>
      <c r="I199" s="42" t="str">
        <f ca="1">IFERROR(__xludf.DUMMYFUNCTION("""COMPUTED_VALUE"""),"Julio")</f>
        <v>Julio</v>
      </c>
      <c r="J199" s="42" t="str">
        <f ca="1">IFERROR(__xludf.DUMMYFUNCTION("""COMPUTED_VALUE"""),"HOM")</f>
        <v>HOM</v>
      </c>
      <c r="K199" s="98"/>
      <c r="L199" s="42" t="str">
        <f ca="1">IFERROR(__xludf.DUMMYFUNCTION("""COMPUTED_VALUE"""),"TRIMESTRE 3")</f>
        <v>TRIMESTRE 3</v>
      </c>
      <c r="M199" s="42" t="str">
        <f ca="1">IFERROR(__xludf.DUMMYFUNCTION("""COMPUTED_VALUE"""),"HOMBRES ADULTOS")</f>
        <v>HOMBRES ADULTOS</v>
      </c>
    </row>
    <row r="200" spans="1:13">
      <c r="A200" s="42" t="str">
        <f ca="1">IFERROR(__xludf.DUMMYFUNCTION("""COMPUTED_VALUE"""),"2.1.1.16")</f>
        <v>2.1.1.16</v>
      </c>
      <c r="B200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00" s="42" t="str">
        <f ca="1">IFERROR(__xludf.DUMMYFUNCTION("""COMPUTED_VALUE"""),"3. Operación")</f>
        <v>3. Operación</v>
      </c>
      <c r="D200" s="42" t="str">
        <f ca="1">IFERROR(__xludf.DUMMYFUNCTION("""COMPUTED_VALUE"""),"Guadalajara en Paz")</f>
        <v>Guadalajara en Paz</v>
      </c>
      <c r="E200" s="42" t="str">
        <f ca="1">IFERROR(__xludf.DUMMYFUNCTION("""COMPUTED_VALUE"""),"Educación Preescolar en Centros de Desarrollo Comunitarios")</f>
        <v>Educación Preescolar en Centros de Desarrollo Comunitarios</v>
      </c>
      <c r="F200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200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200" s="42" t="str">
        <f ca="1">IFERROR(__xludf.DUMMYFUNCTION("""COMPUTED_VALUE"""),"AMM Julio")</f>
        <v>AMM Julio</v>
      </c>
      <c r="I200" s="42" t="str">
        <f ca="1">IFERROR(__xludf.DUMMYFUNCTION("""COMPUTED_VALUE"""),"Julio")</f>
        <v>Julio</v>
      </c>
      <c r="J200" s="42" t="str">
        <f ca="1">IFERROR(__xludf.DUMMYFUNCTION("""COMPUTED_VALUE"""),"AMM")</f>
        <v>AMM</v>
      </c>
      <c r="K200" s="98"/>
      <c r="L200" s="42" t="str">
        <f ca="1">IFERROR(__xludf.DUMMYFUNCTION("""COMPUTED_VALUE"""),"TRIMESTRE 3")</f>
        <v>TRIMESTRE 3</v>
      </c>
      <c r="M200" s="42" t="str">
        <f ca="1">IFERROR(__xludf.DUMMYFUNCTION("""COMPUTED_VALUE"""),"ADULTA MAYOR MUJER")</f>
        <v>ADULTA MAYOR MUJER</v>
      </c>
    </row>
    <row r="201" spans="1:13">
      <c r="A201" s="42" t="str">
        <f ca="1">IFERROR(__xludf.DUMMYFUNCTION("""COMPUTED_VALUE"""),"2.1.1.16")</f>
        <v>2.1.1.16</v>
      </c>
      <c r="B201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01" s="42" t="str">
        <f ca="1">IFERROR(__xludf.DUMMYFUNCTION("""COMPUTED_VALUE"""),"3. Operación")</f>
        <v>3. Operación</v>
      </c>
      <c r="D201" s="42" t="str">
        <f ca="1">IFERROR(__xludf.DUMMYFUNCTION("""COMPUTED_VALUE"""),"Guadalajara en Paz")</f>
        <v>Guadalajara en Paz</v>
      </c>
      <c r="E201" s="42" t="str">
        <f ca="1">IFERROR(__xludf.DUMMYFUNCTION("""COMPUTED_VALUE"""),"Educación Preescolar en Centros de Desarrollo Comunitarios")</f>
        <v>Educación Preescolar en Centros de Desarrollo Comunitarios</v>
      </c>
      <c r="F201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201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201" s="42" t="str">
        <f ca="1">IFERROR(__xludf.DUMMYFUNCTION("""COMPUTED_VALUE"""),"AMH Julio")</f>
        <v>AMH Julio</v>
      </c>
      <c r="I201" s="42" t="str">
        <f ca="1">IFERROR(__xludf.DUMMYFUNCTION("""COMPUTED_VALUE"""),"Julio")</f>
        <v>Julio</v>
      </c>
      <c r="J201" s="42" t="str">
        <f ca="1">IFERROR(__xludf.DUMMYFUNCTION("""COMPUTED_VALUE"""),"AMH")</f>
        <v>AMH</v>
      </c>
      <c r="K201" s="98"/>
      <c r="L201" s="42" t="str">
        <f ca="1">IFERROR(__xludf.DUMMYFUNCTION("""COMPUTED_VALUE"""),"TRIMESTRE 3")</f>
        <v>TRIMESTRE 3</v>
      </c>
      <c r="M201" s="42" t="str">
        <f ca="1">IFERROR(__xludf.DUMMYFUNCTION("""COMPUTED_VALUE"""),"ADULTO MAYOR HOMBRE")</f>
        <v>ADULTO MAYOR HOMBRE</v>
      </c>
    </row>
    <row r="202" spans="1:13">
      <c r="A202" s="42" t="str">
        <f ca="1">IFERROR(__xludf.DUMMYFUNCTION("""COMPUTED_VALUE"""),"#N/A")</f>
        <v>#N/A</v>
      </c>
      <c r="B202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02" s="42" t="str">
        <f ca="1">IFERROR(__xludf.DUMMYFUNCTION("""COMPUTED_VALUE"""),"3. Operación")</f>
        <v>3. Operación</v>
      </c>
      <c r="D202" s="42" t="str">
        <f ca="1">IFERROR(__xludf.DUMMYFUNCTION("""COMPUTED_VALUE"""),"Guadalajara en Paz")</f>
        <v>Guadalajara en Paz</v>
      </c>
      <c r="E202" s="42" t="str">
        <f ca="1">IFERROR(__xludf.DUMMYFUNCTION("""COMPUTED_VALUE"""),"Educación Preescolar en Centros de Desarrollo Comunitarios")</f>
        <v>Educación Preescolar en Centros de Desarrollo Comunitarios</v>
      </c>
      <c r="F202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202" s="42" t="str">
        <f ca="1">IFERROR(__xludf.DUMMYFUNCTION("""COMPUTED_VALUE"""),"Promedio de niñas y niños que asisten al Preescolar en CDC,en 2023")</f>
        <v>Promedio de niñas y niños que asisten al Preescolar en CDC,en 2023</v>
      </c>
      <c r="H202" s="42" t="str">
        <f ca="1">IFERROR(__xludf.DUMMYFUNCTION("""COMPUTED_VALUE"""),"NAS Julio")</f>
        <v>NAS Julio</v>
      </c>
      <c r="I202" s="42" t="str">
        <f ca="1">IFERROR(__xludf.DUMMYFUNCTION("""COMPUTED_VALUE"""),"Julio")</f>
        <v>Julio</v>
      </c>
      <c r="J202" s="42" t="str">
        <f ca="1">IFERROR(__xludf.DUMMYFUNCTION("""COMPUTED_VALUE"""),"NAS")</f>
        <v>NAS</v>
      </c>
      <c r="K202" s="98">
        <f ca="1">IFERROR(__xludf.DUMMYFUNCTION("""COMPUTED_VALUE"""),1012)</f>
        <v>1012</v>
      </c>
      <c r="L202" s="42" t="str">
        <f ca="1">IFERROR(__xludf.DUMMYFUNCTION("""COMPUTED_VALUE"""),"TRIMESTRE 3")</f>
        <v>TRIMESTRE 3</v>
      </c>
      <c r="M202" s="42" t="str">
        <f ca="1">IFERROR(__xludf.DUMMYFUNCTION("""COMPUTED_VALUE"""),"NIÑAS")</f>
        <v>NIÑAS</v>
      </c>
    </row>
    <row r="203" spans="1:13">
      <c r="A203" s="42" t="str">
        <f ca="1">IFERROR(__xludf.DUMMYFUNCTION("""COMPUTED_VALUE"""),"#N/A")</f>
        <v>#N/A</v>
      </c>
      <c r="B203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03" s="42" t="str">
        <f ca="1">IFERROR(__xludf.DUMMYFUNCTION("""COMPUTED_VALUE"""),"3. Operación")</f>
        <v>3. Operación</v>
      </c>
      <c r="D203" s="42" t="str">
        <f ca="1">IFERROR(__xludf.DUMMYFUNCTION("""COMPUTED_VALUE"""),"Guadalajara en Paz")</f>
        <v>Guadalajara en Paz</v>
      </c>
      <c r="E203" s="42" t="str">
        <f ca="1">IFERROR(__xludf.DUMMYFUNCTION("""COMPUTED_VALUE"""),"Educación Preescolar en Centros de Desarrollo Comunitarios")</f>
        <v>Educación Preescolar en Centros de Desarrollo Comunitarios</v>
      </c>
      <c r="F203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203" s="42" t="str">
        <f ca="1">IFERROR(__xludf.DUMMYFUNCTION("""COMPUTED_VALUE"""),"Promedio de niñas y niños que asisten al Preescolar en CDC,en 2023")</f>
        <v>Promedio de niñas y niños que asisten al Preescolar en CDC,en 2023</v>
      </c>
      <c r="H203" s="42" t="str">
        <f ca="1">IFERROR(__xludf.DUMMYFUNCTION("""COMPUTED_VALUE"""),"NOS Julio")</f>
        <v>NOS Julio</v>
      </c>
      <c r="I203" s="42" t="str">
        <f ca="1">IFERROR(__xludf.DUMMYFUNCTION("""COMPUTED_VALUE"""),"Julio")</f>
        <v>Julio</v>
      </c>
      <c r="J203" s="42" t="str">
        <f ca="1">IFERROR(__xludf.DUMMYFUNCTION("""COMPUTED_VALUE"""),"NOS")</f>
        <v>NOS</v>
      </c>
      <c r="K203" s="98">
        <f ca="1">IFERROR(__xludf.DUMMYFUNCTION("""COMPUTED_VALUE"""),1080)</f>
        <v>1080</v>
      </c>
      <c r="L203" s="42" t="str">
        <f ca="1">IFERROR(__xludf.DUMMYFUNCTION("""COMPUTED_VALUE"""),"TRIMESTRE 3")</f>
        <v>TRIMESTRE 3</v>
      </c>
      <c r="M203" s="42" t="str">
        <f ca="1">IFERROR(__xludf.DUMMYFUNCTION("""COMPUTED_VALUE"""),"NIÑOS")</f>
        <v>NIÑOS</v>
      </c>
    </row>
    <row r="204" spans="1:13">
      <c r="A204" s="42" t="str">
        <f ca="1">IFERROR(__xludf.DUMMYFUNCTION("""COMPUTED_VALUE"""),"#N/A")</f>
        <v>#N/A</v>
      </c>
      <c r="B204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04" s="42" t="str">
        <f ca="1">IFERROR(__xludf.DUMMYFUNCTION("""COMPUTED_VALUE"""),"3. Operación")</f>
        <v>3. Operación</v>
      </c>
      <c r="D204" s="42" t="str">
        <f ca="1">IFERROR(__xludf.DUMMYFUNCTION("""COMPUTED_VALUE"""),"Guadalajara en Paz")</f>
        <v>Guadalajara en Paz</v>
      </c>
      <c r="E204" s="42" t="str">
        <f ca="1">IFERROR(__xludf.DUMMYFUNCTION("""COMPUTED_VALUE"""),"Educación Preescolar en Centros de Desarrollo Comunitarios")</f>
        <v>Educación Preescolar en Centros de Desarrollo Comunitarios</v>
      </c>
      <c r="F204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204" s="42" t="str">
        <f ca="1">IFERROR(__xludf.DUMMYFUNCTION("""COMPUTED_VALUE"""),"Promedio de niñas y niños que asisten al Preescolar en CDC,en 2023")</f>
        <v>Promedio de niñas y niños que asisten al Preescolar en CDC,en 2023</v>
      </c>
      <c r="H204" s="42" t="str">
        <f ca="1">IFERROR(__xludf.DUMMYFUNCTION("""COMPUTED_VALUE"""),"AM JULIO")</f>
        <v>AM JULIO</v>
      </c>
      <c r="I204" s="42" t="str">
        <f ca="1">IFERROR(__xludf.DUMMYFUNCTION("""COMPUTED_VALUE"""),"Julio")</f>
        <v>Julio</v>
      </c>
      <c r="J204" s="42" t="str">
        <f ca="1">IFERROR(__xludf.DUMMYFUNCTION("""COMPUTED_VALUE"""),"AM")</f>
        <v>AM</v>
      </c>
      <c r="K204" s="98"/>
      <c r="L204" s="42" t="str">
        <f ca="1">IFERROR(__xludf.DUMMYFUNCTION("""COMPUTED_VALUE"""),"TRIMESTRE 3")</f>
        <v>TRIMESTRE 3</v>
      </c>
      <c r="M204" s="42" t="str">
        <f ca="1">IFERROR(__xludf.DUMMYFUNCTION("""COMPUTED_VALUE"""),"ADOLESCENTES MUJERES")</f>
        <v>ADOLESCENTES MUJERES</v>
      </c>
    </row>
    <row r="205" spans="1:13">
      <c r="A205" s="42" t="str">
        <f ca="1">IFERROR(__xludf.DUMMYFUNCTION("""COMPUTED_VALUE"""),"#N/A")</f>
        <v>#N/A</v>
      </c>
      <c r="B205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05" s="42" t="str">
        <f ca="1">IFERROR(__xludf.DUMMYFUNCTION("""COMPUTED_VALUE"""),"3. Operación")</f>
        <v>3. Operación</v>
      </c>
      <c r="D205" s="42" t="str">
        <f ca="1">IFERROR(__xludf.DUMMYFUNCTION("""COMPUTED_VALUE"""),"Guadalajara en Paz")</f>
        <v>Guadalajara en Paz</v>
      </c>
      <c r="E205" s="42" t="str">
        <f ca="1">IFERROR(__xludf.DUMMYFUNCTION("""COMPUTED_VALUE"""),"Educación Preescolar en Centros de Desarrollo Comunitarios")</f>
        <v>Educación Preescolar en Centros de Desarrollo Comunitarios</v>
      </c>
      <c r="F205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205" s="42" t="str">
        <f ca="1">IFERROR(__xludf.DUMMYFUNCTION("""COMPUTED_VALUE"""),"Promedio de niñas y niños que asisten al Preescolar en CDC,en 2023")</f>
        <v>Promedio de niñas y niños que asisten al Preescolar en CDC,en 2023</v>
      </c>
      <c r="H205" s="42" t="str">
        <f ca="1">IFERROR(__xludf.DUMMYFUNCTION("""COMPUTED_VALUE"""),"AH JULIO")</f>
        <v>AH JULIO</v>
      </c>
      <c r="I205" s="42" t="str">
        <f ca="1">IFERROR(__xludf.DUMMYFUNCTION("""COMPUTED_VALUE"""),"Julio")</f>
        <v>Julio</v>
      </c>
      <c r="J205" s="42" t="str">
        <f ca="1">IFERROR(__xludf.DUMMYFUNCTION("""COMPUTED_VALUE"""),"AH")</f>
        <v>AH</v>
      </c>
      <c r="K205" s="98"/>
      <c r="L205" s="42" t="str">
        <f ca="1">IFERROR(__xludf.DUMMYFUNCTION("""COMPUTED_VALUE"""),"TRIMESTRE 3")</f>
        <v>TRIMESTRE 3</v>
      </c>
      <c r="M205" s="42" t="str">
        <f ca="1">IFERROR(__xludf.DUMMYFUNCTION("""COMPUTED_VALUE"""),"ADOLESCENTES HOMBRES")</f>
        <v>ADOLESCENTES HOMBRES</v>
      </c>
    </row>
    <row r="206" spans="1:13">
      <c r="A206" s="42" t="str">
        <f ca="1">IFERROR(__xludf.DUMMYFUNCTION("""COMPUTED_VALUE"""),"#N/A")</f>
        <v>#N/A</v>
      </c>
      <c r="B206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06" s="42" t="str">
        <f ca="1">IFERROR(__xludf.DUMMYFUNCTION("""COMPUTED_VALUE"""),"3. Operación")</f>
        <v>3. Operación</v>
      </c>
      <c r="D206" s="42" t="str">
        <f ca="1">IFERROR(__xludf.DUMMYFUNCTION("""COMPUTED_VALUE"""),"Guadalajara en Paz")</f>
        <v>Guadalajara en Paz</v>
      </c>
      <c r="E206" s="42" t="str">
        <f ca="1">IFERROR(__xludf.DUMMYFUNCTION("""COMPUTED_VALUE"""),"Educación Preescolar en Centros de Desarrollo Comunitarios")</f>
        <v>Educación Preescolar en Centros de Desarrollo Comunitarios</v>
      </c>
      <c r="F206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206" s="42" t="str">
        <f ca="1">IFERROR(__xludf.DUMMYFUNCTION("""COMPUTED_VALUE"""),"Promedio de niñas y niños que asisten al Preescolar en CDC,en 2023")</f>
        <v>Promedio de niñas y niños que asisten al Preescolar en CDC,en 2023</v>
      </c>
      <c r="H206" s="42" t="str">
        <f ca="1">IFERROR(__xludf.DUMMYFUNCTION("""COMPUTED_VALUE"""),"MUJ Julio")</f>
        <v>MUJ Julio</v>
      </c>
      <c r="I206" s="42" t="str">
        <f ca="1">IFERROR(__xludf.DUMMYFUNCTION("""COMPUTED_VALUE"""),"Julio")</f>
        <v>Julio</v>
      </c>
      <c r="J206" s="42" t="str">
        <f ca="1">IFERROR(__xludf.DUMMYFUNCTION("""COMPUTED_VALUE"""),"MUJ")</f>
        <v>MUJ</v>
      </c>
      <c r="K206" s="98"/>
      <c r="L206" s="42" t="str">
        <f ca="1">IFERROR(__xludf.DUMMYFUNCTION("""COMPUTED_VALUE"""),"TRIMESTRE 3")</f>
        <v>TRIMESTRE 3</v>
      </c>
      <c r="M206" s="42" t="str">
        <f ca="1">IFERROR(__xludf.DUMMYFUNCTION("""COMPUTED_VALUE"""),"MUJERES ADULTAS")</f>
        <v>MUJERES ADULTAS</v>
      </c>
    </row>
    <row r="207" spans="1:13">
      <c r="A207" s="42" t="str">
        <f ca="1">IFERROR(__xludf.DUMMYFUNCTION("""COMPUTED_VALUE"""),"#N/A")</f>
        <v>#N/A</v>
      </c>
      <c r="B207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07" s="42" t="str">
        <f ca="1">IFERROR(__xludf.DUMMYFUNCTION("""COMPUTED_VALUE"""),"3. Operación")</f>
        <v>3. Operación</v>
      </c>
      <c r="D207" s="42" t="str">
        <f ca="1">IFERROR(__xludf.DUMMYFUNCTION("""COMPUTED_VALUE"""),"Guadalajara en Paz")</f>
        <v>Guadalajara en Paz</v>
      </c>
      <c r="E207" s="42" t="str">
        <f ca="1">IFERROR(__xludf.DUMMYFUNCTION("""COMPUTED_VALUE"""),"Educación Preescolar en Centros de Desarrollo Comunitarios")</f>
        <v>Educación Preescolar en Centros de Desarrollo Comunitarios</v>
      </c>
      <c r="F207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207" s="42" t="str">
        <f ca="1">IFERROR(__xludf.DUMMYFUNCTION("""COMPUTED_VALUE"""),"Promedio de niñas y niños que asisten al Preescolar en CDC,en 2023")</f>
        <v>Promedio de niñas y niños que asisten al Preescolar en CDC,en 2023</v>
      </c>
      <c r="H207" s="42" t="str">
        <f ca="1">IFERROR(__xludf.DUMMYFUNCTION("""COMPUTED_VALUE"""),"HOM Julio")</f>
        <v>HOM Julio</v>
      </c>
      <c r="I207" s="42" t="str">
        <f ca="1">IFERROR(__xludf.DUMMYFUNCTION("""COMPUTED_VALUE"""),"Julio")</f>
        <v>Julio</v>
      </c>
      <c r="J207" s="42" t="str">
        <f ca="1">IFERROR(__xludf.DUMMYFUNCTION("""COMPUTED_VALUE"""),"HOM")</f>
        <v>HOM</v>
      </c>
      <c r="K207" s="98"/>
      <c r="L207" s="42" t="str">
        <f ca="1">IFERROR(__xludf.DUMMYFUNCTION("""COMPUTED_VALUE"""),"TRIMESTRE 3")</f>
        <v>TRIMESTRE 3</v>
      </c>
      <c r="M207" s="42" t="str">
        <f ca="1">IFERROR(__xludf.DUMMYFUNCTION("""COMPUTED_VALUE"""),"HOMBRES ADULTOS")</f>
        <v>HOMBRES ADULTOS</v>
      </c>
    </row>
    <row r="208" spans="1:13">
      <c r="A208" s="42" t="str">
        <f ca="1">IFERROR(__xludf.DUMMYFUNCTION("""COMPUTED_VALUE"""),"#N/A")</f>
        <v>#N/A</v>
      </c>
      <c r="B208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08" s="42" t="str">
        <f ca="1">IFERROR(__xludf.DUMMYFUNCTION("""COMPUTED_VALUE"""),"3. Operación")</f>
        <v>3. Operación</v>
      </c>
      <c r="D208" s="42" t="str">
        <f ca="1">IFERROR(__xludf.DUMMYFUNCTION("""COMPUTED_VALUE"""),"Guadalajara en Paz")</f>
        <v>Guadalajara en Paz</v>
      </c>
      <c r="E208" s="42" t="str">
        <f ca="1">IFERROR(__xludf.DUMMYFUNCTION("""COMPUTED_VALUE"""),"Educación Preescolar en Centros de Desarrollo Comunitarios")</f>
        <v>Educación Preescolar en Centros de Desarrollo Comunitarios</v>
      </c>
      <c r="F208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208" s="42" t="str">
        <f ca="1">IFERROR(__xludf.DUMMYFUNCTION("""COMPUTED_VALUE"""),"Promedio de niñas y niños que asisten al Preescolar en CDC,en 2023")</f>
        <v>Promedio de niñas y niños que asisten al Preescolar en CDC,en 2023</v>
      </c>
      <c r="H208" s="42" t="str">
        <f ca="1">IFERROR(__xludf.DUMMYFUNCTION("""COMPUTED_VALUE"""),"AMM Julio")</f>
        <v>AMM Julio</v>
      </c>
      <c r="I208" s="42" t="str">
        <f ca="1">IFERROR(__xludf.DUMMYFUNCTION("""COMPUTED_VALUE"""),"Julio")</f>
        <v>Julio</v>
      </c>
      <c r="J208" s="42" t="str">
        <f ca="1">IFERROR(__xludf.DUMMYFUNCTION("""COMPUTED_VALUE"""),"AMM")</f>
        <v>AMM</v>
      </c>
      <c r="K208" s="98"/>
      <c r="L208" s="42" t="str">
        <f ca="1">IFERROR(__xludf.DUMMYFUNCTION("""COMPUTED_VALUE"""),"TRIMESTRE 3")</f>
        <v>TRIMESTRE 3</v>
      </c>
      <c r="M208" s="42" t="str">
        <f ca="1">IFERROR(__xludf.DUMMYFUNCTION("""COMPUTED_VALUE"""),"ADULTA MAYOR MUJER")</f>
        <v>ADULTA MAYOR MUJER</v>
      </c>
    </row>
    <row r="209" spans="1:13">
      <c r="A209" s="42" t="str">
        <f ca="1">IFERROR(__xludf.DUMMYFUNCTION("""COMPUTED_VALUE"""),"#N/A")</f>
        <v>#N/A</v>
      </c>
      <c r="B209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09" s="42" t="str">
        <f ca="1">IFERROR(__xludf.DUMMYFUNCTION("""COMPUTED_VALUE"""),"3. Operación")</f>
        <v>3. Operación</v>
      </c>
      <c r="D209" s="42" t="str">
        <f ca="1">IFERROR(__xludf.DUMMYFUNCTION("""COMPUTED_VALUE"""),"Guadalajara en Paz")</f>
        <v>Guadalajara en Paz</v>
      </c>
      <c r="E209" s="42" t="str">
        <f ca="1">IFERROR(__xludf.DUMMYFUNCTION("""COMPUTED_VALUE"""),"Educación Preescolar en Centros de Desarrollo Comunitarios")</f>
        <v>Educación Preescolar en Centros de Desarrollo Comunitarios</v>
      </c>
      <c r="F209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209" s="42" t="str">
        <f ca="1">IFERROR(__xludf.DUMMYFUNCTION("""COMPUTED_VALUE"""),"Promedio de niñas y niños que asisten al Preescolar en CDC,en 2023")</f>
        <v>Promedio de niñas y niños que asisten al Preescolar en CDC,en 2023</v>
      </c>
      <c r="H209" s="42" t="str">
        <f ca="1">IFERROR(__xludf.DUMMYFUNCTION("""COMPUTED_VALUE"""),"AMH Julio")</f>
        <v>AMH Julio</v>
      </c>
      <c r="I209" s="42" t="str">
        <f ca="1">IFERROR(__xludf.DUMMYFUNCTION("""COMPUTED_VALUE"""),"Julio")</f>
        <v>Julio</v>
      </c>
      <c r="J209" s="42" t="str">
        <f ca="1">IFERROR(__xludf.DUMMYFUNCTION("""COMPUTED_VALUE"""),"AMH")</f>
        <v>AMH</v>
      </c>
      <c r="K209" s="98"/>
      <c r="L209" s="42" t="str">
        <f ca="1">IFERROR(__xludf.DUMMYFUNCTION("""COMPUTED_VALUE"""),"TRIMESTRE 3")</f>
        <v>TRIMESTRE 3</v>
      </c>
      <c r="M209" s="42" t="str">
        <f ca="1">IFERROR(__xludf.DUMMYFUNCTION("""COMPUTED_VALUE"""),"ADULTO MAYOR HOMBRE")</f>
        <v>ADULTO MAYOR HOMBRE</v>
      </c>
    </row>
    <row r="210" spans="1:13">
      <c r="A210" s="42" t="str">
        <f ca="1">IFERROR(__xludf.DUMMYFUNCTION("""COMPUTED_VALUE"""),"2.1.1.16")</f>
        <v>2.1.1.16</v>
      </c>
      <c r="B210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10" s="42" t="str">
        <f ca="1">IFERROR(__xludf.DUMMYFUNCTION("""COMPUTED_VALUE"""),"3. Operación")</f>
        <v>3. Operación</v>
      </c>
      <c r="D210" s="42" t="str">
        <f ca="1">IFERROR(__xludf.DUMMYFUNCTION("""COMPUTED_VALUE"""),"Guadalajara en Paz")</f>
        <v>Guadalajara en Paz</v>
      </c>
      <c r="E210" s="42" t="str">
        <f ca="1">IFERROR(__xludf.DUMMYFUNCTION("""COMPUTED_VALUE"""),"Educación Preescolar en Centros de Desarrollo Comunitarios")</f>
        <v>Educación Preescolar en Centros de Desarrollo Comunitarios</v>
      </c>
      <c r="F210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210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210" s="42" t="str">
        <f ca="1">IFERROR(__xludf.DUMMYFUNCTION("""COMPUTED_VALUE"""),"NAS Agosto")</f>
        <v>NAS Agosto</v>
      </c>
      <c r="I210" s="42" t="str">
        <f ca="1">IFERROR(__xludf.DUMMYFUNCTION("""COMPUTED_VALUE"""),"Agosto")</f>
        <v>Agosto</v>
      </c>
      <c r="J210" s="42" t="str">
        <f ca="1">IFERROR(__xludf.DUMMYFUNCTION("""COMPUTED_VALUE"""),"NAS")</f>
        <v>NAS</v>
      </c>
      <c r="K210" s="98">
        <f ca="1">IFERROR(__xludf.DUMMYFUNCTION("""COMPUTED_VALUE"""),0)</f>
        <v>0</v>
      </c>
      <c r="L210" s="42" t="str">
        <f ca="1">IFERROR(__xludf.DUMMYFUNCTION("""COMPUTED_VALUE"""),"TRIMESTRE 3")</f>
        <v>TRIMESTRE 3</v>
      </c>
      <c r="M210" s="42" t="str">
        <f ca="1">IFERROR(__xludf.DUMMYFUNCTION("""COMPUTED_VALUE"""),"NIÑAS")</f>
        <v>NIÑAS</v>
      </c>
    </row>
    <row r="211" spans="1:13">
      <c r="A211" s="42" t="str">
        <f ca="1">IFERROR(__xludf.DUMMYFUNCTION("""COMPUTED_VALUE"""),"2.1.1.16")</f>
        <v>2.1.1.16</v>
      </c>
      <c r="B211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11" s="42" t="str">
        <f ca="1">IFERROR(__xludf.DUMMYFUNCTION("""COMPUTED_VALUE"""),"3. Operación")</f>
        <v>3. Operación</v>
      </c>
      <c r="D211" s="42" t="str">
        <f ca="1">IFERROR(__xludf.DUMMYFUNCTION("""COMPUTED_VALUE"""),"Guadalajara en Paz")</f>
        <v>Guadalajara en Paz</v>
      </c>
      <c r="E211" s="42" t="str">
        <f ca="1">IFERROR(__xludf.DUMMYFUNCTION("""COMPUTED_VALUE"""),"Educación Preescolar en Centros de Desarrollo Comunitarios")</f>
        <v>Educación Preescolar en Centros de Desarrollo Comunitarios</v>
      </c>
      <c r="F211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211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211" s="42" t="str">
        <f ca="1">IFERROR(__xludf.DUMMYFUNCTION("""COMPUTED_VALUE"""),"NOS Agosto")</f>
        <v>NOS Agosto</v>
      </c>
      <c r="I211" s="42" t="str">
        <f ca="1">IFERROR(__xludf.DUMMYFUNCTION("""COMPUTED_VALUE"""),"Agosto")</f>
        <v>Agosto</v>
      </c>
      <c r="J211" s="42" t="str">
        <f ca="1">IFERROR(__xludf.DUMMYFUNCTION("""COMPUTED_VALUE"""),"NOS")</f>
        <v>NOS</v>
      </c>
      <c r="K211" s="98">
        <f ca="1">IFERROR(__xludf.DUMMYFUNCTION("""COMPUTED_VALUE"""),0)</f>
        <v>0</v>
      </c>
      <c r="L211" s="42" t="str">
        <f ca="1">IFERROR(__xludf.DUMMYFUNCTION("""COMPUTED_VALUE"""),"TRIMESTRE 3")</f>
        <v>TRIMESTRE 3</v>
      </c>
      <c r="M211" s="42" t="str">
        <f ca="1">IFERROR(__xludf.DUMMYFUNCTION("""COMPUTED_VALUE"""),"NIÑOS")</f>
        <v>NIÑOS</v>
      </c>
    </row>
    <row r="212" spans="1:13">
      <c r="A212" s="42" t="str">
        <f ca="1">IFERROR(__xludf.DUMMYFUNCTION("""COMPUTED_VALUE"""),"2.1.1.16")</f>
        <v>2.1.1.16</v>
      </c>
      <c r="B212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12" s="42" t="str">
        <f ca="1">IFERROR(__xludf.DUMMYFUNCTION("""COMPUTED_VALUE"""),"3. Operación")</f>
        <v>3. Operación</v>
      </c>
      <c r="D212" s="42" t="str">
        <f ca="1">IFERROR(__xludf.DUMMYFUNCTION("""COMPUTED_VALUE"""),"Guadalajara en Paz")</f>
        <v>Guadalajara en Paz</v>
      </c>
      <c r="E212" s="42" t="str">
        <f ca="1">IFERROR(__xludf.DUMMYFUNCTION("""COMPUTED_VALUE"""),"Educación Preescolar en Centros de Desarrollo Comunitarios")</f>
        <v>Educación Preescolar en Centros de Desarrollo Comunitarios</v>
      </c>
      <c r="F212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212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212" s="42" t="str">
        <f ca="1">IFERROR(__xludf.DUMMYFUNCTION("""COMPUTED_VALUE"""),"AM AGOSTO")</f>
        <v>AM AGOSTO</v>
      </c>
      <c r="I212" s="42" t="str">
        <f ca="1">IFERROR(__xludf.DUMMYFUNCTION("""COMPUTED_VALUE"""),"Agosto")</f>
        <v>Agosto</v>
      </c>
      <c r="J212" s="42" t="str">
        <f ca="1">IFERROR(__xludf.DUMMYFUNCTION("""COMPUTED_VALUE"""),"AM")</f>
        <v>AM</v>
      </c>
      <c r="K212" s="98"/>
      <c r="L212" s="42" t="str">
        <f ca="1">IFERROR(__xludf.DUMMYFUNCTION("""COMPUTED_VALUE"""),"TRIMESTRE 3")</f>
        <v>TRIMESTRE 3</v>
      </c>
      <c r="M212" s="42" t="str">
        <f ca="1">IFERROR(__xludf.DUMMYFUNCTION("""COMPUTED_VALUE"""),"ADOLESCENTES MUJERES")</f>
        <v>ADOLESCENTES MUJERES</v>
      </c>
    </row>
    <row r="213" spans="1:13">
      <c r="A213" s="42" t="str">
        <f ca="1">IFERROR(__xludf.DUMMYFUNCTION("""COMPUTED_VALUE"""),"2.1.1.16")</f>
        <v>2.1.1.16</v>
      </c>
      <c r="B213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13" s="42" t="str">
        <f ca="1">IFERROR(__xludf.DUMMYFUNCTION("""COMPUTED_VALUE"""),"3. Operación")</f>
        <v>3. Operación</v>
      </c>
      <c r="D213" s="42" t="str">
        <f ca="1">IFERROR(__xludf.DUMMYFUNCTION("""COMPUTED_VALUE"""),"Guadalajara en Paz")</f>
        <v>Guadalajara en Paz</v>
      </c>
      <c r="E213" s="42" t="str">
        <f ca="1">IFERROR(__xludf.DUMMYFUNCTION("""COMPUTED_VALUE"""),"Educación Preescolar en Centros de Desarrollo Comunitarios")</f>
        <v>Educación Preescolar en Centros de Desarrollo Comunitarios</v>
      </c>
      <c r="F213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213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213" s="42" t="str">
        <f ca="1">IFERROR(__xludf.DUMMYFUNCTION("""COMPUTED_VALUE"""),"AH AGOSTO")</f>
        <v>AH AGOSTO</v>
      </c>
      <c r="I213" s="42" t="str">
        <f ca="1">IFERROR(__xludf.DUMMYFUNCTION("""COMPUTED_VALUE"""),"Agosto")</f>
        <v>Agosto</v>
      </c>
      <c r="J213" s="42" t="str">
        <f ca="1">IFERROR(__xludf.DUMMYFUNCTION("""COMPUTED_VALUE"""),"AH")</f>
        <v>AH</v>
      </c>
      <c r="K213" s="98"/>
      <c r="L213" s="42" t="str">
        <f ca="1">IFERROR(__xludf.DUMMYFUNCTION("""COMPUTED_VALUE"""),"TRIMESTRE 3")</f>
        <v>TRIMESTRE 3</v>
      </c>
      <c r="M213" s="42" t="str">
        <f ca="1">IFERROR(__xludf.DUMMYFUNCTION("""COMPUTED_VALUE"""),"ADOLESCENTES HOMBRES")</f>
        <v>ADOLESCENTES HOMBRES</v>
      </c>
    </row>
    <row r="214" spans="1:13">
      <c r="A214" s="42" t="str">
        <f ca="1">IFERROR(__xludf.DUMMYFUNCTION("""COMPUTED_VALUE"""),"2.1.1.16")</f>
        <v>2.1.1.16</v>
      </c>
      <c r="B214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14" s="42" t="str">
        <f ca="1">IFERROR(__xludf.DUMMYFUNCTION("""COMPUTED_VALUE"""),"3. Operación")</f>
        <v>3. Operación</v>
      </c>
      <c r="D214" s="42" t="str">
        <f ca="1">IFERROR(__xludf.DUMMYFUNCTION("""COMPUTED_VALUE"""),"Guadalajara en Paz")</f>
        <v>Guadalajara en Paz</v>
      </c>
      <c r="E214" s="42" t="str">
        <f ca="1">IFERROR(__xludf.DUMMYFUNCTION("""COMPUTED_VALUE"""),"Educación Preescolar en Centros de Desarrollo Comunitarios")</f>
        <v>Educación Preescolar en Centros de Desarrollo Comunitarios</v>
      </c>
      <c r="F214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214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214" s="42" t="str">
        <f ca="1">IFERROR(__xludf.DUMMYFUNCTION("""COMPUTED_VALUE"""),"MUJ Agosto")</f>
        <v>MUJ Agosto</v>
      </c>
      <c r="I214" s="42" t="str">
        <f ca="1">IFERROR(__xludf.DUMMYFUNCTION("""COMPUTED_VALUE"""),"Agosto")</f>
        <v>Agosto</v>
      </c>
      <c r="J214" s="42" t="str">
        <f ca="1">IFERROR(__xludf.DUMMYFUNCTION("""COMPUTED_VALUE"""),"MUJ")</f>
        <v>MUJ</v>
      </c>
      <c r="K214" s="98"/>
      <c r="L214" s="42" t="str">
        <f ca="1">IFERROR(__xludf.DUMMYFUNCTION("""COMPUTED_VALUE"""),"TRIMESTRE 3")</f>
        <v>TRIMESTRE 3</v>
      </c>
      <c r="M214" s="42" t="str">
        <f ca="1">IFERROR(__xludf.DUMMYFUNCTION("""COMPUTED_VALUE"""),"MUJERES ADULTAS")</f>
        <v>MUJERES ADULTAS</v>
      </c>
    </row>
    <row r="215" spans="1:13">
      <c r="A215" s="42" t="str">
        <f ca="1">IFERROR(__xludf.DUMMYFUNCTION("""COMPUTED_VALUE"""),"2.1.1.16")</f>
        <v>2.1.1.16</v>
      </c>
      <c r="B215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15" s="42" t="str">
        <f ca="1">IFERROR(__xludf.DUMMYFUNCTION("""COMPUTED_VALUE"""),"3. Operación")</f>
        <v>3. Operación</v>
      </c>
      <c r="D215" s="42" t="str">
        <f ca="1">IFERROR(__xludf.DUMMYFUNCTION("""COMPUTED_VALUE"""),"Guadalajara en Paz")</f>
        <v>Guadalajara en Paz</v>
      </c>
      <c r="E215" s="42" t="str">
        <f ca="1">IFERROR(__xludf.DUMMYFUNCTION("""COMPUTED_VALUE"""),"Educación Preescolar en Centros de Desarrollo Comunitarios")</f>
        <v>Educación Preescolar en Centros de Desarrollo Comunitarios</v>
      </c>
      <c r="F215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215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215" s="42" t="str">
        <f ca="1">IFERROR(__xludf.DUMMYFUNCTION("""COMPUTED_VALUE"""),"HOM Agosto")</f>
        <v>HOM Agosto</v>
      </c>
      <c r="I215" s="42" t="str">
        <f ca="1">IFERROR(__xludf.DUMMYFUNCTION("""COMPUTED_VALUE"""),"Agosto")</f>
        <v>Agosto</v>
      </c>
      <c r="J215" s="42" t="str">
        <f ca="1">IFERROR(__xludf.DUMMYFUNCTION("""COMPUTED_VALUE"""),"HOM")</f>
        <v>HOM</v>
      </c>
      <c r="K215" s="98"/>
      <c r="L215" s="42" t="str">
        <f ca="1">IFERROR(__xludf.DUMMYFUNCTION("""COMPUTED_VALUE"""),"TRIMESTRE 3")</f>
        <v>TRIMESTRE 3</v>
      </c>
      <c r="M215" s="42" t="str">
        <f ca="1">IFERROR(__xludf.DUMMYFUNCTION("""COMPUTED_VALUE"""),"HOMBRES ADULTOS")</f>
        <v>HOMBRES ADULTOS</v>
      </c>
    </row>
    <row r="216" spans="1:13">
      <c r="A216" s="42" t="str">
        <f ca="1">IFERROR(__xludf.DUMMYFUNCTION("""COMPUTED_VALUE"""),"2.1.1.16")</f>
        <v>2.1.1.16</v>
      </c>
      <c r="B216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16" s="42" t="str">
        <f ca="1">IFERROR(__xludf.DUMMYFUNCTION("""COMPUTED_VALUE"""),"3. Operación")</f>
        <v>3. Operación</v>
      </c>
      <c r="D216" s="42" t="str">
        <f ca="1">IFERROR(__xludf.DUMMYFUNCTION("""COMPUTED_VALUE"""),"Guadalajara en Paz")</f>
        <v>Guadalajara en Paz</v>
      </c>
      <c r="E216" s="42" t="str">
        <f ca="1">IFERROR(__xludf.DUMMYFUNCTION("""COMPUTED_VALUE"""),"Educación Preescolar en Centros de Desarrollo Comunitarios")</f>
        <v>Educación Preescolar en Centros de Desarrollo Comunitarios</v>
      </c>
      <c r="F216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216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216" s="42" t="str">
        <f ca="1">IFERROR(__xludf.DUMMYFUNCTION("""COMPUTED_VALUE"""),"AMM Agosto")</f>
        <v>AMM Agosto</v>
      </c>
      <c r="I216" s="42" t="str">
        <f ca="1">IFERROR(__xludf.DUMMYFUNCTION("""COMPUTED_VALUE"""),"Agosto")</f>
        <v>Agosto</v>
      </c>
      <c r="J216" s="42" t="str">
        <f ca="1">IFERROR(__xludf.DUMMYFUNCTION("""COMPUTED_VALUE"""),"AMM")</f>
        <v>AMM</v>
      </c>
      <c r="K216" s="98"/>
      <c r="L216" s="42" t="str">
        <f ca="1">IFERROR(__xludf.DUMMYFUNCTION("""COMPUTED_VALUE"""),"TRIMESTRE 3")</f>
        <v>TRIMESTRE 3</v>
      </c>
      <c r="M216" s="42" t="str">
        <f ca="1">IFERROR(__xludf.DUMMYFUNCTION("""COMPUTED_VALUE"""),"ADULTA MAYOR MUJER")</f>
        <v>ADULTA MAYOR MUJER</v>
      </c>
    </row>
    <row r="217" spans="1:13">
      <c r="A217" s="42" t="str">
        <f ca="1">IFERROR(__xludf.DUMMYFUNCTION("""COMPUTED_VALUE"""),"2.1.1.16")</f>
        <v>2.1.1.16</v>
      </c>
      <c r="B217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17" s="42" t="str">
        <f ca="1">IFERROR(__xludf.DUMMYFUNCTION("""COMPUTED_VALUE"""),"3. Operación")</f>
        <v>3. Operación</v>
      </c>
      <c r="D217" s="42" t="str">
        <f ca="1">IFERROR(__xludf.DUMMYFUNCTION("""COMPUTED_VALUE"""),"Guadalajara en Paz")</f>
        <v>Guadalajara en Paz</v>
      </c>
      <c r="E217" s="42" t="str">
        <f ca="1">IFERROR(__xludf.DUMMYFUNCTION("""COMPUTED_VALUE"""),"Educación Preescolar en Centros de Desarrollo Comunitarios")</f>
        <v>Educación Preescolar en Centros de Desarrollo Comunitarios</v>
      </c>
      <c r="F217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217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217" s="42" t="str">
        <f ca="1">IFERROR(__xludf.DUMMYFUNCTION("""COMPUTED_VALUE"""),"AMH Agosto")</f>
        <v>AMH Agosto</v>
      </c>
      <c r="I217" s="42" t="str">
        <f ca="1">IFERROR(__xludf.DUMMYFUNCTION("""COMPUTED_VALUE"""),"Agosto")</f>
        <v>Agosto</v>
      </c>
      <c r="J217" s="42" t="str">
        <f ca="1">IFERROR(__xludf.DUMMYFUNCTION("""COMPUTED_VALUE"""),"AMH")</f>
        <v>AMH</v>
      </c>
      <c r="K217" s="98"/>
      <c r="L217" s="42" t="str">
        <f ca="1">IFERROR(__xludf.DUMMYFUNCTION("""COMPUTED_VALUE"""),"TRIMESTRE 3")</f>
        <v>TRIMESTRE 3</v>
      </c>
      <c r="M217" s="42" t="str">
        <f ca="1">IFERROR(__xludf.DUMMYFUNCTION("""COMPUTED_VALUE"""),"ADULTO MAYOR HOMBRE")</f>
        <v>ADULTO MAYOR HOMBRE</v>
      </c>
    </row>
    <row r="218" spans="1:13">
      <c r="A218" s="42" t="str">
        <f ca="1">IFERROR(__xludf.DUMMYFUNCTION("""COMPUTED_VALUE"""),"#N/A")</f>
        <v>#N/A</v>
      </c>
      <c r="B218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18" s="42" t="str">
        <f ca="1">IFERROR(__xludf.DUMMYFUNCTION("""COMPUTED_VALUE"""),"3. Operación")</f>
        <v>3. Operación</v>
      </c>
      <c r="D218" s="42" t="str">
        <f ca="1">IFERROR(__xludf.DUMMYFUNCTION("""COMPUTED_VALUE"""),"Guadalajara en Paz")</f>
        <v>Guadalajara en Paz</v>
      </c>
      <c r="E218" s="42" t="str">
        <f ca="1">IFERROR(__xludf.DUMMYFUNCTION("""COMPUTED_VALUE"""),"Educación Preescolar en Centros de Desarrollo Comunitarios")</f>
        <v>Educación Preescolar en Centros de Desarrollo Comunitarios</v>
      </c>
      <c r="F218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218" s="42" t="str">
        <f ca="1">IFERROR(__xludf.DUMMYFUNCTION("""COMPUTED_VALUE"""),"Promedio de niñas y niños que asisten al Preescolar en CDC,en 2023")</f>
        <v>Promedio de niñas y niños que asisten al Preescolar en CDC,en 2023</v>
      </c>
      <c r="H218" s="42" t="str">
        <f ca="1">IFERROR(__xludf.DUMMYFUNCTION("""COMPUTED_VALUE"""),"NAS Agosto")</f>
        <v>NAS Agosto</v>
      </c>
      <c r="I218" s="42" t="str">
        <f ca="1">IFERROR(__xludf.DUMMYFUNCTION("""COMPUTED_VALUE"""),"Agosto")</f>
        <v>Agosto</v>
      </c>
      <c r="J218" s="42" t="str">
        <f ca="1">IFERROR(__xludf.DUMMYFUNCTION("""COMPUTED_VALUE"""),"NAS")</f>
        <v>NAS</v>
      </c>
      <c r="K218" s="98">
        <f ca="1">IFERROR(__xludf.DUMMYFUNCTION("""COMPUTED_VALUE"""),941)</f>
        <v>941</v>
      </c>
      <c r="L218" s="42" t="str">
        <f ca="1">IFERROR(__xludf.DUMMYFUNCTION("""COMPUTED_VALUE"""),"TRIMESTRE 3")</f>
        <v>TRIMESTRE 3</v>
      </c>
      <c r="M218" s="42" t="str">
        <f ca="1">IFERROR(__xludf.DUMMYFUNCTION("""COMPUTED_VALUE"""),"NIÑAS")</f>
        <v>NIÑAS</v>
      </c>
    </row>
    <row r="219" spans="1:13">
      <c r="A219" s="42" t="str">
        <f ca="1">IFERROR(__xludf.DUMMYFUNCTION("""COMPUTED_VALUE"""),"#N/A")</f>
        <v>#N/A</v>
      </c>
      <c r="B219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19" s="42" t="str">
        <f ca="1">IFERROR(__xludf.DUMMYFUNCTION("""COMPUTED_VALUE"""),"3. Operación")</f>
        <v>3. Operación</v>
      </c>
      <c r="D219" s="42" t="str">
        <f ca="1">IFERROR(__xludf.DUMMYFUNCTION("""COMPUTED_VALUE"""),"Guadalajara en Paz")</f>
        <v>Guadalajara en Paz</v>
      </c>
      <c r="E219" s="42" t="str">
        <f ca="1">IFERROR(__xludf.DUMMYFUNCTION("""COMPUTED_VALUE"""),"Educación Preescolar en Centros de Desarrollo Comunitarios")</f>
        <v>Educación Preescolar en Centros de Desarrollo Comunitarios</v>
      </c>
      <c r="F219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219" s="42" t="str">
        <f ca="1">IFERROR(__xludf.DUMMYFUNCTION("""COMPUTED_VALUE"""),"Promedio de niñas y niños que asisten al Preescolar en CDC,en 2023")</f>
        <v>Promedio de niñas y niños que asisten al Preescolar en CDC,en 2023</v>
      </c>
      <c r="H219" s="42" t="str">
        <f ca="1">IFERROR(__xludf.DUMMYFUNCTION("""COMPUTED_VALUE"""),"NOS Agosto")</f>
        <v>NOS Agosto</v>
      </c>
      <c r="I219" s="42" t="str">
        <f ca="1">IFERROR(__xludf.DUMMYFUNCTION("""COMPUTED_VALUE"""),"Agosto")</f>
        <v>Agosto</v>
      </c>
      <c r="J219" s="42" t="str">
        <f ca="1">IFERROR(__xludf.DUMMYFUNCTION("""COMPUTED_VALUE"""),"NOS")</f>
        <v>NOS</v>
      </c>
      <c r="K219" s="98">
        <f ca="1">IFERROR(__xludf.DUMMYFUNCTION("""COMPUTED_VALUE"""),1065)</f>
        <v>1065</v>
      </c>
      <c r="L219" s="42" t="str">
        <f ca="1">IFERROR(__xludf.DUMMYFUNCTION("""COMPUTED_VALUE"""),"TRIMESTRE 3")</f>
        <v>TRIMESTRE 3</v>
      </c>
      <c r="M219" s="42" t="str">
        <f ca="1">IFERROR(__xludf.DUMMYFUNCTION("""COMPUTED_VALUE"""),"NIÑOS")</f>
        <v>NIÑOS</v>
      </c>
    </row>
    <row r="220" spans="1:13">
      <c r="A220" s="42" t="str">
        <f ca="1">IFERROR(__xludf.DUMMYFUNCTION("""COMPUTED_VALUE"""),"#N/A")</f>
        <v>#N/A</v>
      </c>
      <c r="B220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20" s="42" t="str">
        <f ca="1">IFERROR(__xludf.DUMMYFUNCTION("""COMPUTED_VALUE"""),"3. Operación")</f>
        <v>3. Operación</v>
      </c>
      <c r="D220" s="42" t="str">
        <f ca="1">IFERROR(__xludf.DUMMYFUNCTION("""COMPUTED_VALUE"""),"Guadalajara en Paz")</f>
        <v>Guadalajara en Paz</v>
      </c>
      <c r="E220" s="42" t="str">
        <f ca="1">IFERROR(__xludf.DUMMYFUNCTION("""COMPUTED_VALUE"""),"Educación Preescolar en Centros de Desarrollo Comunitarios")</f>
        <v>Educación Preescolar en Centros de Desarrollo Comunitarios</v>
      </c>
      <c r="F220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220" s="42" t="str">
        <f ca="1">IFERROR(__xludf.DUMMYFUNCTION("""COMPUTED_VALUE"""),"Promedio de niñas y niños que asisten al Preescolar en CDC,en 2023")</f>
        <v>Promedio de niñas y niños que asisten al Preescolar en CDC,en 2023</v>
      </c>
      <c r="H220" s="42" t="str">
        <f ca="1">IFERROR(__xludf.DUMMYFUNCTION("""COMPUTED_VALUE"""),"AM AGOSTO")</f>
        <v>AM AGOSTO</v>
      </c>
      <c r="I220" s="42" t="str">
        <f ca="1">IFERROR(__xludf.DUMMYFUNCTION("""COMPUTED_VALUE"""),"Agosto")</f>
        <v>Agosto</v>
      </c>
      <c r="J220" s="42" t="str">
        <f ca="1">IFERROR(__xludf.DUMMYFUNCTION("""COMPUTED_VALUE"""),"AM")</f>
        <v>AM</v>
      </c>
      <c r="K220" s="98"/>
      <c r="L220" s="42" t="str">
        <f ca="1">IFERROR(__xludf.DUMMYFUNCTION("""COMPUTED_VALUE"""),"TRIMESTRE 3")</f>
        <v>TRIMESTRE 3</v>
      </c>
      <c r="M220" s="42" t="str">
        <f ca="1">IFERROR(__xludf.DUMMYFUNCTION("""COMPUTED_VALUE"""),"ADOLESCENTES MUJERES")</f>
        <v>ADOLESCENTES MUJERES</v>
      </c>
    </row>
    <row r="221" spans="1:13">
      <c r="A221" s="42" t="str">
        <f ca="1">IFERROR(__xludf.DUMMYFUNCTION("""COMPUTED_VALUE"""),"#N/A")</f>
        <v>#N/A</v>
      </c>
      <c r="B221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21" s="42" t="str">
        <f ca="1">IFERROR(__xludf.DUMMYFUNCTION("""COMPUTED_VALUE"""),"3. Operación")</f>
        <v>3. Operación</v>
      </c>
      <c r="D221" s="42" t="str">
        <f ca="1">IFERROR(__xludf.DUMMYFUNCTION("""COMPUTED_VALUE"""),"Guadalajara en Paz")</f>
        <v>Guadalajara en Paz</v>
      </c>
      <c r="E221" s="42" t="str">
        <f ca="1">IFERROR(__xludf.DUMMYFUNCTION("""COMPUTED_VALUE"""),"Educación Preescolar en Centros de Desarrollo Comunitarios")</f>
        <v>Educación Preescolar en Centros de Desarrollo Comunitarios</v>
      </c>
      <c r="F221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221" s="42" t="str">
        <f ca="1">IFERROR(__xludf.DUMMYFUNCTION("""COMPUTED_VALUE"""),"Promedio de niñas y niños que asisten al Preescolar en CDC,en 2023")</f>
        <v>Promedio de niñas y niños que asisten al Preescolar en CDC,en 2023</v>
      </c>
      <c r="H221" s="42" t="str">
        <f ca="1">IFERROR(__xludf.DUMMYFUNCTION("""COMPUTED_VALUE"""),"AH AGOSTO")</f>
        <v>AH AGOSTO</v>
      </c>
      <c r="I221" s="42" t="str">
        <f ca="1">IFERROR(__xludf.DUMMYFUNCTION("""COMPUTED_VALUE"""),"Agosto")</f>
        <v>Agosto</v>
      </c>
      <c r="J221" s="42" t="str">
        <f ca="1">IFERROR(__xludf.DUMMYFUNCTION("""COMPUTED_VALUE"""),"AH")</f>
        <v>AH</v>
      </c>
      <c r="K221" s="98"/>
      <c r="L221" s="42" t="str">
        <f ca="1">IFERROR(__xludf.DUMMYFUNCTION("""COMPUTED_VALUE"""),"TRIMESTRE 3")</f>
        <v>TRIMESTRE 3</v>
      </c>
      <c r="M221" s="42" t="str">
        <f ca="1">IFERROR(__xludf.DUMMYFUNCTION("""COMPUTED_VALUE"""),"ADOLESCENTES HOMBRES")</f>
        <v>ADOLESCENTES HOMBRES</v>
      </c>
    </row>
    <row r="222" spans="1:13">
      <c r="A222" s="42" t="str">
        <f ca="1">IFERROR(__xludf.DUMMYFUNCTION("""COMPUTED_VALUE"""),"#N/A")</f>
        <v>#N/A</v>
      </c>
      <c r="B222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22" s="42" t="str">
        <f ca="1">IFERROR(__xludf.DUMMYFUNCTION("""COMPUTED_VALUE"""),"3. Operación")</f>
        <v>3. Operación</v>
      </c>
      <c r="D222" s="42" t="str">
        <f ca="1">IFERROR(__xludf.DUMMYFUNCTION("""COMPUTED_VALUE"""),"Guadalajara en Paz")</f>
        <v>Guadalajara en Paz</v>
      </c>
      <c r="E222" s="42" t="str">
        <f ca="1">IFERROR(__xludf.DUMMYFUNCTION("""COMPUTED_VALUE"""),"Educación Preescolar en Centros de Desarrollo Comunitarios")</f>
        <v>Educación Preescolar en Centros de Desarrollo Comunitarios</v>
      </c>
      <c r="F222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222" s="42" t="str">
        <f ca="1">IFERROR(__xludf.DUMMYFUNCTION("""COMPUTED_VALUE"""),"Promedio de niñas y niños que asisten al Preescolar en CDC,en 2023")</f>
        <v>Promedio de niñas y niños que asisten al Preescolar en CDC,en 2023</v>
      </c>
      <c r="H222" s="42" t="str">
        <f ca="1">IFERROR(__xludf.DUMMYFUNCTION("""COMPUTED_VALUE"""),"MUJ Agosto")</f>
        <v>MUJ Agosto</v>
      </c>
      <c r="I222" s="42" t="str">
        <f ca="1">IFERROR(__xludf.DUMMYFUNCTION("""COMPUTED_VALUE"""),"Agosto")</f>
        <v>Agosto</v>
      </c>
      <c r="J222" s="42" t="str">
        <f ca="1">IFERROR(__xludf.DUMMYFUNCTION("""COMPUTED_VALUE"""),"MUJ")</f>
        <v>MUJ</v>
      </c>
      <c r="K222" s="98"/>
      <c r="L222" s="42" t="str">
        <f ca="1">IFERROR(__xludf.DUMMYFUNCTION("""COMPUTED_VALUE"""),"TRIMESTRE 3")</f>
        <v>TRIMESTRE 3</v>
      </c>
      <c r="M222" s="42" t="str">
        <f ca="1">IFERROR(__xludf.DUMMYFUNCTION("""COMPUTED_VALUE"""),"MUJERES ADULTAS")</f>
        <v>MUJERES ADULTAS</v>
      </c>
    </row>
    <row r="223" spans="1:13">
      <c r="A223" s="42" t="str">
        <f ca="1">IFERROR(__xludf.DUMMYFUNCTION("""COMPUTED_VALUE"""),"#N/A")</f>
        <v>#N/A</v>
      </c>
      <c r="B223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23" s="42" t="str">
        <f ca="1">IFERROR(__xludf.DUMMYFUNCTION("""COMPUTED_VALUE"""),"3. Operación")</f>
        <v>3. Operación</v>
      </c>
      <c r="D223" s="42" t="str">
        <f ca="1">IFERROR(__xludf.DUMMYFUNCTION("""COMPUTED_VALUE"""),"Guadalajara en Paz")</f>
        <v>Guadalajara en Paz</v>
      </c>
      <c r="E223" s="42" t="str">
        <f ca="1">IFERROR(__xludf.DUMMYFUNCTION("""COMPUTED_VALUE"""),"Educación Preescolar en Centros de Desarrollo Comunitarios")</f>
        <v>Educación Preescolar en Centros de Desarrollo Comunitarios</v>
      </c>
      <c r="F223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223" s="42" t="str">
        <f ca="1">IFERROR(__xludf.DUMMYFUNCTION("""COMPUTED_VALUE"""),"Promedio de niñas y niños que asisten al Preescolar en CDC,en 2023")</f>
        <v>Promedio de niñas y niños que asisten al Preescolar en CDC,en 2023</v>
      </c>
      <c r="H223" s="42" t="str">
        <f ca="1">IFERROR(__xludf.DUMMYFUNCTION("""COMPUTED_VALUE"""),"HOM Agosto")</f>
        <v>HOM Agosto</v>
      </c>
      <c r="I223" s="42" t="str">
        <f ca="1">IFERROR(__xludf.DUMMYFUNCTION("""COMPUTED_VALUE"""),"Agosto")</f>
        <v>Agosto</v>
      </c>
      <c r="J223" s="42" t="str">
        <f ca="1">IFERROR(__xludf.DUMMYFUNCTION("""COMPUTED_VALUE"""),"HOM")</f>
        <v>HOM</v>
      </c>
      <c r="K223" s="98"/>
      <c r="L223" s="42" t="str">
        <f ca="1">IFERROR(__xludf.DUMMYFUNCTION("""COMPUTED_VALUE"""),"TRIMESTRE 3")</f>
        <v>TRIMESTRE 3</v>
      </c>
      <c r="M223" s="42" t="str">
        <f ca="1">IFERROR(__xludf.DUMMYFUNCTION("""COMPUTED_VALUE"""),"HOMBRES ADULTOS")</f>
        <v>HOMBRES ADULTOS</v>
      </c>
    </row>
    <row r="224" spans="1:13">
      <c r="A224" s="42" t="str">
        <f ca="1">IFERROR(__xludf.DUMMYFUNCTION("""COMPUTED_VALUE"""),"#N/A")</f>
        <v>#N/A</v>
      </c>
      <c r="B224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24" s="42" t="str">
        <f ca="1">IFERROR(__xludf.DUMMYFUNCTION("""COMPUTED_VALUE"""),"3. Operación")</f>
        <v>3. Operación</v>
      </c>
      <c r="D224" s="42" t="str">
        <f ca="1">IFERROR(__xludf.DUMMYFUNCTION("""COMPUTED_VALUE"""),"Guadalajara en Paz")</f>
        <v>Guadalajara en Paz</v>
      </c>
      <c r="E224" s="42" t="str">
        <f ca="1">IFERROR(__xludf.DUMMYFUNCTION("""COMPUTED_VALUE"""),"Educación Preescolar en Centros de Desarrollo Comunitarios")</f>
        <v>Educación Preescolar en Centros de Desarrollo Comunitarios</v>
      </c>
      <c r="F224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224" s="42" t="str">
        <f ca="1">IFERROR(__xludf.DUMMYFUNCTION("""COMPUTED_VALUE"""),"Promedio de niñas y niños que asisten al Preescolar en CDC,en 2023")</f>
        <v>Promedio de niñas y niños que asisten al Preescolar en CDC,en 2023</v>
      </c>
      <c r="H224" s="42" t="str">
        <f ca="1">IFERROR(__xludf.DUMMYFUNCTION("""COMPUTED_VALUE"""),"AMM Agosto")</f>
        <v>AMM Agosto</v>
      </c>
      <c r="I224" s="42" t="str">
        <f ca="1">IFERROR(__xludf.DUMMYFUNCTION("""COMPUTED_VALUE"""),"Agosto")</f>
        <v>Agosto</v>
      </c>
      <c r="J224" s="42" t="str">
        <f ca="1">IFERROR(__xludf.DUMMYFUNCTION("""COMPUTED_VALUE"""),"AMM")</f>
        <v>AMM</v>
      </c>
      <c r="K224" s="98"/>
      <c r="L224" s="42" t="str">
        <f ca="1">IFERROR(__xludf.DUMMYFUNCTION("""COMPUTED_VALUE"""),"TRIMESTRE 3")</f>
        <v>TRIMESTRE 3</v>
      </c>
      <c r="M224" s="42" t="str">
        <f ca="1">IFERROR(__xludf.DUMMYFUNCTION("""COMPUTED_VALUE"""),"ADULTA MAYOR MUJER")</f>
        <v>ADULTA MAYOR MUJER</v>
      </c>
    </row>
    <row r="225" spans="1:13">
      <c r="A225" s="42" t="str">
        <f ca="1">IFERROR(__xludf.DUMMYFUNCTION("""COMPUTED_VALUE"""),"#N/A")</f>
        <v>#N/A</v>
      </c>
      <c r="B225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25" s="42" t="str">
        <f ca="1">IFERROR(__xludf.DUMMYFUNCTION("""COMPUTED_VALUE"""),"3. Operación")</f>
        <v>3. Operación</v>
      </c>
      <c r="D225" s="42" t="str">
        <f ca="1">IFERROR(__xludf.DUMMYFUNCTION("""COMPUTED_VALUE"""),"Guadalajara en Paz")</f>
        <v>Guadalajara en Paz</v>
      </c>
      <c r="E225" s="42" t="str">
        <f ca="1">IFERROR(__xludf.DUMMYFUNCTION("""COMPUTED_VALUE"""),"Educación Preescolar en Centros de Desarrollo Comunitarios")</f>
        <v>Educación Preescolar en Centros de Desarrollo Comunitarios</v>
      </c>
      <c r="F225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225" s="42" t="str">
        <f ca="1">IFERROR(__xludf.DUMMYFUNCTION("""COMPUTED_VALUE"""),"Promedio de niñas y niños que asisten al Preescolar en CDC,en 2023")</f>
        <v>Promedio de niñas y niños que asisten al Preescolar en CDC,en 2023</v>
      </c>
      <c r="H225" s="42" t="str">
        <f ca="1">IFERROR(__xludf.DUMMYFUNCTION("""COMPUTED_VALUE"""),"AMH Agosto")</f>
        <v>AMH Agosto</v>
      </c>
      <c r="I225" s="42" t="str">
        <f ca="1">IFERROR(__xludf.DUMMYFUNCTION("""COMPUTED_VALUE"""),"Agosto")</f>
        <v>Agosto</v>
      </c>
      <c r="J225" s="42" t="str">
        <f ca="1">IFERROR(__xludf.DUMMYFUNCTION("""COMPUTED_VALUE"""),"AMH")</f>
        <v>AMH</v>
      </c>
      <c r="K225" s="98"/>
      <c r="L225" s="42" t="str">
        <f ca="1">IFERROR(__xludf.DUMMYFUNCTION("""COMPUTED_VALUE"""),"TRIMESTRE 3")</f>
        <v>TRIMESTRE 3</v>
      </c>
      <c r="M225" s="42" t="str">
        <f ca="1">IFERROR(__xludf.DUMMYFUNCTION("""COMPUTED_VALUE"""),"ADULTO MAYOR HOMBRE")</f>
        <v>ADULTO MAYOR HOMBRE</v>
      </c>
    </row>
    <row r="226" spans="1:13">
      <c r="A226" s="42" t="str">
        <f ca="1">IFERROR(__xludf.DUMMYFUNCTION("""COMPUTED_VALUE"""),"2.1.1.16")</f>
        <v>2.1.1.16</v>
      </c>
      <c r="B226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26" s="42" t="str">
        <f ca="1">IFERROR(__xludf.DUMMYFUNCTION("""COMPUTED_VALUE"""),"3. Operación")</f>
        <v>3. Operación</v>
      </c>
      <c r="D226" s="42" t="str">
        <f ca="1">IFERROR(__xludf.DUMMYFUNCTION("""COMPUTED_VALUE"""),"Guadalajara en Paz")</f>
        <v>Guadalajara en Paz</v>
      </c>
      <c r="E226" s="42" t="str">
        <f ca="1">IFERROR(__xludf.DUMMYFUNCTION("""COMPUTED_VALUE"""),"Educación Preescolar en Centros de Desarrollo Comunitarios")</f>
        <v>Educación Preescolar en Centros de Desarrollo Comunitarios</v>
      </c>
      <c r="F226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226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226" s="42" t="str">
        <f ca="1">IFERROR(__xludf.DUMMYFUNCTION("""COMPUTED_VALUE"""),"NAS Septiembre")</f>
        <v>NAS Septiembre</v>
      </c>
      <c r="I226" s="42" t="str">
        <f ca="1">IFERROR(__xludf.DUMMYFUNCTION("""COMPUTED_VALUE"""),"Septiembre")</f>
        <v>Septiembre</v>
      </c>
      <c r="J226" s="42" t="str">
        <f ca="1">IFERROR(__xludf.DUMMYFUNCTION("""COMPUTED_VALUE"""),"NAS")</f>
        <v>NAS</v>
      </c>
      <c r="K226" s="98">
        <f ca="1">IFERROR(__xludf.DUMMYFUNCTION("""COMPUTED_VALUE"""),0)</f>
        <v>0</v>
      </c>
      <c r="L226" s="42" t="str">
        <f ca="1">IFERROR(__xludf.DUMMYFUNCTION("""COMPUTED_VALUE"""),"TRIMESTRE 3")</f>
        <v>TRIMESTRE 3</v>
      </c>
      <c r="M226" s="42" t="str">
        <f ca="1">IFERROR(__xludf.DUMMYFUNCTION("""COMPUTED_VALUE"""),"NIÑAS")</f>
        <v>NIÑAS</v>
      </c>
    </row>
    <row r="227" spans="1:13">
      <c r="A227" s="42" t="str">
        <f ca="1">IFERROR(__xludf.DUMMYFUNCTION("""COMPUTED_VALUE"""),"2.1.1.16")</f>
        <v>2.1.1.16</v>
      </c>
      <c r="B227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27" s="42" t="str">
        <f ca="1">IFERROR(__xludf.DUMMYFUNCTION("""COMPUTED_VALUE"""),"3. Operación")</f>
        <v>3. Operación</v>
      </c>
      <c r="D227" s="42" t="str">
        <f ca="1">IFERROR(__xludf.DUMMYFUNCTION("""COMPUTED_VALUE"""),"Guadalajara en Paz")</f>
        <v>Guadalajara en Paz</v>
      </c>
      <c r="E227" s="42" t="str">
        <f ca="1">IFERROR(__xludf.DUMMYFUNCTION("""COMPUTED_VALUE"""),"Educación Preescolar en Centros de Desarrollo Comunitarios")</f>
        <v>Educación Preescolar en Centros de Desarrollo Comunitarios</v>
      </c>
      <c r="F227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227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227" s="42" t="str">
        <f ca="1">IFERROR(__xludf.DUMMYFUNCTION("""COMPUTED_VALUE"""),"NOS Septiembre")</f>
        <v>NOS Septiembre</v>
      </c>
      <c r="I227" s="42" t="str">
        <f ca="1">IFERROR(__xludf.DUMMYFUNCTION("""COMPUTED_VALUE"""),"Septiembre")</f>
        <v>Septiembre</v>
      </c>
      <c r="J227" s="42" t="str">
        <f ca="1">IFERROR(__xludf.DUMMYFUNCTION("""COMPUTED_VALUE"""),"NOS")</f>
        <v>NOS</v>
      </c>
      <c r="K227" s="98">
        <f ca="1">IFERROR(__xludf.DUMMYFUNCTION("""COMPUTED_VALUE"""),0)</f>
        <v>0</v>
      </c>
      <c r="L227" s="42" t="str">
        <f ca="1">IFERROR(__xludf.DUMMYFUNCTION("""COMPUTED_VALUE"""),"TRIMESTRE 3")</f>
        <v>TRIMESTRE 3</v>
      </c>
      <c r="M227" s="42" t="str">
        <f ca="1">IFERROR(__xludf.DUMMYFUNCTION("""COMPUTED_VALUE"""),"NIÑOS")</f>
        <v>NIÑOS</v>
      </c>
    </row>
    <row r="228" spans="1:13">
      <c r="A228" s="42" t="str">
        <f ca="1">IFERROR(__xludf.DUMMYFUNCTION("""COMPUTED_VALUE"""),"2.1.1.16")</f>
        <v>2.1.1.16</v>
      </c>
      <c r="B228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28" s="42" t="str">
        <f ca="1">IFERROR(__xludf.DUMMYFUNCTION("""COMPUTED_VALUE"""),"3. Operación")</f>
        <v>3. Operación</v>
      </c>
      <c r="D228" s="42" t="str">
        <f ca="1">IFERROR(__xludf.DUMMYFUNCTION("""COMPUTED_VALUE"""),"Guadalajara en Paz")</f>
        <v>Guadalajara en Paz</v>
      </c>
      <c r="E228" s="42" t="str">
        <f ca="1">IFERROR(__xludf.DUMMYFUNCTION("""COMPUTED_VALUE"""),"Educación Preescolar en Centros de Desarrollo Comunitarios")</f>
        <v>Educación Preescolar en Centros de Desarrollo Comunitarios</v>
      </c>
      <c r="F228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228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228" s="42" t="str">
        <f ca="1">IFERROR(__xludf.DUMMYFUNCTION("""COMPUTED_VALUE"""),"AM SEPTIEMBRE")</f>
        <v>AM SEPTIEMBRE</v>
      </c>
      <c r="I228" s="42" t="str">
        <f ca="1">IFERROR(__xludf.DUMMYFUNCTION("""COMPUTED_VALUE"""),"Septiembre")</f>
        <v>Septiembre</v>
      </c>
      <c r="J228" s="42" t="str">
        <f ca="1">IFERROR(__xludf.DUMMYFUNCTION("""COMPUTED_VALUE"""),"AM")</f>
        <v>AM</v>
      </c>
      <c r="K228" s="98"/>
      <c r="L228" s="42" t="str">
        <f ca="1">IFERROR(__xludf.DUMMYFUNCTION("""COMPUTED_VALUE"""),"TRIMESTRE 3")</f>
        <v>TRIMESTRE 3</v>
      </c>
      <c r="M228" s="42" t="str">
        <f ca="1">IFERROR(__xludf.DUMMYFUNCTION("""COMPUTED_VALUE"""),"ADOLESCENTES MUJERES")</f>
        <v>ADOLESCENTES MUJERES</v>
      </c>
    </row>
    <row r="229" spans="1:13">
      <c r="A229" s="42" t="str">
        <f ca="1">IFERROR(__xludf.DUMMYFUNCTION("""COMPUTED_VALUE"""),"2.1.1.16")</f>
        <v>2.1.1.16</v>
      </c>
      <c r="B229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29" s="42" t="str">
        <f ca="1">IFERROR(__xludf.DUMMYFUNCTION("""COMPUTED_VALUE"""),"3. Operación")</f>
        <v>3. Operación</v>
      </c>
      <c r="D229" s="42" t="str">
        <f ca="1">IFERROR(__xludf.DUMMYFUNCTION("""COMPUTED_VALUE"""),"Guadalajara en Paz")</f>
        <v>Guadalajara en Paz</v>
      </c>
      <c r="E229" s="42" t="str">
        <f ca="1">IFERROR(__xludf.DUMMYFUNCTION("""COMPUTED_VALUE"""),"Educación Preescolar en Centros de Desarrollo Comunitarios")</f>
        <v>Educación Preescolar en Centros de Desarrollo Comunitarios</v>
      </c>
      <c r="F229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229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229" s="42" t="str">
        <f ca="1">IFERROR(__xludf.DUMMYFUNCTION("""COMPUTED_VALUE"""),"AH SEPTIEMBRE")</f>
        <v>AH SEPTIEMBRE</v>
      </c>
      <c r="I229" s="42" t="str">
        <f ca="1">IFERROR(__xludf.DUMMYFUNCTION("""COMPUTED_VALUE"""),"Septiembre")</f>
        <v>Septiembre</v>
      </c>
      <c r="J229" s="42" t="str">
        <f ca="1">IFERROR(__xludf.DUMMYFUNCTION("""COMPUTED_VALUE"""),"AH")</f>
        <v>AH</v>
      </c>
      <c r="K229" s="98"/>
      <c r="L229" s="42" t="str">
        <f ca="1">IFERROR(__xludf.DUMMYFUNCTION("""COMPUTED_VALUE"""),"TRIMESTRE 3")</f>
        <v>TRIMESTRE 3</v>
      </c>
      <c r="M229" s="42" t="str">
        <f ca="1">IFERROR(__xludf.DUMMYFUNCTION("""COMPUTED_VALUE"""),"ADOLESCENTES HOMBRES")</f>
        <v>ADOLESCENTES HOMBRES</v>
      </c>
    </row>
    <row r="230" spans="1:13">
      <c r="A230" s="42" t="str">
        <f ca="1">IFERROR(__xludf.DUMMYFUNCTION("""COMPUTED_VALUE"""),"2.1.1.16")</f>
        <v>2.1.1.16</v>
      </c>
      <c r="B230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30" s="42" t="str">
        <f ca="1">IFERROR(__xludf.DUMMYFUNCTION("""COMPUTED_VALUE"""),"3. Operación")</f>
        <v>3. Operación</v>
      </c>
      <c r="D230" s="42" t="str">
        <f ca="1">IFERROR(__xludf.DUMMYFUNCTION("""COMPUTED_VALUE"""),"Guadalajara en Paz")</f>
        <v>Guadalajara en Paz</v>
      </c>
      <c r="E230" s="42" t="str">
        <f ca="1">IFERROR(__xludf.DUMMYFUNCTION("""COMPUTED_VALUE"""),"Educación Preescolar en Centros de Desarrollo Comunitarios")</f>
        <v>Educación Preescolar en Centros de Desarrollo Comunitarios</v>
      </c>
      <c r="F230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230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230" s="42" t="str">
        <f ca="1">IFERROR(__xludf.DUMMYFUNCTION("""COMPUTED_VALUE"""),"MUJ Septiembre")</f>
        <v>MUJ Septiembre</v>
      </c>
      <c r="I230" s="42" t="str">
        <f ca="1">IFERROR(__xludf.DUMMYFUNCTION("""COMPUTED_VALUE"""),"Septiembre")</f>
        <v>Septiembre</v>
      </c>
      <c r="J230" s="42" t="str">
        <f ca="1">IFERROR(__xludf.DUMMYFUNCTION("""COMPUTED_VALUE"""),"MUJ")</f>
        <v>MUJ</v>
      </c>
      <c r="K230" s="98"/>
      <c r="L230" s="42" t="str">
        <f ca="1">IFERROR(__xludf.DUMMYFUNCTION("""COMPUTED_VALUE"""),"TRIMESTRE 3")</f>
        <v>TRIMESTRE 3</v>
      </c>
      <c r="M230" s="42" t="str">
        <f ca="1">IFERROR(__xludf.DUMMYFUNCTION("""COMPUTED_VALUE"""),"MUJERES ADULTAS")</f>
        <v>MUJERES ADULTAS</v>
      </c>
    </row>
    <row r="231" spans="1:13">
      <c r="A231" s="42" t="str">
        <f ca="1">IFERROR(__xludf.DUMMYFUNCTION("""COMPUTED_VALUE"""),"2.1.1.16")</f>
        <v>2.1.1.16</v>
      </c>
      <c r="B231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31" s="42" t="str">
        <f ca="1">IFERROR(__xludf.DUMMYFUNCTION("""COMPUTED_VALUE"""),"3. Operación")</f>
        <v>3. Operación</v>
      </c>
      <c r="D231" s="42" t="str">
        <f ca="1">IFERROR(__xludf.DUMMYFUNCTION("""COMPUTED_VALUE"""),"Guadalajara en Paz")</f>
        <v>Guadalajara en Paz</v>
      </c>
      <c r="E231" s="42" t="str">
        <f ca="1">IFERROR(__xludf.DUMMYFUNCTION("""COMPUTED_VALUE"""),"Educación Preescolar en Centros de Desarrollo Comunitarios")</f>
        <v>Educación Preescolar en Centros de Desarrollo Comunitarios</v>
      </c>
      <c r="F231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231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231" s="42" t="str">
        <f ca="1">IFERROR(__xludf.DUMMYFUNCTION("""COMPUTED_VALUE"""),"HOM Septiembre")</f>
        <v>HOM Septiembre</v>
      </c>
      <c r="I231" s="42" t="str">
        <f ca="1">IFERROR(__xludf.DUMMYFUNCTION("""COMPUTED_VALUE"""),"Septiembre")</f>
        <v>Septiembre</v>
      </c>
      <c r="J231" s="42" t="str">
        <f ca="1">IFERROR(__xludf.DUMMYFUNCTION("""COMPUTED_VALUE"""),"HOM")</f>
        <v>HOM</v>
      </c>
      <c r="K231" s="98"/>
      <c r="L231" s="42" t="str">
        <f ca="1">IFERROR(__xludf.DUMMYFUNCTION("""COMPUTED_VALUE"""),"TRIMESTRE 3")</f>
        <v>TRIMESTRE 3</v>
      </c>
      <c r="M231" s="42" t="str">
        <f ca="1">IFERROR(__xludf.DUMMYFUNCTION("""COMPUTED_VALUE"""),"HOMBRES ADULTOS")</f>
        <v>HOMBRES ADULTOS</v>
      </c>
    </row>
    <row r="232" spans="1:13">
      <c r="A232" s="42" t="str">
        <f ca="1">IFERROR(__xludf.DUMMYFUNCTION("""COMPUTED_VALUE"""),"2.1.1.16")</f>
        <v>2.1.1.16</v>
      </c>
      <c r="B232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32" s="42" t="str">
        <f ca="1">IFERROR(__xludf.DUMMYFUNCTION("""COMPUTED_VALUE"""),"3. Operación")</f>
        <v>3. Operación</v>
      </c>
      <c r="D232" s="42" t="str">
        <f ca="1">IFERROR(__xludf.DUMMYFUNCTION("""COMPUTED_VALUE"""),"Guadalajara en Paz")</f>
        <v>Guadalajara en Paz</v>
      </c>
      <c r="E232" s="42" t="str">
        <f ca="1">IFERROR(__xludf.DUMMYFUNCTION("""COMPUTED_VALUE"""),"Educación Preescolar en Centros de Desarrollo Comunitarios")</f>
        <v>Educación Preescolar en Centros de Desarrollo Comunitarios</v>
      </c>
      <c r="F232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232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232" s="42" t="str">
        <f ca="1">IFERROR(__xludf.DUMMYFUNCTION("""COMPUTED_VALUE"""),"AMM Septiembre")</f>
        <v>AMM Septiembre</v>
      </c>
      <c r="I232" s="42" t="str">
        <f ca="1">IFERROR(__xludf.DUMMYFUNCTION("""COMPUTED_VALUE"""),"Septiembre")</f>
        <v>Septiembre</v>
      </c>
      <c r="J232" s="42" t="str">
        <f ca="1">IFERROR(__xludf.DUMMYFUNCTION("""COMPUTED_VALUE"""),"AMM")</f>
        <v>AMM</v>
      </c>
      <c r="K232" s="98"/>
      <c r="L232" s="42" t="str">
        <f ca="1">IFERROR(__xludf.DUMMYFUNCTION("""COMPUTED_VALUE"""),"TRIMESTRE 3")</f>
        <v>TRIMESTRE 3</v>
      </c>
      <c r="M232" s="42" t="str">
        <f ca="1">IFERROR(__xludf.DUMMYFUNCTION("""COMPUTED_VALUE"""),"ADULTA MAYOR MUJER")</f>
        <v>ADULTA MAYOR MUJER</v>
      </c>
    </row>
    <row r="233" spans="1:13">
      <c r="A233" s="42" t="str">
        <f ca="1">IFERROR(__xludf.DUMMYFUNCTION("""COMPUTED_VALUE"""),"2.1.1.16")</f>
        <v>2.1.1.16</v>
      </c>
      <c r="B233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33" s="42" t="str">
        <f ca="1">IFERROR(__xludf.DUMMYFUNCTION("""COMPUTED_VALUE"""),"3. Operación")</f>
        <v>3. Operación</v>
      </c>
      <c r="D233" s="42" t="str">
        <f ca="1">IFERROR(__xludf.DUMMYFUNCTION("""COMPUTED_VALUE"""),"Guadalajara en Paz")</f>
        <v>Guadalajara en Paz</v>
      </c>
      <c r="E233" s="42" t="str">
        <f ca="1">IFERROR(__xludf.DUMMYFUNCTION("""COMPUTED_VALUE"""),"Educación Preescolar en Centros de Desarrollo Comunitarios")</f>
        <v>Educación Preescolar en Centros de Desarrollo Comunitarios</v>
      </c>
      <c r="F233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233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233" s="42" t="str">
        <f ca="1">IFERROR(__xludf.DUMMYFUNCTION("""COMPUTED_VALUE"""),"AMH Septiembre")</f>
        <v>AMH Septiembre</v>
      </c>
      <c r="I233" s="42" t="str">
        <f ca="1">IFERROR(__xludf.DUMMYFUNCTION("""COMPUTED_VALUE"""),"Septiembre")</f>
        <v>Septiembre</v>
      </c>
      <c r="J233" s="42" t="str">
        <f ca="1">IFERROR(__xludf.DUMMYFUNCTION("""COMPUTED_VALUE"""),"AMH")</f>
        <v>AMH</v>
      </c>
      <c r="K233" s="98"/>
      <c r="L233" s="42" t="str">
        <f ca="1">IFERROR(__xludf.DUMMYFUNCTION("""COMPUTED_VALUE"""),"TRIMESTRE 3")</f>
        <v>TRIMESTRE 3</v>
      </c>
      <c r="M233" s="42" t="str">
        <f ca="1">IFERROR(__xludf.DUMMYFUNCTION("""COMPUTED_VALUE"""),"ADULTO MAYOR HOMBRE")</f>
        <v>ADULTO MAYOR HOMBRE</v>
      </c>
    </row>
    <row r="234" spans="1:13">
      <c r="A234" s="42" t="str">
        <f ca="1">IFERROR(__xludf.DUMMYFUNCTION("""COMPUTED_VALUE"""),"#N/A")</f>
        <v>#N/A</v>
      </c>
      <c r="B234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34" s="42" t="str">
        <f ca="1">IFERROR(__xludf.DUMMYFUNCTION("""COMPUTED_VALUE"""),"3. Operación")</f>
        <v>3. Operación</v>
      </c>
      <c r="D234" s="42" t="str">
        <f ca="1">IFERROR(__xludf.DUMMYFUNCTION("""COMPUTED_VALUE"""),"Guadalajara en Paz")</f>
        <v>Guadalajara en Paz</v>
      </c>
      <c r="E234" s="42" t="str">
        <f ca="1">IFERROR(__xludf.DUMMYFUNCTION("""COMPUTED_VALUE"""),"Educación Preescolar en Centros de Desarrollo Comunitarios")</f>
        <v>Educación Preescolar en Centros de Desarrollo Comunitarios</v>
      </c>
      <c r="F234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234" s="42" t="str">
        <f ca="1">IFERROR(__xludf.DUMMYFUNCTION("""COMPUTED_VALUE"""),"Promedio de niñas y niños que asisten al Preescolar en CDC,en 2023")</f>
        <v>Promedio de niñas y niños que asisten al Preescolar en CDC,en 2023</v>
      </c>
      <c r="H234" s="42" t="str">
        <f ca="1">IFERROR(__xludf.DUMMYFUNCTION("""COMPUTED_VALUE"""),"NAS Septiembre")</f>
        <v>NAS Septiembre</v>
      </c>
      <c r="I234" s="42" t="str">
        <f ca="1">IFERROR(__xludf.DUMMYFUNCTION("""COMPUTED_VALUE"""),"Septiembre")</f>
        <v>Septiembre</v>
      </c>
      <c r="J234" s="42" t="str">
        <f ca="1">IFERROR(__xludf.DUMMYFUNCTION("""COMPUTED_VALUE"""),"NAS")</f>
        <v>NAS</v>
      </c>
      <c r="K234" s="98">
        <f ca="1">IFERROR(__xludf.DUMMYFUNCTION("""COMPUTED_VALUE"""),951)</f>
        <v>951</v>
      </c>
      <c r="L234" s="42" t="str">
        <f ca="1">IFERROR(__xludf.DUMMYFUNCTION("""COMPUTED_VALUE"""),"TRIMESTRE 3")</f>
        <v>TRIMESTRE 3</v>
      </c>
      <c r="M234" s="42" t="str">
        <f ca="1">IFERROR(__xludf.DUMMYFUNCTION("""COMPUTED_VALUE"""),"NIÑAS")</f>
        <v>NIÑAS</v>
      </c>
    </row>
    <row r="235" spans="1:13">
      <c r="A235" s="42" t="str">
        <f ca="1">IFERROR(__xludf.DUMMYFUNCTION("""COMPUTED_VALUE"""),"#N/A")</f>
        <v>#N/A</v>
      </c>
      <c r="B235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35" s="42" t="str">
        <f ca="1">IFERROR(__xludf.DUMMYFUNCTION("""COMPUTED_VALUE"""),"3. Operación")</f>
        <v>3. Operación</v>
      </c>
      <c r="D235" s="42" t="str">
        <f ca="1">IFERROR(__xludf.DUMMYFUNCTION("""COMPUTED_VALUE"""),"Guadalajara en Paz")</f>
        <v>Guadalajara en Paz</v>
      </c>
      <c r="E235" s="42" t="str">
        <f ca="1">IFERROR(__xludf.DUMMYFUNCTION("""COMPUTED_VALUE"""),"Educación Preescolar en Centros de Desarrollo Comunitarios")</f>
        <v>Educación Preescolar en Centros de Desarrollo Comunitarios</v>
      </c>
      <c r="F235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235" s="42" t="str">
        <f ca="1">IFERROR(__xludf.DUMMYFUNCTION("""COMPUTED_VALUE"""),"Promedio de niñas y niños que asisten al Preescolar en CDC,en 2023")</f>
        <v>Promedio de niñas y niños que asisten al Preescolar en CDC,en 2023</v>
      </c>
      <c r="H235" s="42" t="str">
        <f ca="1">IFERROR(__xludf.DUMMYFUNCTION("""COMPUTED_VALUE"""),"NOS Septiembre")</f>
        <v>NOS Septiembre</v>
      </c>
      <c r="I235" s="42" t="str">
        <f ca="1">IFERROR(__xludf.DUMMYFUNCTION("""COMPUTED_VALUE"""),"Septiembre")</f>
        <v>Septiembre</v>
      </c>
      <c r="J235" s="42" t="str">
        <f ca="1">IFERROR(__xludf.DUMMYFUNCTION("""COMPUTED_VALUE"""),"NOS")</f>
        <v>NOS</v>
      </c>
      <c r="K235" s="98">
        <f ca="1">IFERROR(__xludf.DUMMYFUNCTION("""COMPUTED_VALUE"""),1090)</f>
        <v>1090</v>
      </c>
      <c r="L235" s="42" t="str">
        <f ca="1">IFERROR(__xludf.DUMMYFUNCTION("""COMPUTED_VALUE"""),"TRIMESTRE 3")</f>
        <v>TRIMESTRE 3</v>
      </c>
      <c r="M235" s="42" t="str">
        <f ca="1">IFERROR(__xludf.DUMMYFUNCTION("""COMPUTED_VALUE"""),"NIÑOS")</f>
        <v>NIÑOS</v>
      </c>
    </row>
    <row r="236" spans="1:13">
      <c r="A236" s="42" t="str">
        <f ca="1">IFERROR(__xludf.DUMMYFUNCTION("""COMPUTED_VALUE"""),"#N/A")</f>
        <v>#N/A</v>
      </c>
      <c r="B236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36" s="42" t="str">
        <f ca="1">IFERROR(__xludf.DUMMYFUNCTION("""COMPUTED_VALUE"""),"3. Operación")</f>
        <v>3. Operación</v>
      </c>
      <c r="D236" s="42" t="str">
        <f ca="1">IFERROR(__xludf.DUMMYFUNCTION("""COMPUTED_VALUE"""),"Guadalajara en Paz")</f>
        <v>Guadalajara en Paz</v>
      </c>
      <c r="E236" s="42" t="str">
        <f ca="1">IFERROR(__xludf.DUMMYFUNCTION("""COMPUTED_VALUE"""),"Educación Preescolar en Centros de Desarrollo Comunitarios")</f>
        <v>Educación Preescolar en Centros de Desarrollo Comunitarios</v>
      </c>
      <c r="F236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236" s="42" t="str">
        <f ca="1">IFERROR(__xludf.DUMMYFUNCTION("""COMPUTED_VALUE"""),"Promedio de niñas y niños que asisten al Preescolar en CDC,en 2023")</f>
        <v>Promedio de niñas y niños que asisten al Preescolar en CDC,en 2023</v>
      </c>
      <c r="H236" s="42" t="str">
        <f ca="1">IFERROR(__xludf.DUMMYFUNCTION("""COMPUTED_VALUE"""),"AM SEPTIEMBRE")</f>
        <v>AM SEPTIEMBRE</v>
      </c>
      <c r="I236" s="42" t="str">
        <f ca="1">IFERROR(__xludf.DUMMYFUNCTION("""COMPUTED_VALUE"""),"Septiembre")</f>
        <v>Septiembre</v>
      </c>
      <c r="J236" s="42" t="str">
        <f ca="1">IFERROR(__xludf.DUMMYFUNCTION("""COMPUTED_VALUE"""),"AM")</f>
        <v>AM</v>
      </c>
      <c r="K236" s="98"/>
      <c r="L236" s="42" t="str">
        <f ca="1">IFERROR(__xludf.DUMMYFUNCTION("""COMPUTED_VALUE"""),"TRIMESTRE 3")</f>
        <v>TRIMESTRE 3</v>
      </c>
      <c r="M236" s="42" t="str">
        <f ca="1">IFERROR(__xludf.DUMMYFUNCTION("""COMPUTED_VALUE"""),"ADOLESCENTES MUJERES")</f>
        <v>ADOLESCENTES MUJERES</v>
      </c>
    </row>
    <row r="237" spans="1:13">
      <c r="A237" s="42" t="str">
        <f ca="1">IFERROR(__xludf.DUMMYFUNCTION("""COMPUTED_VALUE"""),"#N/A")</f>
        <v>#N/A</v>
      </c>
      <c r="B237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37" s="42" t="str">
        <f ca="1">IFERROR(__xludf.DUMMYFUNCTION("""COMPUTED_VALUE"""),"3. Operación")</f>
        <v>3. Operación</v>
      </c>
      <c r="D237" s="42" t="str">
        <f ca="1">IFERROR(__xludf.DUMMYFUNCTION("""COMPUTED_VALUE"""),"Guadalajara en Paz")</f>
        <v>Guadalajara en Paz</v>
      </c>
      <c r="E237" s="42" t="str">
        <f ca="1">IFERROR(__xludf.DUMMYFUNCTION("""COMPUTED_VALUE"""),"Educación Preescolar en Centros de Desarrollo Comunitarios")</f>
        <v>Educación Preescolar en Centros de Desarrollo Comunitarios</v>
      </c>
      <c r="F237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237" s="42" t="str">
        <f ca="1">IFERROR(__xludf.DUMMYFUNCTION("""COMPUTED_VALUE"""),"Promedio de niñas y niños que asisten al Preescolar en CDC,en 2023")</f>
        <v>Promedio de niñas y niños que asisten al Preescolar en CDC,en 2023</v>
      </c>
      <c r="H237" s="42" t="str">
        <f ca="1">IFERROR(__xludf.DUMMYFUNCTION("""COMPUTED_VALUE"""),"AH SEPTIEMBRE")</f>
        <v>AH SEPTIEMBRE</v>
      </c>
      <c r="I237" s="42" t="str">
        <f ca="1">IFERROR(__xludf.DUMMYFUNCTION("""COMPUTED_VALUE"""),"Septiembre")</f>
        <v>Septiembre</v>
      </c>
      <c r="J237" s="42" t="str">
        <f ca="1">IFERROR(__xludf.DUMMYFUNCTION("""COMPUTED_VALUE"""),"AH")</f>
        <v>AH</v>
      </c>
      <c r="K237" s="98"/>
      <c r="L237" s="42" t="str">
        <f ca="1">IFERROR(__xludf.DUMMYFUNCTION("""COMPUTED_VALUE"""),"TRIMESTRE 3")</f>
        <v>TRIMESTRE 3</v>
      </c>
      <c r="M237" s="42" t="str">
        <f ca="1">IFERROR(__xludf.DUMMYFUNCTION("""COMPUTED_VALUE"""),"ADOLESCENTES HOMBRES")</f>
        <v>ADOLESCENTES HOMBRES</v>
      </c>
    </row>
    <row r="238" spans="1:13">
      <c r="A238" s="42" t="str">
        <f ca="1">IFERROR(__xludf.DUMMYFUNCTION("""COMPUTED_VALUE"""),"#N/A")</f>
        <v>#N/A</v>
      </c>
      <c r="B238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38" s="42" t="str">
        <f ca="1">IFERROR(__xludf.DUMMYFUNCTION("""COMPUTED_VALUE"""),"3. Operación")</f>
        <v>3. Operación</v>
      </c>
      <c r="D238" s="42" t="str">
        <f ca="1">IFERROR(__xludf.DUMMYFUNCTION("""COMPUTED_VALUE"""),"Guadalajara en Paz")</f>
        <v>Guadalajara en Paz</v>
      </c>
      <c r="E238" s="42" t="str">
        <f ca="1">IFERROR(__xludf.DUMMYFUNCTION("""COMPUTED_VALUE"""),"Educación Preescolar en Centros de Desarrollo Comunitarios")</f>
        <v>Educación Preescolar en Centros de Desarrollo Comunitarios</v>
      </c>
      <c r="F238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238" s="42" t="str">
        <f ca="1">IFERROR(__xludf.DUMMYFUNCTION("""COMPUTED_VALUE"""),"Promedio de niñas y niños que asisten al Preescolar en CDC,en 2023")</f>
        <v>Promedio de niñas y niños que asisten al Preescolar en CDC,en 2023</v>
      </c>
      <c r="H238" s="42" t="str">
        <f ca="1">IFERROR(__xludf.DUMMYFUNCTION("""COMPUTED_VALUE"""),"MUJ Septiembre")</f>
        <v>MUJ Septiembre</v>
      </c>
      <c r="I238" s="42" t="str">
        <f ca="1">IFERROR(__xludf.DUMMYFUNCTION("""COMPUTED_VALUE"""),"Septiembre")</f>
        <v>Septiembre</v>
      </c>
      <c r="J238" s="42" t="str">
        <f ca="1">IFERROR(__xludf.DUMMYFUNCTION("""COMPUTED_VALUE"""),"MUJ")</f>
        <v>MUJ</v>
      </c>
      <c r="K238" s="98"/>
      <c r="L238" s="42" t="str">
        <f ca="1">IFERROR(__xludf.DUMMYFUNCTION("""COMPUTED_VALUE"""),"TRIMESTRE 3")</f>
        <v>TRIMESTRE 3</v>
      </c>
      <c r="M238" s="42" t="str">
        <f ca="1">IFERROR(__xludf.DUMMYFUNCTION("""COMPUTED_VALUE"""),"MUJERES ADULTAS")</f>
        <v>MUJERES ADULTAS</v>
      </c>
    </row>
    <row r="239" spans="1:13">
      <c r="A239" s="42" t="str">
        <f ca="1">IFERROR(__xludf.DUMMYFUNCTION("""COMPUTED_VALUE"""),"#N/A")</f>
        <v>#N/A</v>
      </c>
      <c r="B239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39" s="42" t="str">
        <f ca="1">IFERROR(__xludf.DUMMYFUNCTION("""COMPUTED_VALUE"""),"3. Operación")</f>
        <v>3. Operación</v>
      </c>
      <c r="D239" s="42" t="str">
        <f ca="1">IFERROR(__xludf.DUMMYFUNCTION("""COMPUTED_VALUE"""),"Guadalajara en Paz")</f>
        <v>Guadalajara en Paz</v>
      </c>
      <c r="E239" s="42" t="str">
        <f ca="1">IFERROR(__xludf.DUMMYFUNCTION("""COMPUTED_VALUE"""),"Educación Preescolar en Centros de Desarrollo Comunitarios")</f>
        <v>Educación Preescolar en Centros de Desarrollo Comunitarios</v>
      </c>
      <c r="F239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239" s="42" t="str">
        <f ca="1">IFERROR(__xludf.DUMMYFUNCTION("""COMPUTED_VALUE"""),"Promedio de niñas y niños que asisten al Preescolar en CDC,en 2023")</f>
        <v>Promedio de niñas y niños que asisten al Preescolar en CDC,en 2023</v>
      </c>
      <c r="H239" s="42" t="str">
        <f ca="1">IFERROR(__xludf.DUMMYFUNCTION("""COMPUTED_VALUE"""),"HOM Septiembre")</f>
        <v>HOM Septiembre</v>
      </c>
      <c r="I239" s="42" t="str">
        <f ca="1">IFERROR(__xludf.DUMMYFUNCTION("""COMPUTED_VALUE"""),"Septiembre")</f>
        <v>Septiembre</v>
      </c>
      <c r="J239" s="42" t="str">
        <f ca="1">IFERROR(__xludf.DUMMYFUNCTION("""COMPUTED_VALUE"""),"HOM")</f>
        <v>HOM</v>
      </c>
      <c r="K239" s="98"/>
      <c r="L239" s="42" t="str">
        <f ca="1">IFERROR(__xludf.DUMMYFUNCTION("""COMPUTED_VALUE"""),"TRIMESTRE 3")</f>
        <v>TRIMESTRE 3</v>
      </c>
      <c r="M239" s="42" t="str">
        <f ca="1">IFERROR(__xludf.DUMMYFUNCTION("""COMPUTED_VALUE"""),"HOMBRES ADULTOS")</f>
        <v>HOMBRES ADULTOS</v>
      </c>
    </row>
    <row r="240" spans="1:13">
      <c r="A240" s="42" t="str">
        <f ca="1">IFERROR(__xludf.DUMMYFUNCTION("""COMPUTED_VALUE"""),"#N/A")</f>
        <v>#N/A</v>
      </c>
      <c r="B240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40" s="42" t="str">
        <f ca="1">IFERROR(__xludf.DUMMYFUNCTION("""COMPUTED_VALUE"""),"3. Operación")</f>
        <v>3. Operación</v>
      </c>
      <c r="D240" s="42" t="str">
        <f ca="1">IFERROR(__xludf.DUMMYFUNCTION("""COMPUTED_VALUE"""),"Guadalajara en Paz")</f>
        <v>Guadalajara en Paz</v>
      </c>
      <c r="E240" s="42" t="str">
        <f ca="1">IFERROR(__xludf.DUMMYFUNCTION("""COMPUTED_VALUE"""),"Educación Preescolar en Centros de Desarrollo Comunitarios")</f>
        <v>Educación Preescolar en Centros de Desarrollo Comunitarios</v>
      </c>
      <c r="F240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240" s="42" t="str">
        <f ca="1">IFERROR(__xludf.DUMMYFUNCTION("""COMPUTED_VALUE"""),"Promedio de niñas y niños que asisten al Preescolar en CDC,en 2023")</f>
        <v>Promedio de niñas y niños que asisten al Preescolar en CDC,en 2023</v>
      </c>
      <c r="H240" s="42" t="str">
        <f ca="1">IFERROR(__xludf.DUMMYFUNCTION("""COMPUTED_VALUE"""),"AMM Septiembre")</f>
        <v>AMM Septiembre</v>
      </c>
      <c r="I240" s="42" t="str">
        <f ca="1">IFERROR(__xludf.DUMMYFUNCTION("""COMPUTED_VALUE"""),"Septiembre")</f>
        <v>Septiembre</v>
      </c>
      <c r="J240" s="42" t="str">
        <f ca="1">IFERROR(__xludf.DUMMYFUNCTION("""COMPUTED_VALUE"""),"AMM")</f>
        <v>AMM</v>
      </c>
      <c r="K240" s="98"/>
      <c r="L240" s="42" t="str">
        <f ca="1">IFERROR(__xludf.DUMMYFUNCTION("""COMPUTED_VALUE"""),"TRIMESTRE 3")</f>
        <v>TRIMESTRE 3</v>
      </c>
      <c r="M240" s="42" t="str">
        <f ca="1">IFERROR(__xludf.DUMMYFUNCTION("""COMPUTED_VALUE"""),"ADULTA MAYOR MUJER")</f>
        <v>ADULTA MAYOR MUJER</v>
      </c>
    </row>
    <row r="241" spans="1:13">
      <c r="A241" s="42" t="str">
        <f ca="1">IFERROR(__xludf.DUMMYFUNCTION("""COMPUTED_VALUE"""),"#N/A")</f>
        <v>#N/A</v>
      </c>
      <c r="B241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41" s="42" t="str">
        <f ca="1">IFERROR(__xludf.DUMMYFUNCTION("""COMPUTED_VALUE"""),"3. Operación")</f>
        <v>3. Operación</v>
      </c>
      <c r="D241" s="42" t="str">
        <f ca="1">IFERROR(__xludf.DUMMYFUNCTION("""COMPUTED_VALUE"""),"Guadalajara en Paz")</f>
        <v>Guadalajara en Paz</v>
      </c>
      <c r="E241" s="42" t="str">
        <f ca="1">IFERROR(__xludf.DUMMYFUNCTION("""COMPUTED_VALUE"""),"Educación Preescolar en Centros de Desarrollo Comunitarios")</f>
        <v>Educación Preescolar en Centros de Desarrollo Comunitarios</v>
      </c>
      <c r="F241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241" s="42" t="str">
        <f ca="1">IFERROR(__xludf.DUMMYFUNCTION("""COMPUTED_VALUE"""),"Promedio de niñas y niños que asisten al Preescolar en CDC,en 2023")</f>
        <v>Promedio de niñas y niños que asisten al Preescolar en CDC,en 2023</v>
      </c>
      <c r="H241" s="42" t="str">
        <f ca="1">IFERROR(__xludf.DUMMYFUNCTION("""COMPUTED_VALUE"""),"AMH Septiembre")</f>
        <v>AMH Septiembre</v>
      </c>
      <c r="I241" s="42" t="str">
        <f ca="1">IFERROR(__xludf.DUMMYFUNCTION("""COMPUTED_VALUE"""),"Septiembre")</f>
        <v>Septiembre</v>
      </c>
      <c r="J241" s="42" t="str">
        <f ca="1">IFERROR(__xludf.DUMMYFUNCTION("""COMPUTED_VALUE"""),"AMH")</f>
        <v>AMH</v>
      </c>
      <c r="K241" s="98"/>
      <c r="L241" s="42" t="str">
        <f ca="1">IFERROR(__xludf.DUMMYFUNCTION("""COMPUTED_VALUE"""),"TRIMESTRE 3")</f>
        <v>TRIMESTRE 3</v>
      </c>
      <c r="M241" s="42" t="str">
        <f ca="1">IFERROR(__xludf.DUMMYFUNCTION("""COMPUTED_VALUE"""),"ADULTO MAYOR HOMBRE")</f>
        <v>ADULTO MAYOR HOMBRE</v>
      </c>
    </row>
    <row r="242" spans="1:13">
      <c r="A242" s="42" t="str">
        <f ca="1">IFERROR(__xludf.DUMMYFUNCTION("""COMPUTED_VALUE"""),"2.1.1.16")</f>
        <v>2.1.1.16</v>
      </c>
      <c r="B242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42" s="42" t="str">
        <f ca="1">IFERROR(__xludf.DUMMYFUNCTION("""COMPUTED_VALUE"""),"3. Operación")</f>
        <v>3. Operación</v>
      </c>
      <c r="D242" s="42" t="str">
        <f ca="1">IFERROR(__xludf.DUMMYFUNCTION("""COMPUTED_VALUE"""),"Guadalajara en Paz")</f>
        <v>Guadalajara en Paz</v>
      </c>
      <c r="E242" s="42" t="str">
        <f ca="1">IFERROR(__xludf.DUMMYFUNCTION("""COMPUTED_VALUE"""),"Educación Preescolar en Centros de Desarrollo Comunitarios")</f>
        <v>Educación Preescolar en Centros de Desarrollo Comunitarios</v>
      </c>
      <c r="F242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242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242" s="42" t="str">
        <f ca="1">IFERROR(__xludf.DUMMYFUNCTION("""COMPUTED_VALUE"""),"NAS Octubre")</f>
        <v>NAS Octubre</v>
      </c>
      <c r="I242" s="42" t="str">
        <f ca="1">IFERROR(__xludf.DUMMYFUNCTION("""COMPUTED_VALUE"""),"Octubre")</f>
        <v>Octubre</v>
      </c>
      <c r="J242" s="42" t="str">
        <f ca="1">IFERROR(__xludf.DUMMYFUNCTION("""COMPUTED_VALUE"""),"NAS")</f>
        <v>NAS</v>
      </c>
      <c r="K242" s="98"/>
      <c r="L242" s="42" t="str">
        <f ca="1">IFERROR(__xludf.DUMMYFUNCTION("""COMPUTED_VALUE"""),"TRIMESTRE 4")</f>
        <v>TRIMESTRE 4</v>
      </c>
      <c r="M242" s="42" t="str">
        <f ca="1">IFERROR(__xludf.DUMMYFUNCTION("""COMPUTED_VALUE"""),"NIÑAS")</f>
        <v>NIÑAS</v>
      </c>
    </row>
    <row r="243" spans="1:13">
      <c r="A243" s="42" t="str">
        <f ca="1">IFERROR(__xludf.DUMMYFUNCTION("""COMPUTED_VALUE"""),"2.1.1.16")</f>
        <v>2.1.1.16</v>
      </c>
      <c r="B243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43" s="42" t="str">
        <f ca="1">IFERROR(__xludf.DUMMYFUNCTION("""COMPUTED_VALUE"""),"3. Operación")</f>
        <v>3. Operación</v>
      </c>
      <c r="D243" s="42" t="str">
        <f ca="1">IFERROR(__xludf.DUMMYFUNCTION("""COMPUTED_VALUE"""),"Guadalajara en Paz")</f>
        <v>Guadalajara en Paz</v>
      </c>
      <c r="E243" s="42" t="str">
        <f ca="1">IFERROR(__xludf.DUMMYFUNCTION("""COMPUTED_VALUE"""),"Educación Preescolar en Centros de Desarrollo Comunitarios")</f>
        <v>Educación Preescolar en Centros de Desarrollo Comunitarios</v>
      </c>
      <c r="F243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243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243" s="42" t="str">
        <f ca="1">IFERROR(__xludf.DUMMYFUNCTION("""COMPUTED_VALUE"""),"NOS Octubre")</f>
        <v>NOS Octubre</v>
      </c>
      <c r="I243" s="42" t="str">
        <f ca="1">IFERROR(__xludf.DUMMYFUNCTION("""COMPUTED_VALUE"""),"Octubre")</f>
        <v>Octubre</v>
      </c>
      <c r="J243" s="42" t="str">
        <f ca="1">IFERROR(__xludf.DUMMYFUNCTION("""COMPUTED_VALUE"""),"NOS")</f>
        <v>NOS</v>
      </c>
      <c r="K243" s="98"/>
      <c r="L243" s="42" t="str">
        <f ca="1">IFERROR(__xludf.DUMMYFUNCTION("""COMPUTED_VALUE"""),"TRIMESTRE 4")</f>
        <v>TRIMESTRE 4</v>
      </c>
      <c r="M243" s="42" t="str">
        <f ca="1">IFERROR(__xludf.DUMMYFUNCTION("""COMPUTED_VALUE"""),"NIÑOS")</f>
        <v>NIÑOS</v>
      </c>
    </row>
    <row r="244" spans="1:13">
      <c r="A244" s="42" t="str">
        <f ca="1">IFERROR(__xludf.DUMMYFUNCTION("""COMPUTED_VALUE"""),"2.1.1.16")</f>
        <v>2.1.1.16</v>
      </c>
      <c r="B244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44" s="42" t="str">
        <f ca="1">IFERROR(__xludf.DUMMYFUNCTION("""COMPUTED_VALUE"""),"3. Operación")</f>
        <v>3. Operación</v>
      </c>
      <c r="D244" s="42" t="str">
        <f ca="1">IFERROR(__xludf.DUMMYFUNCTION("""COMPUTED_VALUE"""),"Guadalajara en Paz")</f>
        <v>Guadalajara en Paz</v>
      </c>
      <c r="E244" s="42" t="str">
        <f ca="1">IFERROR(__xludf.DUMMYFUNCTION("""COMPUTED_VALUE"""),"Educación Preescolar en Centros de Desarrollo Comunitarios")</f>
        <v>Educación Preescolar en Centros de Desarrollo Comunitarios</v>
      </c>
      <c r="F244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244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244" s="42" t="str">
        <f ca="1">IFERROR(__xludf.DUMMYFUNCTION("""COMPUTED_VALUE"""),"AM OCTUBRE")</f>
        <v>AM OCTUBRE</v>
      </c>
      <c r="I244" s="42" t="str">
        <f ca="1">IFERROR(__xludf.DUMMYFUNCTION("""COMPUTED_VALUE"""),"Octubre")</f>
        <v>Octubre</v>
      </c>
      <c r="J244" s="42" t="str">
        <f ca="1">IFERROR(__xludf.DUMMYFUNCTION("""COMPUTED_VALUE"""),"AM")</f>
        <v>AM</v>
      </c>
      <c r="K244" s="98"/>
      <c r="L244" s="42" t="str">
        <f ca="1">IFERROR(__xludf.DUMMYFUNCTION("""COMPUTED_VALUE"""),"TRIMESTRE 4")</f>
        <v>TRIMESTRE 4</v>
      </c>
      <c r="M244" s="42" t="str">
        <f ca="1">IFERROR(__xludf.DUMMYFUNCTION("""COMPUTED_VALUE"""),"ADOLESCENTES MUJERES")</f>
        <v>ADOLESCENTES MUJERES</v>
      </c>
    </row>
    <row r="245" spans="1:13">
      <c r="A245" s="42" t="str">
        <f ca="1">IFERROR(__xludf.DUMMYFUNCTION("""COMPUTED_VALUE"""),"2.1.1.16")</f>
        <v>2.1.1.16</v>
      </c>
      <c r="B245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45" s="42" t="str">
        <f ca="1">IFERROR(__xludf.DUMMYFUNCTION("""COMPUTED_VALUE"""),"3. Operación")</f>
        <v>3. Operación</v>
      </c>
      <c r="D245" s="42" t="str">
        <f ca="1">IFERROR(__xludf.DUMMYFUNCTION("""COMPUTED_VALUE"""),"Guadalajara en Paz")</f>
        <v>Guadalajara en Paz</v>
      </c>
      <c r="E245" s="42" t="str">
        <f ca="1">IFERROR(__xludf.DUMMYFUNCTION("""COMPUTED_VALUE"""),"Educación Preescolar en Centros de Desarrollo Comunitarios")</f>
        <v>Educación Preescolar en Centros de Desarrollo Comunitarios</v>
      </c>
      <c r="F245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245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245" s="42" t="str">
        <f ca="1">IFERROR(__xludf.DUMMYFUNCTION("""COMPUTED_VALUE"""),"AH OCTUBRE")</f>
        <v>AH OCTUBRE</v>
      </c>
      <c r="I245" s="42" t="str">
        <f ca="1">IFERROR(__xludf.DUMMYFUNCTION("""COMPUTED_VALUE"""),"Octubre")</f>
        <v>Octubre</v>
      </c>
      <c r="J245" s="42" t="str">
        <f ca="1">IFERROR(__xludf.DUMMYFUNCTION("""COMPUTED_VALUE"""),"AH")</f>
        <v>AH</v>
      </c>
      <c r="K245" s="98"/>
      <c r="L245" s="42" t="str">
        <f ca="1">IFERROR(__xludf.DUMMYFUNCTION("""COMPUTED_VALUE"""),"TRIMESTRE 4")</f>
        <v>TRIMESTRE 4</v>
      </c>
      <c r="M245" s="42" t="str">
        <f ca="1">IFERROR(__xludf.DUMMYFUNCTION("""COMPUTED_VALUE"""),"ADOLESCENTES HOMBRES")</f>
        <v>ADOLESCENTES HOMBRES</v>
      </c>
    </row>
    <row r="246" spans="1:13">
      <c r="A246" s="42" t="str">
        <f ca="1">IFERROR(__xludf.DUMMYFUNCTION("""COMPUTED_VALUE"""),"2.1.1.16")</f>
        <v>2.1.1.16</v>
      </c>
      <c r="B246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46" s="42" t="str">
        <f ca="1">IFERROR(__xludf.DUMMYFUNCTION("""COMPUTED_VALUE"""),"3. Operación")</f>
        <v>3. Operación</v>
      </c>
      <c r="D246" s="42" t="str">
        <f ca="1">IFERROR(__xludf.DUMMYFUNCTION("""COMPUTED_VALUE"""),"Guadalajara en Paz")</f>
        <v>Guadalajara en Paz</v>
      </c>
      <c r="E246" s="42" t="str">
        <f ca="1">IFERROR(__xludf.DUMMYFUNCTION("""COMPUTED_VALUE"""),"Educación Preescolar en Centros de Desarrollo Comunitarios")</f>
        <v>Educación Preescolar en Centros de Desarrollo Comunitarios</v>
      </c>
      <c r="F246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246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246" s="42" t="str">
        <f ca="1">IFERROR(__xludf.DUMMYFUNCTION("""COMPUTED_VALUE"""),"MUJ Octubre")</f>
        <v>MUJ Octubre</v>
      </c>
      <c r="I246" s="42" t="str">
        <f ca="1">IFERROR(__xludf.DUMMYFUNCTION("""COMPUTED_VALUE"""),"Octubre")</f>
        <v>Octubre</v>
      </c>
      <c r="J246" s="42" t="str">
        <f ca="1">IFERROR(__xludf.DUMMYFUNCTION("""COMPUTED_VALUE"""),"MUJ")</f>
        <v>MUJ</v>
      </c>
      <c r="K246" s="98"/>
      <c r="L246" s="42" t="str">
        <f ca="1">IFERROR(__xludf.DUMMYFUNCTION("""COMPUTED_VALUE"""),"TRIMESTRE 4")</f>
        <v>TRIMESTRE 4</v>
      </c>
      <c r="M246" s="42" t="str">
        <f ca="1">IFERROR(__xludf.DUMMYFUNCTION("""COMPUTED_VALUE"""),"MUJERES ADULTAS")</f>
        <v>MUJERES ADULTAS</v>
      </c>
    </row>
    <row r="247" spans="1:13">
      <c r="A247" s="42" t="str">
        <f ca="1">IFERROR(__xludf.DUMMYFUNCTION("""COMPUTED_VALUE"""),"2.1.1.16")</f>
        <v>2.1.1.16</v>
      </c>
      <c r="B247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47" s="42" t="str">
        <f ca="1">IFERROR(__xludf.DUMMYFUNCTION("""COMPUTED_VALUE"""),"3. Operación")</f>
        <v>3. Operación</v>
      </c>
      <c r="D247" s="42" t="str">
        <f ca="1">IFERROR(__xludf.DUMMYFUNCTION("""COMPUTED_VALUE"""),"Guadalajara en Paz")</f>
        <v>Guadalajara en Paz</v>
      </c>
      <c r="E247" s="42" t="str">
        <f ca="1">IFERROR(__xludf.DUMMYFUNCTION("""COMPUTED_VALUE"""),"Educación Preescolar en Centros de Desarrollo Comunitarios")</f>
        <v>Educación Preescolar en Centros de Desarrollo Comunitarios</v>
      </c>
      <c r="F247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247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247" s="42" t="str">
        <f ca="1">IFERROR(__xludf.DUMMYFUNCTION("""COMPUTED_VALUE"""),"HOM Octubre")</f>
        <v>HOM Octubre</v>
      </c>
      <c r="I247" s="42" t="str">
        <f ca="1">IFERROR(__xludf.DUMMYFUNCTION("""COMPUTED_VALUE"""),"Octubre")</f>
        <v>Octubre</v>
      </c>
      <c r="J247" s="42" t="str">
        <f ca="1">IFERROR(__xludf.DUMMYFUNCTION("""COMPUTED_VALUE"""),"HOM")</f>
        <v>HOM</v>
      </c>
      <c r="K247" s="98"/>
      <c r="L247" s="42" t="str">
        <f ca="1">IFERROR(__xludf.DUMMYFUNCTION("""COMPUTED_VALUE"""),"TRIMESTRE 4")</f>
        <v>TRIMESTRE 4</v>
      </c>
      <c r="M247" s="42" t="str">
        <f ca="1">IFERROR(__xludf.DUMMYFUNCTION("""COMPUTED_VALUE"""),"HOMBRES ADULTOS")</f>
        <v>HOMBRES ADULTOS</v>
      </c>
    </row>
    <row r="248" spans="1:13">
      <c r="A248" s="42" t="str">
        <f ca="1">IFERROR(__xludf.DUMMYFUNCTION("""COMPUTED_VALUE"""),"2.1.1.16")</f>
        <v>2.1.1.16</v>
      </c>
      <c r="B248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48" s="42" t="str">
        <f ca="1">IFERROR(__xludf.DUMMYFUNCTION("""COMPUTED_VALUE"""),"3. Operación")</f>
        <v>3. Operación</v>
      </c>
      <c r="D248" s="42" t="str">
        <f ca="1">IFERROR(__xludf.DUMMYFUNCTION("""COMPUTED_VALUE"""),"Guadalajara en Paz")</f>
        <v>Guadalajara en Paz</v>
      </c>
      <c r="E248" s="42" t="str">
        <f ca="1">IFERROR(__xludf.DUMMYFUNCTION("""COMPUTED_VALUE"""),"Educación Preescolar en Centros de Desarrollo Comunitarios")</f>
        <v>Educación Preescolar en Centros de Desarrollo Comunitarios</v>
      </c>
      <c r="F248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248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248" s="42" t="str">
        <f ca="1">IFERROR(__xludf.DUMMYFUNCTION("""COMPUTED_VALUE"""),"AMM Octubre")</f>
        <v>AMM Octubre</v>
      </c>
      <c r="I248" s="42" t="str">
        <f ca="1">IFERROR(__xludf.DUMMYFUNCTION("""COMPUTED_VALUE"""),"Octubre")</f>
        <v>Octubre</v>
      </c>
      <c r="J248" s="42" t="str">
        <f ca="1">IFERROR(__xludf.DUMMYFUNCTION("""COMPUTED_VALUE"""),"AMM")</f>
        <v>AMM</v>
      </c>
      <c r="K248" s="98"/>
      <c r="L248" s="42" t="str">
        <f ca="1">IFERROR(__xludf.DUMMYFUNCTION("""COMPUTED_VALUE"""),"TRIMESTRE 4")</f>
        <v>TRIMESTRE 4</v>
      </c>
      <c r="M248" s="42" t="str">
        <f ca="1">IFERROR(__xludf.DUMMYFUNCTION("""COMPUTED_VALUE"""),"ADULTA MAYOR MUJER")</f>
        <v>ADULTA MAYOR MUJER</v>
      </c>
    </row>
    <row r="249" spans="1:13">
      <c r="A249" s="42" t="str">
        <f ca="1">IFERROR(__xludf.DUMMYFUNCTION("""COMPUTED_VALUE"""),"2.1.1.16")</f>
        <v>2.1.1.16</v>
      </c>
      <c r="B249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49" s="42" t="str">
        <f ca="1">IFERROR(__xludf.DUMMYFUNCTION("""COMPUTED_VALUE"""),"3. Operación")</f>
        <v>3. Operación</v>
      </c>
      <c r="D249" s="42" t="str">
        <f ca="1">IFERROR(__xludf.DUMMYFUNCTION("""COMPUTED_VALUE"""),"Guadalajara en Paz")</f>
        <v>Guadalajara en Paz</v>
      </c>
      <c r="E249" s="42" t="str">
        <f ca="1">IFERROR(__xludf.DUMMYFUNCTION("""COMPUTED_VALUE"""),"Educación Preescolar en Centros de Desarrollo Comunitarios")</f>
        <v>Educación Preescolar en Centros de Desarrollo Comunitarios</v>
      </c>
      <c r="F249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249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249" s="42" t="str">
        <f ca="1">IFERROR(__xludf.DUMMYFUNCTION("""COMPUTED_VALUE"""),"AMH Octubre")</f>
        <v>AMH Octubre</v>
      </c>
      <c r="I249" s="42" t="str">
        <f ca="1">IFERROR(__xludf.DUMMYFUNCTION("""COMPUTED_VALUE"""),"Octubre")</f>
        <v>Octubre</v>
      </c>
      <c r="J249" s="42" t="str">
        <f ca="1">IFERROR(__xludf.DUMMYFUNCTION("""COMPUTED_VALUE"""),"AMH")</f>
        <v>AMH</v>
      </c>
      <c r="K249" s="98"/>
      <c r="L249" s="42" t="str">
        <f ca="1">IFERROR(__xludf.DUMMYFUNCTION("""COMPUTED_VALUE"""),"TRIMESTRE 4")</f>
        <v>TRIMESTRE 4</v>
      </c>
      <c r="M249" s="42" t="str">
        <f ca="1">IFERROR(__xludf.DUMMYFUNCTION("""COMPUTED_VALUE"""),"ADULTO MAYOR HOMBRE")</f>
        <v>ADULTO MAYOR HOMBRE</v>
      </c>
    </row>
    <row r="250" spans="1:13">
      <c r="A250" s="42" t="str">
        <f ca="1">IFERROR(__xludf.DUMMYFUNCTION("""COMPUTED_VALUE"""),"#N/A")</f>
        <v>#N/A</v>
      </c>
      <c r="B250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50" s="42" t="str">
        <f ca="1">IFERROR(__xludf.DUMMYFUNCTION("""COMPUTED_VALUE"""),"3. Operación")</f>
        <v>3. Operación</v>
      </c>
      <c r="D250" s="42" t="str">
        <f ca="1">IFERROR(__xludf.DUMMYFUNCTION("""COMPUTED_VALUE"""),"Guadalajara en Paz")</f>
        <v>Guadalajara en Paz</v>
      </c>
      <c r="E250" s="42" t="str">
        <f ca="1">IFERROR(__xludf.DUMMYFUNCTION("""COMPUTED_VALUE"""),"Educación Preescolar en Centros de Desarrollo Comunitarios")</f>
        <v>Educación Preescolar en Centros de Desarrollo Comunitarios</v>
      </c>
      <c r="F250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250" s="42" t="str">
        <f ca="1">IFERROR(__xludf.DUMMYFUNCTION("""COMPUTED_VALUE"""),"Promedio de niñas y niños que asisten al Preescolar en CDC,en 2023")</f>
        <v>Promedio de niñas y niños que asisten al Preescolar en CDC,en 2023</v>
      </c>
      <c r="H250" s="42" t="str">
        <f ca="1">IFERROR(__xludf.DUMMYFUNCTION("""COMPUTED_VALUE"""),"NAS Octubre")</f>
        <v>NAS Octubre</v>
      </c>
      <c r="I250" s="42" t="str">
        <f ca="1">IFERROR(__xludf.DUMMYFUNCTION("""COMPUTED_VALUE"""),"Octubre")</f>
        <v>Octubre</v>
      </c>
      <c r="J250" s="42" t="str">
        <f ca="1">IFERROR(__xludf.DUMMYFUNCTION("""COMPUTED_VALUE"""),"NAS")</f>
        <v>NAS</v>
      </c>
      <c r="K250" s="98"/>
      <c r="L250" s="42" t="str">
        <f ca="1">IFERROR(__xludf.DUMMYFUNCTION("""COMPUTED_VALUE"""),"TRIMESTRE 4")</f>
        <v>TRIMESTRE 4</v>
      </c>
      <c r="M250" s="42" t="str">
        <f ca="1">IFERROR(__xludf.DUMMYFUNCTION("""COMPUTED_VALUE"""),"NIÑAS")</f>
        <v>NIÑAS</v>
      </c>
    </row>
    <row r="251" spans="1:13">
      <c r="A251" s="42" t="str">
        <f ca="1">IFERROR(__xludf.DUMMYFUNCTION("""COMPUTED_VALUE"""),"#N/A")</f>
        <v>#N/A</v>
      </c>
      <c r="B251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51" s="42" t="str">
        <f ca="1">IFERROR(__xludf.DUMMYFUNCTION("""COMPUTED_VALUE"""),"3. Operación")</f>
        <v>3. Operación</v>
      </c>
      <c r="D251" s="42" t="str">
        <f ca="1">IFERROR(__xludf.DUMMYFUNCTION("""COMPUTED_VALUE"""),"Guadalajara en Paz")</f>
        <v>Guadalajara en Paz</v>
      </c>
      <c r="E251" s="42" t="str">
        <f ca="1">IFERROR(__xludf.DUMMYFUNCTION("""COMPUTED_VALUE"""),"Educación Preescolar en Centros de Desarrollo Comunitarios")</f>
        <v>Educación Preescolar en Centros de Desarrollo Comunitarios</v>
      </c>
      <c r="F251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251" s="42" t="str">
        <f ca="1">IFERROR(__xludf.DUMMYFUNCTION("""COMPUTED_VALUE"""),"Promedio de niñas y niños que asisten al Preescolar en CDC,en 2023")</f>
        <v>Promedio de niñas y niños que asisten al Preescolar en CDC,en 2023</v>
      </c>
      <c r="H251" s="42" t="str">
        <f ca="1">IFERROR(__xludf.DUMMYFUNCTION("""COMPUTED_VALUE"""),"NOS Octubre")</f>
        <v>NOS Octubre</v>
      </c>
      <c r="I251" s="42" t="str">
        <f ca="1">IFERROR(__xludf.DUMMYFUNCTION("""COMPUTED_VALUE"""),"Octubre")</f>
        <v>Octubre</v>
      </c>
      <c r="J251" s="42" t="str">
        <f ca="1">IFERROR(__xludf.DUMMYFUNCTION("""COMPUTED_VALUE"""),"NOS")</f>
        <v>NOS</v>
      </c>
      <c r="K251" s="98"/>
      <c r="L251" s="42" t="str">
        <f ca="1">IFERROR(__xludf.DUMMYFUNCTION("""COMPUTED_VALUE"""),"TRIMESTRE 4")</f>
        <v>TRIMESTRE 4</v>
      </c>
      <c r="M251" s="42" t="str">
        <f ca="1">IFERROR(__xludf.DUMMYFUNCTION("""COMPUTED_VALUE"""),"NIÑOS")</f>
        <v>NIÑOS</v>
      </c>
    </row>
    <row r="252" spans="1:13">
      <c r="A252" s="42" t="str">
        <f ca="1">IFERROR(__xludf.DUMMYFUNCTION("""COMPUTED_VALUE"""),"#N/A")</f>
        <v>#N/A</v>
      </c>
      <c r="B252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52" s="42" t="str">
        <f ca="1">IFERROR(__xludf.DUMMYFUNCTION("""COMPUTED_VALUE"""),"3. Operación")</f>
        <v>3. Operación</v>
      </c>
      <c r="D252" s="42" t="str">
        <f ca="1">IFERROR(__xludf.DUMMYFUNCTION("""COMPUTED_VALUE"""),"Guadalajara en Paz")</f>
        <v>Guadalajara en Paz</v>
      </c>
      <c r="E252" s="42" t="str">
        <f ca="1">IFERROR(__xludf.DUMMYFUNCTION("""COMPUTED_VALUE"""),"Educación Preescolar en Centros de Desarrollo Comunitarios")</f>
        <v>Educación Preescolar en Centros de Desarrollo Comunitarios</v>
      </c>
      <c r="F252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252" s="42" t="str">
        <f ca="1">IFERROR(__xludf.DUMMYFUNCTION("""COMPUTED_VALUE"""),"Promedio de niñas y niños que asisten al Preescolar en CDC,en 2023")</f>
        <v>Promedio de niñas y niños que asisten al Preescolar en CDC,en 2023</v>
      </c>
      <c r="H252" s="42" t="str">
        <f ca="1">IFERROR(__xludf.DUMMYFUNCTION("""COMPUTED_VALUE"""),"AM OCTUBRE")</f>
        <v>AM OCTUBRE</v>
      </c>
      <c r="I252" s="42" t="str">
        <f ca="1">IFERROR(__xludf.DUMMYFUNCTION("""COMPUTED_VALUE"""),"Octubre")</f>
        <v>Octubre</v>
      </c>
      <c r="J252" s="42" t="str">
        <f ca="1">IFERROR(__xludf.DUMMYFUNCTION("""COMPUTED_VALUE"""),"AM")</f>
        <v>AM</v>
      </c>
      <c r="K252" s="98"/>
      <c r="L252" s="42" t="str">
        <f ca="1">IFERROR(__xludf.DUMMYFUNCTION("""COMPUTED_VALUE"""),"TRIMESTRE 4")</f>
        <v>TRIMESTRE 4</v>
      </c>
      <c r="M252" s="42" t="str">
        <f ca="1">IFERROR(__xludf.DUMMYFUNCTION("""COMPUTED_VALUE"""),"ADOLESCENTES MUJERES")</f>
        <v>ADOLESCENTES MUJERES</v>
      </c>
    </row>
    <row r="253" spans="1:13">
      <c r="A253" s="42" t="str">
        <f ca="1">IFERROR(__xludf.DUMMYFUNCTION("""COMPUTED_VALUE"""),"#N/A")</f>
        <v>#N/A</v>
      </c>
      <c r="B253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53" s="42" t="str">
        <f ca="1">IFERROR(__xludf.DUMMYFUNCTION("""COMPUTED_VALUE"""),"3. Operación")</f>
        <v>3. Operación</v>
      </c>
      <c r="D253" s="42" t="str">
        <f ca="1">IFERROR(__xludf.DUMMYFUNCTION("""COMPUTED_VALUE"""),"Guadalajara en Paz")</f>
        <v>Guadalajara en Paz</v>
      </c>
      <c r="E253" s="42" t="str">
        <f ca="1">IFERROR(__xludf.DUMMYFUNCTION("""COMPUTED_VALUE"""),"Educación Preescolar en Centros de Desarrollo Comunitarios")</f>
        <v>Educación Preescolar en Centros de Desarrollo Comunitarios</v>
      </c>
      <c r="F253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253" s="42" t="str">
        <f ca="1">IFERROR(__xludf.DUMMYFUNCTION("""COMPUTED_VALUE"""),"Promedio de niñas y niños que asisten al Preescolar en CDC,en 2023")</f>
        <v>Promedio de niñas y niños que asisten al Preescolar en CDC,en 2023</v>
      </c>
      <c r="H253" s="42" t="str">
        <f ca="1">IFERROR(__xludf.DUMMYFUNCTION("""COMPUTED_VALUE"""),"AH OCTUBRE")</f>
        <v>AH OCTUBRE</v>
      </c>
      <c r="I253" s="42" t="str">
        <f ca="1">IFERROR(__xludf.DUMMYFUNCTION("""COMPUTED_VALUE"""),"Octubre")</f>
        <v>Octubre</v>
      </c>
      <c r="J253" s="42" t="str">
        <f ca="1">IFERROR(__xludf.DUMMYFUNCTION("""COMPUTED_VALUE"""),"AH")</f>
        <v>AH</v>
      </c>
      <c r="K253" s="98"/>
      <c r="L253" s="42" t="str">
        <f ca="1">IFERROR(__xludf.DUMMYFUNCTION("""COMPUTED_VALUE"""),"TRIMESTRE 4")</f>
        <v>TRIMESTRE 4</v>
      </c>
      <c r="M253" s="42" t="str">
        <f ca="1">IFERROR(__xludf.DUMMYFUNCTION("""COMPUTED_VALUE"""),"ADOLESCENTES HOMBRES")</f>
        <v>ADOLESCENTES HOMBRES</v>
      </c>
    </row>
    <row r="254" spans="1:13">
      <c r="A254" s="42" t="str">
        <f ca="1">IFERROR(__xludf.DUMMYFUNCTION("""COMPUTED_VALUE"""),"#N/A")</f>
        <v>#N/A</v>
      </c>
      <c r="B254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54" s="42" t="str">
        <f ca="1">IFERROR(__xludf.DUMMYFUNCTION("""COMPUTED_VALUE"""),"3. Operación")</f>
        <v>3. Operación</v>
      </c>
      <c r="D254" s="42" t="str">
        <f ca="1">IFERROR(__xludf.DUMMYFUNCTION("""COMPUTED_VALUE"""),"Guadalajara en Paz")</f>
        <v>Guadalajara en Paz</v>
      </c>
      <c r="E254" s="42" t="str">
        <f ca="1">IFERROR(__xludf.DUMMYFUNCTION("""COMPUTED_VALUE"""),"Educación Preescolar en Centros de Desarrollo Comunitarios")</f>
        <v>Educación Preescolar en Centros de Desarrollo Comunitarios</v>
      </c>
      <c r="F254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254" s="42" t="str">
        <f ca="1">IFERROR(__xludf.DUMMYFUNCTION("""COMPUTED_VALUE"""),"Promedio de niñas y niños que asisten al Preescolar en CDC,en 2023")</f>
        <v>Promedio de niñas y niños que asisten al Preescolar en CDC,en 2023</v>
      </c>
      <c r="H254" s="42" t="str">
        <f ca="1">IFERROR(__xludf.DUMMYFUNCTION("""COMPUTED_VALUE"""),"MUJ Octubre")</f>
        <v>MUJ Octubre</v>
      </c>
      <c r="I254" s="42" t="str">
        <f ca="1">IFERROR(__xludf.DUMMYFUNCTION("""COMPUTED_VALUE"""),"Octubre")</f>
        <v>Octubre</v>
      </c>
      <c r="J254" s="42" t="str">
        <f ca="1">IFERROR(__xludf.DUMMYFUNCTION("""COMPUTED_VALUE"""),"MUJ")</f>
        <v>MUJ</v>
      </c>
      <c r="K254" s="98"/>
      <c r="L254" s="42" t="str">
        <f ca="1">IFERROR(__xludf.DUMMYFUNCTION("""COMPUTED_VALUE"""),"TRIMESTRE 4")</f>
        <v>TRIMESTRE 4</v>
      </c>
      <c r="M254" s="42" t="str">
        <f ca="1">IFERROR(__xludf.DUMMYFUNCTION("""COMPUTED_VALUE"""),"MUJERES ADULTAS")</f>
        <v>MUJERES ADULTAS</v>
      </c>
    </row>
    <row r="255" spans="1:13">
      <c r="A255" s="42" t="str">
        <f ca="1">IFERROR(__xludf.DUMMYFUNCTION("""COMPUTED_VALUE"""),"#N/A")</f>
        <v>#N/A</v>
      </c>
      <c r="B255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55" s="42" t="str">
        <f ca="1">IFERROR(__xludf.DUMMYFUNCTION("""COMPUTED_VALUE"""),"3. Operación")</f>
        <v>3. Operación</v>
      </c>
      <c r="D255" s="42" t="str">
        <f ca="1">IFERROR(__xludf.DUMMYFUNCTION("""COMPUTED_VALUE"""),"Guadalajara en Paz")</f>
        <v>Guadalajara en Paz</v>
      </c>
      <c r="E255" s="42" t="str">
        <f ca="1">IFERROR(__xludf.DUMMYFUNCTION("""COMPUTED_VALUE"""),"Educación Preescolar en Centros de Desarrollo Comunitarios")</f>
        <v>Educación Preescolar en Centros de Desarrollo Comunitarios</v>
      </c>
      <c r="F255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255" s="42" t="str">
        <f ca="1">IFERROR(__xludf.DUMMYFUNCTION("""COMPUTED_VALUE"""),"Promedio de niñas y niños que asisten al Preescolar en CDC,en 2023")</f>
        <v>Promedio de niñas y niños que asisten al Preescolar en CDC,en 2023</v>
      </c>
      <c r="H255" s="42" t="str">
        <f ca="1">IFERROR(__xludf.DUMMYFUNCTION("""COMPUTED_VALUE"""),"HOM Octubre")</f>
        <v>HOM Octubre</v>
      </c>
      <c r="I255" s="42" t="str">
        <f ca="1">IFERROR(__xludf.DUMMYFUNCTION("""COMPUTED_VALUE"""),"Octubre")</f>
        <v>Octubre</v>
      </c>
      <c r="J255" s="42" t="str">
        <f ca="1">IFERROR(__xludf.DUMMYFUNCTION("""COMPUTED_VALUE"""),"HOM")</f>
        <v>HOM</v>
      </c>
      <c r="K255" s="98"/>
      <c r="L255" s="42" t="str">
        <f ca="1">IFERROR(__xludf.DUMMYFUNCTION("""COMPUTED_VALUE"""),"TRIMESTRE 4")</f>
        <v>TRIMESTRE 4</v>
      </c>
      <c r="M255" s="42" t="str">
        <f ca="1">IFERROR(__xludf.DUMMYFUNCTION("""COMPUTED_VALUE"""),"HOMBRES ADULTOS")</f>
        <v>HOMBRES ADULTOS</v>
      </c>
    </row>
    <row r="256" spans="1:13">
      <c r="A256" s="42" t="str">
        <f ca="1">IFERROR(__xludf.DUMMYFUNCTION("""COMPUTED_VALUE"""),"#N/A")</f>
        <v>#N/A</v>
      </c>
      <c r="B256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56" s="42" t="str">
        <f ca="1">IFERROR(__xludf.DUMMYFUNCTION("""COMPUTED_VALUE"""),"3. Operación")</f>
        <v>3. Operación</v>
      </c>
      <c r="D256" s="42" t="str">
        <f ca="1">IFERROR(__xludf.DUMMYFUNCTION("""COMPUTED_VALUE"""),"Guadalajara en Paz")</f>
        <v>Guadalajara en Paz</v>
      </c>
      <c r="E256" s="42" t="str">
        <f ca="1">IFERROR(__xludf.DUMMYFUNCTION("""COMPUTED_VALUE"""),"Educación Preescolar en Centros de Desarrollo Comunitarios")</f>
        <v>Educación Preescolar en Centros de Desarrollo Comunitarios</v>
      </c>
      <c r="F256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256" s="42" t="str">
        <f ca="1">IFERROR(__xludf.DUMMYFUNCTION("""COMPUTED_VALUE"""),"Promedio de niñas y niños que asisten al Preescolar en CDC,en 2023")</f>
        <v>Promedio de niñas y niños que asisten al Preescolar en CDC,en 2023</v>
      </c>
      <c r="H256" s="42" t="str">
        <f ca="1">IFERROR(__xludf.DUMMYFUNCTION("""COMPUTED_VALUE"""),"AMM Octubre")</f>
        <v>AMM Octubre</v>
      </c>
      <c r="I256" s="42" t="str">
        <f ca="1">IFERROR(__xludf.DUMMYFUNCTION("""COMPUTED_VALUE"""),"Octubre")</f>
        <v>Octubre</v>
      </c>
      <c r="J256" s="42" t="str">
        <f ca="1">IFERROR(__xludf.DUMMYFUNCTION("""COMPUTED_VALUE"""),"AMM")</f>
        <v>AMM</v>
      </c>
      <c r="K256" s="98"/>
      <c r="L256" s="42" t="str">
        <f ca="1">IFERROR(__xludf.DUMMYFUNCTION("""COMPUTED_VALUE"""),"TRIMESTRE 4")</f>
        <v>TRIMESTRE 4</v>
      </c>
      <c r="M256" s="42" t="str">
        <f ca="1">IFERROR(__xludf.DUMMYFUNCTION("""COMPUTED_VALUE"""),"ADULTA MAYOR MUJER")</f>
        <v>ADULTA MAYOR MUJER</v>
      </c>
    </row>
    <row r="257" spans="1:13">
      <c r="A257" s="42" t="str">
        <f ca="1">IFERROR(__xludf.DUMMYFUNCTION("""COMPUTED_VALUE"""),"#N/A")</f>
        <v>#N/A</v>
      </c>
      <c r="B257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57" s="42" t="str">
        <f ca="1">IFERROR(__xludf.DUMMYFUNCTION("""COMPUTED_VALUE"""),"3. Operación")</f>
        <v>3. Operación</v>
      </c>
      <c r="D257" s="42" t="str">
        <f ca="1">IFERROR(__xludf.DUMMYFUNCTION("""COMPUTED_VALUE"""),"Guadalajara en Paz")</f>
        <v>Guadalajara en Paz</v>
      </c>
      <c r="E257" s="42" t="str">
        <f ca="1">IFERROR(__xludf.DUMMYFUNCTION("""COMPUTED_VALUE"""),"Educación Preescolar en Centros de Desarrollo Comunitarios")</f>
        <v>Educación Preescolar en Centros de Desarrollo Comunitarios</v>
      </c>
      <c r="F257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257" s="42" t="str">
        <f ca="1">IFERROR(__xludf.DUMMYFUNCTION("""COMPUTED_VALUE"""),"Promedio de niñas y niños que asisten al Preescolar en CDC,en 2023")</f>
        <v>Promedio de niñas y niños que asisten al Preescolar en CDC,en 2023</v>
      </c>
      <c r="H257" s="42" t="str">
        <f ca="1">IFERROR(__xludf.DUMMYFUNCTION("""COMPUTED_VALUE"""),"AMH Octubre")</f>
        <v>AMH Octubre</v>
      </c>
      <c r="I257" s="42" t="str">
        <f ca="1">IFERROR(__xludf.DUMMYFUNCTION("""COMPUTED_VALUE"""),"Octubre")</f>
        <v>Octubre</v>
      </c>
      <c r="J257" s="42" t="str">
        <f ca="1">IFERROR(__xludf.DUMMYFUNCTION("""COMPUTED_VALUE"""),"AMH")</f>
        <v>AMH</v>
      </c>
      <c r="K257" s="98"/>
      <c r="L257" s="42" t="str">
        <f ca="1">IFERROR(__xludf.DUMMYFUNCTION("""COMPUTED_VALUE"""),"TRIMESTRE 4")</f>
        <v>TRIMESTRE 4</v>
      </c>
      <c r="M257" s="42" t="str">
        <f ca="1">IFERROR(__xludf.DUMMYFUNCTION("""COMPUTED_VALUE"""),"ADULTO MAYOR HOMBRE")</f>
        <v>ADULTO MAYOR HOMBRE</v>
      </c>
    </row>
    <row r="258" spans="1:13">
      <c r="A258" s="42" t="str">
        <f ca="1">IFERROR(__xludf.DUMMYFUNCTION("""COMPUTED_VALUE"""),"2.1.1.16")</f>
        <v>2.1.1.16</v>
      </c>
      <c r="B258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58" s="42" t="str">
        <f ca="1">IFERROR(__xludf.DUMMYFUNCTION("""COMPUTED_VALUE"""),"3. Operación")</f>
        <v>3. Operación</v>
      </c>
      <c r="D258" s="42" t="str">
        <f ca="1">IFERROR(__xludf.DUMMYFUNCTION("""COMPUTED_VALUE"""),"Guadalajara en Paz")</f>
        <v>Guadalajara en Paz</v>
      </c>
      <c r="E258" s="42" t="str">
        <f ca="1">IFERROR(__xludf.DUMMYFUNCTION("""COMPUTED_VALUE"""),"Educación Preescolar en Centros de Desarrollo Comunitarios")</f>
        <v>Educación Preescolar en Centros de Desarrollo Comunitarios</v>
      </c>
      <c r="F258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258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258" s="42" t="str">
        <f ca="1">IFERROR(__xludf.DUMMYFUNCTION("""COMPUTED_VALUE"""),"NAS Noviembre")</f>
        <v>NAS Noviembre</v>
      </c>
      <c r="I258" s="42" t="str">
        <f ca="1">IFERROR(__xludf.DUMMYFUNCTION("""COMPUTED_VALUE"""),"Noviembre")</f>
        <v>Noviembre</v>
      </c>
      <c r="J258" s="42" t="str">
        <f ca="1">IFERROR(__xludf.DUMMYFUNCTION("""COMPUTED_VALUE"""),"NAS")</f>
        <v>NAS</v>
      </c>
      <c r="K258" s="98"/>
      <c r="L258" s="42" t="str">
        <f ca="1">IFERROR(__xludf.DUMMYFUNCTION("""COMPUTED_VALUE"""),"TRIMESTRE 4")</f>
        <v>TRIMESTRE 4</v>
      </c>
      <c r="M258" s="42" t="str">
        <f ca="1">IFERROR(__xludf.DUMMYFUNCTION("""COMPUTED_VALUE"""),"NIÑAS")</f>
        <v>NIÑAS</v>
      </c>
    </row>
    <row r="259" spans="1:13">
      <c r="A259" s="42" t="str">
        <f ca="1">IFERROR(__xludf.DUMMYFUNCTION("""COMPUTED_VALUE"""),"2.1.1.16")</f>
        <v>2.1.1.16</v>
      </c>
      <c r="B259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59" s="42" t="str">
        <f ca="1">IFERROR(__xludf.DUMMYFUNCTION("""COMPUTED_VALUE"""),"3. Operación")</f>
        <v>3. Operación</v>
      </c>
      <c r="D259" s="42" t="str">
        <f ca="1">IFERROR(__xludf.DUMMYFUNCTION("""COMPUTED_VALUE"""),"Guadalajara en Paz")</f>
        <v>Guadalajara en Paz</v>
      </c>
      <c r="E259" s="42" t="str">
        <f ca="1">IFERROR(__xludf.DUMMYFUNCTION("""COMPUTED_VALUE"""),"Educación Preescolar en Centros de Desarrollo Comunitarios")</f>
        <v>Educación Preescolar en Centros de Desarrollo Comunitarios</v>
      </c>
      <c r="F259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259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259" s="42" t="str">
        <f ca="1">IFERROR(__xludf.DUMMYFUNCTION("""COMPUTED_VALUE"""),"NOS Noviembre")</f>
        <v>NOS Noviembre</v>
      </c>
      <c r="I259" s="42" t="str">
        <f ca="1">IFERROR(__xludf.DUMMYFUNCTION("""COMPUTED_VALUE"""),"Noviembre")</f>
        <v>Noviembre</v>
      </c>
      <c r="J259" s="42" t="str">
        <f ca="1">IFERROR(__xludf.DUMMYFUNCTION("""COMPUTED_VALUE"""),"NOS")</f>
        <v>NOS</v>
      </c>
      <c r="K259" s="98"/>
      <c r="L259" s="42" t="str">
        <f ca="1">IFERROR(__xludf.DUMMYFUNCTION("""COMPUTED_VALUE"""),"TRIMESTRE 4")</f>
        <v>TRIMESTRE 4</v>
      </c>
      <c r="M259" s="42" t="str">
        <f ca="1">IFERROR(__xludf.DUMMYFUNCTION("""COMPUTED_VALUE"""),"NIÑOS")</f>
        <v>NIÑOS</v>
      </c>
    </row>
    <row r="260" spans="1:13">
      <c r="A260" s="42" t="str">
        <f ca="1">IFERROR(__xludf.DUMMYFUNCTION("""COMPUTED_VALUE"""),"2.1.1.16")</f>
        <v>2.1.1.16</v>
      </c>
      <c r="B260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60" s="42" t="str">
        <f ca="1">IFERROR(__xludf.DUMMYFUNCTION("""COMPUTED_VALUE"""),"3. Operación")</f>
        <v>3. Operación</v>
      </c>
      <c r="D260" s="42" t="str">
        <f ca="1">IFERROR(__xludf.DUMMYFUNCTION("""COMPUTED_VALUE"""),"Guadalajara en Paz")</f>
        <v>Guadalajara en Paz</v>
      </c>
      <c r="E260" s="42" t="str">
        <f ca="1">IFERROR(__xludf.DUMMYFUNCTION("""COMPUTED_VALUE"""),"Educación Preescolar en Centros de Desarrollo Comunitarios")</f>
        <v>Educación Preescolar en Centros de Desarrollo Comunitarios</v>
      </c>
      <c r="F260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260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260" s="42" t="str">
        <f ca="1">IFERROR(__xludf.DUMMYFUNCTION("""COMPUTED_VALUE"""),"AM NOVIEMBRE")</f>
        <v>AM NOVIEMBRE</v>
      </c>
      <c r="I260" s="42" t="str">
        <f ca="1">IFERROR(__xludf.DUMMYFUNCTION("""COMPUTED_VALUE"""),"Noviembre")</f>
        <v>Noviembre</v>
      </c>
      <c r="J260" s="42" t="str">
        <f ca="1">IFERROR(__xludf.DUMMYFUNCTION("""COMPUTED_VALUE"""),"AM")</f>
        <v>AM</v>
      </c>
      <c r="K260" s="98"/>
      <c r="L260" s="42" t="str">
        <f ca="1">IFERROR(__xludf.DUMMYFUNCTION("""COMPUTED_VALUE"""),"TRIMESTRE 4")</f>
        <v>TRIMESTRE 4</v>
      </c>
      <c r="M260" s="42" t="str">
        <f ca="1">IFERROR(__xludf.DUMMYFUNCTION("""COMPUTED_VALUE"""),"ADOLESCENTES MUJERES")</f>
        <v>ADOLESCENTES MUJERES</v>
      </c>
    </row>
    <row r="261" spans="1:13">
      <c r="A261" s="42" t="str">
        <f ca="1">IFERROR(__xludf.DUMMYFUNCTION("""COMPUTED_VALUE"""),"2.1.1.16")</f>
        <v>2.1.1.16</v>
      </c>
      <c r="B261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61" s="42" t="str">
        <f ca="1">IFERROR(__xludf.DUMMYFUNCTION("""COMPUTED_VALUE"""),"3. Operación")</f>
        <v>3. Operación</v>
      </c>
      <c r="D261" s="42" t="str">
        <f ca="1">IFERROR(__xludf.DUMMYFUNCTION("""COMPUTED_VALUE"""),"Guadalajara en Paz")</f>
        <v>Guadalajara en Paz</v>
      </c>
      <c r="E261" s="42" t="str">
        <f ca="1">IFERROR(__xludf.DUMMYFUNCTION("""COMPUTED_VALUE"""),"Educación Preescolar en Centros de Desarrollo Comunitarios")</f>
        <v>Educación Preescolar en Centros de Desarrollo Comunitarios</v>
      </c>
      <c r="F261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261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261" s="42" t="str">
        <f ca="1">IFERROR(__xludf.DUMMYFUNCTION("""COMPUTED_VALUE"""),"AH NOVIEMBRE")</f>
        <v>AH NOVIEMBRE</v>
      </c>
      <c r="I261" s="42" t="str">
        <f ca="1">IFERROR(__xludf.DUMMYFUNCTION("""COMPUTED_VALUE"""),"Noviembre")</f>
        <v>Noviembre</v>
      </c>
      <c r="J261" s="42" t="str">
        <f ca="1">IFERROR(__xludf.DUMMYFUNCTION("""COMPUTED_VALUE"""),"AH")</f>
        <v>AH</v>
      </c>
      <c r="K261" s="98"/>
      <c r="L261" s="42" t="str">
        <f ca="1">IFERROR(__xludf.DUMMYFUNCTION("""COMPUTED_VALUE"""),"TRIMESTRE 4")</f>
        <v>TRIMESTRE 4</v>
      </c>
      <c r="M261" s="42" t="str">
        <f ca="1">IFERROR(__xludf.DUMMYFUNCTION("""COMPUTED_VALUE"""),"ADOLESCENTES HOMBRES")</f>
        <v>ADOLESCENTES HOMBRES</v>
      </c>
    </row>
    <row r="262" spans="1:13">
      <c r="A262" s="42" t="str">
        <f ca="1">IFERROR(__xludf.DUMMYFUNCTION("""COMPUTED_VALUE"""),"2.1.1.16")</f>
        <v>2.1.1.16</v>
      </c>
      <c r="B262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62" s="42" t="str">
        <f ca="1">IFERROR(__xludf.DUMMYFUNCTION("""COMPUTED_VALUE"""),"3. Operación")</f>
        <v>3. Operación</v>
      </c>
      <c r="D262" s="42" t="str">
        <f ca="1">IFERROR(__xludf.DUMMYFUNCTION("""COMPUTED_VALUE"""),"Guadalajara en Paz")</f>
        <v>Guadalajara en Paz</v>
      </c>
      <c r="E262" s="42" t="str">
        <f ca="1">IFERROR(__xludf.DUMMYFUNCTION("""COMPUTED_VALUE"""),"Educación Preescolar en Centros de Desarrollo Comunitarios")</f>
        <v>Educación Preescolar en Centros de Desarrollo Comunitarios</v>
      </c>
      <c r="F262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262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262" s="42" t="str">
        <f ca="1">IFERROR(__xludf.DUMMYFUNCTION("""COMPUTED_VALUE"""),"MUJ Noviembre")</f>
        <v>MUJ Noviembre</v>
      </c>
      <c r="I262" s="42" t="str">
        <f ca="1">IFERROR(__xludf.DUMMYFUNCTION("""COMPUTED_VALUE"""),"Noviembre")</f>
        <v>Noviembre</v>
      </c>
      <c r="J262" s="42" t="str">
        <f ca="1">IFERROR(__xludf.DUMMYFUNCTION("""COMPUTED_VALUE"""),"MUJ")</f>
        <v>MUJ</v>
      </c>
      <c r="K262" s="98"/>
      <c r="L262" s="42" t="str">
        <f ca="1">IFERROR(__xludf.DUMMYFUNCTION("""COMPUTED_VALUE"""),"TRIMESTRE 4")</f>
        <v>TRIMESTRE 4</v>
      </c>
      <c r="M262" s="42" t="str">
        <f ca="1">IFERROR(__xludf.DUMMYFUNCTION("""COMPUTED_VALUE"""),"MUJERES ADULTAS")</f>
        <v>MUJERES ADULTAS</v>
      </c>
    </row>
    <row r="263" spans="1:13">
      <c r="A263" s="42" t="str">
        <f ca="1">IFERROR(__xludf.DUMMYFUNCTION("""COMPUTED_VALUE"""),"2.1.1.16")</f>
        <v>2.1.1.16</v>
      </c>
      <c r="B263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63" s="42" t="str">
        <f ca="1">IFERROR(__xludf.DUMMYFUNCTION("""COMPUTED_VALUE"""),"3. Operación")</f>
        <v>3. Operación</v>
      </c>
      <c r="D263" s="42" t="str">
        <f ca="1">IFERROR(__xludf.DUMMYFUNCTION("""COMPUTED_VALUE"""),"Guadalajara en Paz")</f>
        <v>Guadalajara en Paz</v>
      </c>
      <c r="E263" s="42" t="str">
        <f ca="1">IFERROR(__xludf.DUMMYFUNCTION("""COMPUTED_VALUE"""),"Educación Preescolar en Centros de Desarrollo Comunitarios")</f>
        <v>Educación Preescolar en Centros de Desarrollo Comunitarios</v>
      </c>
      <c r="F263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263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263" s="42" t="str">
        <f ca="1">IFERROR(__xludf.DUMMYFUNCTION("""COMPUTED_VALUE"""),"HOM Noviembre")</f>
        <v>HOM Noviembre</v>
      </c>
      <c r="I263" s="42" t="str">
        <f ca="1">IFERROR(__xludf.DUMMYFUNCTION("""COMPUTED_VALUE"""),"Noviembre")</f>
        <v>Noviembre</v>
      </c>
      <c r="J263" s="42" t="str">
        <f ca="1">IFERROR(__xludf.DUMMYFUNCTION("""COMPUTED_VALUE"""),"HOM")</f>
        <v>HOM</v>
      </c>
      <c r="K263" s="98"/>
      <c r="L263" s="42" t="str">
        <f ca="1">IFERROR(__xludf.DUMMYFUNCTION("""COMPUTED_VALUE"""),"TRIMESTRE 4")</f>
        <v>TRIMESTRE 4</v>
      </c>
      <c r="M263" s="42" t="str">
        <f ca="1">IFERROR(__xludf.DUMMYFUNCTION("""COMPUTED_VALUE"""),"HOMBRES ADULTOS")</f>
        <v>HOMBRES ADULTOS</v>
      </c>
    </row>
    <row r="264" spans="1:13">
      <c r="A264" s="42" t="str">
        <f ca="1">IFERROR(__xludf.DUMMYFUNCTION("""COMPUTED_VALUE"""),"2.1.1.16")</f>
        <v>2.1.1.16</v>
      </c>
      <c r="B264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64" s="42" t="str">
        <f ca="1">IFERROR(__xludf.DUMMYFUNCTION("""COMPUTED_VALUE"""),"3. Operación")</f>
        <v>3. Operación</v>
      </c>
      <c r="D264" s="42" t="str">
        <f ca="1">IFERROR(__xludf.DUMMYFUNCTION("""COMPUTED_VALUE"""),"Guadalajara en Paz")</f>
        <v>Guadalajara en Paz</v>
      </c>
      <c r="E264" s="42" t="str">
        <f ca="1">IFERROR(__xludf.DUMMYFUNCTION("""COMPUTED_VALUE"""),"Educación Preescolar en Centros de Desarrollo Comunitarios")</f>
        <v>Educación Preescolar en Centros de Desarrollo Comunitarios</v>
      </c>
      <c r="F264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264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264" s="42" t="str">
        <f ca="1">IFERROR(__xludf.DUMMYFUNCTION("""COMPUTED_VALUE"""),"AMM Noviembre")</f>
        <v>AMM Noviembre</v>
      </c>
      <c r="I264" s="42" t="str">
        <f ca="1">IFERROR(__xludf.DUMMYFUNCTION("""COMPUTED_VALUE"""),"Noviembre")</f>
        <v>Noviembre</v>
      </c>
      <c r="J264" s="42" t="str">
        <f ca="1">IFERROR(__xludf.DUMMYFUNCTION("""COMPUTED_VALUE"""),"AMM")</f>
        <v>AMM</v>
      </c>
      <c r="K264" s="98"/>
      <c r="L264" s="42" t="str">
        <f ca="1">IFERROR(__xludf.DUMMYFUNCTION("""COMPUTED_VALUE"""),"TRIMESTRE 4")</f>
        <v>TRIMESTRE 4</v>
      </c>
      <c r="M264" s="42" t="str">
        <f ca="1">IFERROR(__xludf.DUMMYFUNCTION("""COMPUTED_VALUE"""),"ADULTA MAYOR MUJER")</f>
        <v>ADULTA MAYOR MUJER</v>
      </c>
    </row>
    <row r="265" spans="1:13">
      <c r="A265" s="42" t="str">
        <f ca="1">IFERROR(__xludf.DUMMYFUNCTION("""COMPUTED_VALUE"""),"2.1.1.16")</f>
        <v>2.1.1.16</v>
      </c>
      <c r="B265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65" s="42" t="str">
        <f ca="1">IFERROR(__xludf.DUMMYFUNCTION("""COMPUTED_VALUE"""),"3. Operación")</f>
        <v>3. Operación</v>
      </c>
      <c r="D265" s="42" t="str">
        <f ca="1">IFERROR(__xludf.DUMMYFUNCTION("""COMPUTED_VALUE"""),"Guadalajara en Paz")</f>
        <v>Guadalajara en Paz</v>
      </c>
      <c r="E265" s="42" t="str">
        <f ca="1">IFERROR(__xludf.DUMMYFUNCTION("""COMPUTED_VALUE"""),"Educación Preescolar en Centros de Desarrollo Comunitarios")</f>
        <v>Educación Preescolar en Centros de Desarrollo Comunitarios</v>
      </c>
      <c r="F265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265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265" s="42" t="str">
        <f ca="1">IFERROR(__xludf.DUMMYFUNCTION("""COMPUTED_VALUE"""),"AMH Noviembre")</f>
        <v>AMH Noviembre</v>
      </c>
      <c r="I265" s="42" t="str">
        <f ca="1">IFERROR(__xludf.DUMMYFUNCTION("""COMPUTED_VALUE"""),"Noviembre")</f>
        <v>Noviembre</v>
      </c>
      <c r="J265" s="42" t="str">
        <f ca="1">IFERROR(__xludf.DUMMYFUNCTION("""COMPUTED_VALUE"""),"AMH")</f>
        <v>AMH</v>
      </c>
      <c r="K265" s="98"/>
      <c r="L265" s="42" t="str">
        <f ca="1">IFERROR(__xludf.DUMMYFUNCTION("""COMPUTED_VALUE"""),"TRIMESTRE 4")</f>
        <v>TRIMESTRE 4</v>
      </c>
      <c r="M265" s="42" t="str">
        <f ca="1">IFERROR(__xludf.DUMMYFUNCTION("""COMPUTED_VALUE"""),"ADULTO MAYOR HOMBRE")</f>
        <v>ADULTO MAYOR HOMBRE</v>
      </c>
    </row>
    <row r="266" spans="1:13">
      <c r="A266" s="42" t="str">
        <f ca="1">IFERROR(__xludf.DUMMYFUNCTION("""COMPUTED_VALUE"""),"#N/A")</f>
        <v>#N/A</v>
      </c>
      <c r="B266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66" s="42" t="str">
        <f ca="1">IFERROR(__xludf.DUMMYFUNCTION("""COMPUTED_VALUE"""),"3. Operación")</f>
        <v>3. Operación</v>
      </c>
      <c r="D266" s="42" t="str">
        <f ca="1">IFERROR(__xludf.DUMMYFUNCTION("""COMPUTED_VALUE"""),"Guadalajara en Paz")</f>
        <v>Guadalajara en Paz</v>
      </c>
      <c r="E266" s="42" t="str">
        <f ca="1">IFERROR(__xludf.DUMMYFUNCTION("""COMPUTED_VALUE"""),"Educación Preescolar en Centros de Desarrollo Comunitarios")</f>
        <v>Educación Preescolar en Centros de Desarrollo Comunitarios</v>
      </c>
      <c r="F266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266" s="42" t="str">
        <f ca="1">IFERROR(__xludf.DUMMYFUNCTION("""COMPUTED_VALUE"""),"Promedio de niñas y niños que asisten al Preescolar en CDC,en 2023")</f>
        <v>Promedio de niñas y niños que asisten al Preescolar en CDC,en 2023</v>
      </c>
      <c r="H266" s="42" t="str">
        <f ca="1">IFERROR(__xludf.DUMMYFUNCTION("""COMPUTED_VALUE"""),"NAS Noviembre")</f>
        <v>NAS Noviembre</v>
      </c>
      <c r="I266" s="42" t="str">
        <f ca="1">IFERROR(__xludf.DUMMYFUNCTION("""COMPUTED_VALUE"""),"Noviembre")</f>
        <v>Noviembre</v>
      </c>
      <c r="J266" s="42" t="str">
        <f ca="1">IFERROR(__xludf.DUMMYFUNCTION("""COMPUTED_VALUE"""),"NAS")</f>
        <v>NAS</v>
      </c>
      <c r="K266" s="98"/>
      <c r="L266" s="42" t="str">
        <f ca="1">IFERROR(__xludf.DUMMYFUNCTION("""COMPUTED_VALUE"""),"TRIMESTRE 4")</f>
        <v>TRIMESTRE 4</v>
      </c>
      <c r="M266" s="42" t="str">
        <f ca="1">IFERROR(__xludf.DUMMYFUNCTION("""COMPUTED_VALUE"""),"NIÑAS")</f>
        <v>NIÑAS</v>
      </c>
    </row>
    <row r="267" spans="1:13">
      <c r="A267" s="42" t="str">
        <f ca="1">IFERROR(__xludf.DUMMYFUNCTION("""COMPUTED_VALUE"""),"#N/A")</f>
        <v>#N/A</v>
      </c>
      <c r="B267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67" s="42" t="str">
        <f ca="1">IFERROR(__xludf.DUMMYFUNCTION("""COMPUTED_VALUE"""),"3. Operación")</f>
        <v>3. Operación</v>
      </c>
      <c r="D267" s="42" t="str">
        <f ca="1">IFERROR(__xludf.DUMMYFUNCTION("""COMPUTED_VALUE"""),"Guadalajara en Paz")</f>
        <v>Guadalajara en Paz</v>
      </c>
      <c r="E267" s="42" t="str">
        <f ca="1">IFERROR(__xludf.DUMMYFUNCTION("""COMPUTED_VALUE"""),"Educación Preescolar en Centros de Desarrollo Comunitarios")</f>
        <v>Educación Preescolar en Centros de Desarrollo Comunitarios</v>
      </c>
      <c r="F267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267" s="42" t="str">
        <f ca="1">IFERROR(__xludf.DUMMYFUNCTION("""COMPUTED_VALUE"""),"Promedio de niñas y niños que asisten al Preescolar en CDC,en 2023")</f>
        <v>Promedio de niñas y niños que asisten al Preescolar en CDC,en 2023</v>
      </c>
      <c r="H267" s="42" t="str">
        <f ca="1">IFERROR(__xludf.DUMMYFUNCTION("""COMPUTED_VALUE"""),"NOS Noviembre")</f>
        <v>NOS Noviembre</v>
      </c>
      <c r="I267" s="42" t="str">
        <f ca="1">IFERROR(__xludf.DUMMYFUNCTION("""COMPUTED_VALUE"""),"Noviembre")</f>
        <v>Noviembre</v>
      </c>
      <c r="J267" s="42" t="str">
        <f ca="1">IFERROR(__xludf.DUMMYFUNCTION("""COMPUTED_VALUE"""),"NOS")</f>
        <v>NOS</v>
      </c>
      <c r="K267" s="98"/>
      <c r="L267" s="42" t="str">
        <f ca="1">IFERROR(__xludf.DUMMYFUNCTION("""COMPUTED_VALUE"""),"TRIMESTRE 4")</f>
        <v>TRIMESTRE 4</v>
      </c>
      <c r="M267" s="42" t="str">
        <f ca="1">IFERROR(__xludf.DUMMYFUNCTION("""COMPUTED_VALUE"""),"NIÑOS")</f>
        <v>NIÑOS</v>
      </c>
    </row>
    <row r="268" spans="1:13">
      <c r="A268" s="42" t="str">
        <f ca="1">IFERROR(__xludf.DUMMYFUNCTION("""COMPUTED_VALUE"""),"#N/A")</f>
        <v>#N/A</v>
      </c>
      <c r="B268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68" s="42" t="str">
        <f ca="1">IFERROR(__xludf.DUMMYFUNCTION("""COMPUTED_VALUE"""),"3. Operación")</f>
        <v>3. Operación</v>
      </c>
      <c r="D268" s="42" t="str">
        <f ca="1">IFERROR(__xludf.DUMMYFUNCTION("""COMPUTED_VALUE"""),"Guadalajara en Paz")</f>
        <v>Guadalajara en Paz</v>
      </c>
      <c r="E268" s="42" t="str">
        <f ca="1">IFERROR(__xludf.DUMMYFUNCTION("""COMPUTED_VALUE"""),"Educación Preescolar en Centros de Desarrollo Comunitarios")</f>
        <v>Educación Preescolar en Centros de Desarrollo Comunitarios</v>
      </c>
      <c r="F268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268" s="42" t="str">
        <f ca="1">IFERROR(__xludf.DUMMYFUNCTION("""COMPUTED_VALUE"""),"Promedio de niñas y niños que asisten al Preescolar en CDC,en 2023")</f>
        <v>Promedio de niñas y niños que asisten al Preescolar en CDC,en 2023</v>
      </c>
      <c r="H268" s="42" t="str">
        <f ca="1">IFERROR(__xludf.DUMMYFUNCTION("""COMPUTED_VALUE"""),"AM NOVIEMBRE")</f>
        <v>AM NOVIEMBRE</v>
      </c>
      <c r="I268" s="42" t="str">
        <f ca="1">IFERROR(__xludf.DUMMYFUNCTION("""COMPUTED_VALUE"""),"Noviembre")</f>
        <v>Noviembre</v>
      </c>
      <c r="J268" s="42" t="str">
        <f ca="1">IFERROR(__xludf.DUMMYFUNCTION("""COMPUTED_VALUE"""),"AM")</f>
        <v>AM</v>
      </c>
      <c r="K268" s="98"/>
      <c r="L268" s="42" t="str">
        <f ca="1">IFERROR(__xludf.DUMMYFUNCTION("""COMPUTED_VALUE"""),"TRIMESTRE 4")</f>
        <v>TRIMESTRE 4</v>
      </c>
      <c r="M268" s="42" t="str">
        <f ca="1">IFERROR(__xludf.DUMMYFUNCTION("""COMPUTED_VALUE"""),"ADOLESCENTES MUJERES")</f>
        <v>ADOLESCENTES MUJERES</v>
      </c>
    </row>
    <row r="269" spans="1:13">
      <c r="A269" s="42" t="str">
        <f ca="1">IFERROR(__xludf.DUMMYFUNCTION("""COMPUTED_VALUE"""),"#N/A")</f>
        <v>#N/A</v>
      </c>
      <c r="B269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69" s="42" t="str">
        <f ca="1">IFERROR(__xludf.DUMMYFUNCTION("""COMPUTED_VALUE"""),"3. Operación")</f>
        <v>3. Operación</v>
      </c>
      <c r="D269" s="42" t="str">
        <f ca="1">IFERROR(__xludf.DUMMYFUNCTION("""COMPUTED_VALUE"""),"Guadalajara en Paz")</f>
        <v>Guadalajara en Paz</v>
      </c>
      <c r="E269" s="42" t="str">
        <f ca="1">IFERROR(__xludf.DUMMYFUNCTION("""COMPUTED_VALUE"""),"Educación Preescolar en Centros de Desarrollo Comunitarios")</f>
        <v>Educación Preescolar en Centros de Desarrollo Comunitarios</v>
      </c>
      <c r="F269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269" s="42" t="str">
        <f ca="1">IFERROR(__xludf.DUMMYFUNCTION("""COMPUTED_VALUE"""),"Promedio de niñas y niños que asisten al Preescolar en CDC,en 2023")</f>
        <v>Promedio de niñas y niños que asisten al Preescolar en CDC,en 2023</v>
      </c>
      <c r="H269" s="42" t="str">
        <f ca="1">IFERROR(__xludf.DUMMYFUNCTION("""COMPUTED_VALUE"""),"AH NOVIEMBRE")</f>
        <v>AH NOVIEMBRE</v>
      </c>
      <c r="I269" s="42" t="str">
        <f ca="1">IFERROR(__xludf.DUMMYFUNCTION("""COMPUTED_VALUE"""),"Noviembre")</f>
        <v>Noviembre</v>
      </c>
      <c r="J269" s="42" t="str">
        <f ca="1">IFERROR(__xludf.DUMMYFUNCTION("""COMPUTED_VALUE"""),"AH")</f>
        <v>AH</v>
      </c>
      <c r="K269" s="98"/>
      <c r="L269" s="42" t="str">
        <f ca="1">IFERROR(__xludf.DUMMYFUNCTION("""COMPUTED_VALUE"""),"TRIMESTRE 4")</f>
        <v>TRIMESTRE 4</v>
      </c>
      <c r="M269" s="42" t="str">
        <f ca="1">IFERROR(__xludf.DUMMYFUNCTION("""COMPUTED_VALUE"""),"ADOLESCENTES HOMBRES")</f>
        <v>ADOLESCENTES HOMBRES</v>
      </c>
    </row>
    <row r="270" spans="1:13">
      <c r="A270" s="42" t="str">
        <f ca="1">IFERROR(__xludf.DUMMYFUNCTION("""COMPUTED_VALUE"""),"#N/A")</f>
        <v>#N/A</v>
      </c>
      <c r="B270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70" s="42" t="str">
        <f ca="1">IFERROR(__xludf.DUMMYFUNCTION("""COMPUTED_VALUE"""),"3. Operación")</f>
        <v>3. Operación</v>
      </c>
      <c r="D270" s="42" t="str">
        <f ca="1">IFERROR(__xludf.DUMMYFUNCTION("""COMPUTED_VALUE"""),"Guadalajara en Paz")</f>
        <v>Guadalajara en Paz</v>
      </c>
      <c r="E270" s="42" t="str">
        <f ca="1">IFERROR(__xludf.DUMMYFUNCTION("""COMPUTED_VALUE"""),"Educación Preescolar en Centros de Desarrollo Comunitarios")</f>
        <v>Educación Preescolar en Centros de Desarrollo Comunitarios</v>
      </c>
      <c r="F270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270" s="42" t="str">
        <f ca="1">IFERROR(__xludf.DUMMYFUNCTION("""COMPUTED_VALUE"""),"Promedio de niñas y niños que asisten al Preescolar en CDC,en 2023")</f>
        <v>Promedio de niñas y niños que asisten al Preescolar en CDC,en 2023</v>
      </c>
      <c r="H270" s="42" t="str">
        <f ca="1">IFERROR(__xludf.DUMMYFUNCTION("""COMPUTED_VALUE"""),"MUJ Noviembre")</f>
        <v>MUJ Noviembre</v>
      </c>
      <c r="I270" s="42" t="str">
        <f ca="1">IFERROR(__xludf.DUMMYFUNCTION("""COMPUTED_VALUE"""),"Noviembre")</f>
        <v>Noviembre</v>
      </c>
      <c r="J270" s="42" t="str">
        <f ca="1">IFERROR(__xludf.DUMMYFUNCTION("""COMPUTED_VALUE"""),"MUJ")</f>
        <v>MUJ</v>
      </c>
      <c r="K270" s="98"/>
      <c r="L270" s="42" t="str">
        <f ca="1">IFERROR(__xludf.DUMMYFUNCTION("""COMPUTED_VALUE"""),"TRIMESTRE 4")</f>
        <v>TRIMESTRE 4</v>
      </c>
      <c r="M270" s="42" t="str">
        <f ca="1">IFERROR(__xludf.DUMMYFUNCTION("""COMPUTED_VALUE"""),"MUJERES ADULTAS")</f>
        <v>MUJERES ADULTAS</v>
      </c>
    </row>
    <row r="271" spans="1:13">
      <c r="A271" s="42" t="str">
        <f ca="1">IFERROR(__xludf.DUMMYFUNCTION("""COMPUTED_VALUE"""),"#N/A")</f>
        <v>#N/A</v>
      </c>
      <c r="B271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71" s="42" t="str">
        <f ca="1">IFERROR(__xludf.DUMMYFUNCTION("""COMPUTED_VALUE"""),"3. Operación")</f>
        <v>3. Operación</v>
      </c>
      <c r="D271" s="42" t="str">
        <f ca="1">IFERROR(__xludf.DUMMYFUNCTION("""COMPUTED_VALUE"""),"Guadalajara en Paz")</f>
        <v>Guadalajara en Paz</v>
      </c>
      <c r="E271" s="42" t="str">
        <f ca="1">IFERROR(__xludf.DUMMYFUNCTION("""COMPUTED_VALUE"""),"Educación Preescolar en Centros de Desarrollo Comunitarios")</f>
        <v>Educación Preescolar en Centros de Desarrollo Comunitarios</v>
      </c>
      <c r="F271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271" s="42" t="str">
        <f ca="1">IFERROR(__xludf.DUMMYFUNCTION("""COMPUTED_VALUE"""),"Promedio de niñas y niños que asisten al Preescolar en CDC,en 2023")</f>
        <v>Promedio de niñas y niños que asisten al Preescolar en CDC,en 2023</v>
      </c>
      <c r="H271" s="42" t="str">
        <f ca="1">IFERROR(__xludf.DUMMYFUNCTION("""COMPUTED_VALUE"""),"HOM Noviembre")</f>
        <v>HOM Noviembre</v>
      </c>
      <c r="I271" s="42" t="str">
        <f ca="1">IFERROR(__xludf.DUMMYFUNCTION("""COMPUTED_VALUE"""),"Noviembre")</f>
        <v>Noviembre</v>
      </c>
      <c r="J271" s="42" t="str">
        <f ca="1">IFERROR(__xludf.DUMMYFUNCTION("""COMPUTED_VALUE"""),"HOM")</f>
        <v>HOM</v>
      </c>
      <c r="K271" s="98"/>
      <c r="L271" s="42" t="str">
        <f ca="1">IFERROR(__xludf.DUMMYFUNCTION("""COMPUTED_VALUE"""),"TRIMESTRE 4")</f>
        <v>TRIMESTRE 4</v>
      </c>
      <c r="M271" s="42" t="str">
        <f ca="1">IFERROR(__xludf.DUMMYFUNCTION("""COMPUTED_VALUE"""),"HOMBRES ADULTOS")</f>
        <v>HOMBRES ADULTOS</v>
      </c>
    </row>
    <row r="272" spans="1:13">
      <c r="A272" s="42" t="str">
        <f ca="1">IFERROR(__xludf.DUMMYFUNCTION("""COMPUTED_VALUE"""),"#N/A")</f>
        <v>#N/A</v>
      </c>
      <c r="B272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72" s="42" t="str">
        <f ca="1">IFERROR(__xludf.DUMMYFUNCTION("""COMPUTED_VALUE"""),"3. Operación")</f>
        <v>3. Operación</v>
      </c>
      <c r="D272" s="42" t="str">
        <f ca="1">IFERROR(__xludf.DUMMYFUNCTION("""COMPUTED_VALUE"""),"Guadalajara en Paz")</f>
        <v>Guadalajara en Paz</v>
      </c>
      <c r="E272" s="42" t="str">
        <f ca="1">IFERROR(__xludf.DUMMYFUNCTION("""COMPUTED_VALUE"""),"Educación Preescolar en Centros de Desarrollo Comunitarios")</f>
        <v>Educación Preescolar en Centros de Desarrollo Comunitarios</v>
      </c>
      <c r="F272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272" s="42" t="str">
        <f ca="1">IFERROR(__xludf.DUMMYFUNCTION("""COMPUTED_VALUE"""),"Promedio de niñas y niños que asisten al Preescolar en CDC,en 2023")</f>
        <v>Promedio de niñas y niños que asisten al Preescolar en CDC,en 2023</v>
      </c>
      <c r="H272" s="42" t="str">
        <f ca="1">IFERROR(__xludf.DUMMYFUNCTION("""COMPUTED_VALUE"""),"AMM Noviembre")</f>
        <v>AMM Noviembre</v>
      </c>
      <c r="I272" s="42" t="str">
        <f ca="1">IFERROR(__xludf.DUMMYFUNCTION("""COMPUTED_VALUE"""),"Noviembre")</f>
        <v>Noviembre</v>
      </c>
      <c r="J272" s="42" t="str">
        <f ca="1">IFERROR(__xludf.DUMMYFUNCTION("""COMPUTED_VALUE"""),"AMM")</f>
        <v>AMM</v>
      </c>
      <c r="K272" s="98"/>
      <c r="L272" s="42" t="str">
        <f ca="1">IFERROR(__xludf.DUMMYFUNCTION("""COMPUTED_VALUE"""),"TRIMESTRE 4")</f>
        <v>TRIMESTRE 4</v>
      </c>
      <c r="M272" s="42" t="str">
        <f ca="1">IFERROR(__xludf.DUMMYFUNCTION("""COMPUTED_VALUE"""),"ADULTA MAYOR MUJER")</f>
        <v>ADULTA MAYOR MUJER</v>
      </c>
    </row>
    <row r="273" spans="1:13">
      <c r="A273" s="42" t="str">
        <f ca="1">IFERROR(__xludf.DUMMYFUNCTION("""COMPUTED_VALUE"""),"#N/A")</f>
        <v>#N/A</v>
      </c>
      <c r="B273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73" s="42" t="str">
        <f ca="1">IFERROR(__xludf.DUMMYFUNCTION("""COMPUTED_VALUE"""),"3. Operación")</f>
        <v>3. Operación</v>
      </c>
      <c r="D273" s="42" t="str">
        <f ca="1">IFERROR(__xludf.DUMMYFUNCTION("""COMPUTED_VALUE"""),"Guadalajara en Paz")</f>
        <v>Guadalajara en Paz</v>
      </c>
      <c r="E273" s="42" t="str">
        <f ca="1">IFERROR(__xludf.DUMMYFUNCTION("""COMPUTED_VALUE"""),"Educación Preescolar en Centros de Desarrollo Comunitarios")</f>
        <v>Educación Preescolar en Centros de Desarrollo Comunitarios</v>
      </c>
      <c r="F273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273" s="42" t="str">
        <f ca="1">IFERROR(__xludf.DUMMYFUNCTION("""COMPUTED_VALUE"""),"Promedio de niñas y niños que asisten al Preescolar en CDC,en 2023")</f>
        <v>Promedio de niñas y niños que asisten al Preescolar en CDC,en 2023</v>
      </c>
      <c r="H273" s="42" t="str">
        <f ca="1">IFERROR(__xludf.DUMMYFUNCTION("""COMPUTED_VALUE"""),"AMH Noviembre")</f>
        <v>AMH Noviembre</v>
      </c>
      <c r="I273" s="42" t="str">
        <f ca="1">IFERROR(__xludf.DUMMYFUNCTION("""COMPUTED_VALUE"""),"Noviembre")</f>
        <v>Noviembre</v>
      </c>
      <c r="J273" s="42" t="str">
        <f ca="1">IFERROR(__xludf.DUMMYFUNCTION("""COMPUTED_VALUE"""),"AMH")</f>
        <v>AMH</v>
      </c>
      <c r="K273" s="98"/>
      <c r="L273" s="42" t="str">
        <f ca="1">IFERROR(__xludf.DUMMYFUNCTION("""COMPUTED_VALUE"""),"TRIMESTRE 4")</f>
        <v>TRIMESTRE 4</v>
      </c>
      <c r="M273" s="42" t="str">
        <f ca="1">IFERROR(__xludf.DUMMYFUNCTION("""COMPUTED_VALUE"""),"ADULTO MAYOR HOMBRE")</f>
        <v>ADULTO MAYOR HOMBRE</v>
      </c>
    </row>
    <row r="274" spans="1:13">
      <c r="A274" s="42" t="str">
        <f ca="1">IFERROR(__xludf.DUMMYFUNCTION("""COMPUTED_VALUE"""),"2.1.1.16")</f>
        <v>2.1.1.16</v>
      </c>
      <c r="B274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74" s="42" t="str">
        <f ca="1">IFERROR(__xludf.DUMMYFUNCTION("""COMPUTED_VALUE"""),"3. Operación")</f>
        <v>3. Operación</v>
      </c>
      <c r="D274" s="42" t="str">
        <f ca="1">IFERROR(__xludf.DUMMYFUNCTION("""COMPUTED_VALUE"""),"Guadalajara en Paz")</f>
        <v>Guadalajara en Paz</v>
      </c>
      <c r="E274" s="42" t="str">
        <f ca="1">IFERROR(__xludf.DUMMYFUNCTION("""COMPUTED_VALUE"""),"Educación Preescolar en Centros de Desarrollo Comunitarios")</f>
        <v>Educación Preescolar en Centros de Desarrollo Comunitarios</v>
      </c>
      <c r="F274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274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274" s="42" t="str">
        <f ca="1">IFERROR(__xludf.DUMMYFUNCTION("""COMPUTED_VALUE"""),"NAS Diciembre")</f>
        <v>NAS Diciembre</v>
      </c>
      <c r="I274" s="42" t="str">
        <f ca="1">IFERROR(__xludf.DUMMYFUNCTION("""COMPUTED_VALUE"""),"Diciembre")</f>
        <v>Diciembre</v>
      </c>
      <c r="J274" s="42" t="str">
        <f ca="1">IFERROR(__xludf.DUMMYFUNCTION("""COMPUTED_VALUE"""),"NAS")</f>
        <v>NAS</v>
      </c>
      <c r="K274" s="98"/>
      <c r="L274" s="42" t="str">
        <f ca="1">IFERROR(__xludf.DUMMYFUNCTION("""COMPUTED_VALUE"""),"TRIMESTRE 4")</f>
        <v>TRIMESTRE 4</v>
      </c>
      <c r="M274" s="42" t="str">
        <f ca="1">IFERROR(__xludf.DUMMYFUNCTION("""COMPUTED_VALUE"""),"NIÑAS")</f>
        <v>NIÑAS</v>
      </c>
    </row>
    <row r="275" spans="1:13">
      <c r="A275" s="42" t="str">
        <f ca="1">IFERROR(__xludf.DUMMYFUNCTION("""COMPUTED_VALUE"""),"2.1.1.16")</f>
        <v>2.1.1.16</v>
      </c>
      <c r="B275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75" s="42" t="str">
        <f ca="1">IFERROR(__xludf.DUMMYFUNCTION("""COMPUTED_VALUE"""),"3. Operación")</f>
        <v>3. Operación</v>
      </c>
      <c r="D275" s="42" t="str">
        <f ca="1">IFERROR(__xludf.DUMMYFUNCTION("""COMPUTED_VALUE"""),"Guadalajara en Paz")</f>
        <v>Guadalajara en Paz</v>
      </c>
      <c r="E275" s="42" t="str">
        <f ca="1">IFERROR(__xludf.DUMMYFUNCTION("""COMPUTED_VALUE"""),"Educación Preescolar en Centros de Desarrollo Comunitarios")</f>
        <v>Educación Preescolar en Centros de Desarrollo Comunitarios</v>
      </c>
      <c r="F275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275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275" s="42" t="str">
        <f ca="1">IFERROR(__xludf.DUMMYFUNCTION("""COMPUTED_VALUE"""),"NOS Diciembre")</f>
        <v>NOS Diciembre</v>
      </c>
      <c r="I275" s="42" t="str">
        <f ca="1">IFERROR(__xludf.DUMMYFUNCTION("""COMPUTED_VALUE"""),"Diciembre")</f>
        <v>Diciembre</v>
      </c>
      <c r="J275" s="42" t="str">
        <f ca="1">IFERROR(__xludf.DUMMYFUNCTION("""COMPUTED_VALUE"""),"NOS")</f>
        <v>NOS</v>
      </c>
      <c r="K275" s="98"/>
      <c r="L275" s="42" t="str">
        <f ca="1">IFERROR(__xludf.DUMMYFUNCTION("""COMPUTED_VALUE"""),"TRIMESTRE 4")</f>
        <v>TRIMESTRE 4</v>
      </c>
      <c r="M275" s="42" t="str">
        <f ca="1">IFERROR(__xludf.DUMMYFUNCTION("""COMPUTED_VALUE"""),"NIÑOS")</f>
        <v>NIÑOS</v>
      </c>
    </row>
    <row r="276" spans="1:13">
      <c r="A276" s="42" t="str">
        <f ca="1">IFERROR(__xludf.DUMMYFUNCTION("""COMPUTED_VALUE"""),"2.1.1.16")</f>
        <v>2.1.1.16</v>
      </c>
      <c r="B276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76" s="42" t="str">
        <f ca="1">IFERROR(__xludf.DUMMYFUNCTION("""COMPUTED_VALUE"""),"3. Operación")</f>
        <v>3. Operación</v>
      </c>
      <c r="D276" s="42" t="str">
        <f ca="1">IFERROR(__xludf.DUMMYFUNCTION("""COMPUTED_VALUE"""),"Guadalajara en Paz")</f>
        <v>Guadalajara en Paz</v>
      </c>
      <c r="E276" s="42" t="str">
        <f ca="1">IFERROR(__xludf.DUMMYFUNCTION("""COMPUTED_VALUE"""),"Educación Preescolar en Centros de Desarrollo Comunitarios")</f>
        <v>Educación Preescolar en Centros de Desarrollo Comunitarios</v>
      </c>
      <c r="F276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276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276" s="42" t="str">
        <f ca="1">IFERROR(__xludf.DUMMYFUNCTION("""COMPUTED_VALUE"""),"AM DICIEMBRE")</f>
        <v>AM DICIEMBRE</v>
      </c>
      <c r="I276" s="42" t="str">
        <f ca="1">IFERROR(__xludf.DUMMYFUNCTION("""COMPUTED_VALUE"""),"Diciembre")</f>
        <v>Diciembre</v>
      </c>
      <c r="J276" s="42" t="str">
        <f ca="1">IFERROR(__xludf.DUMMYFUNCTION("""COMPUTED_VALUE"""),"AM")</f>
        <v>AM</v>
      </c>
      <c r="K276" s="98"/>
      <c r="L276" s="42" t="str">
        <f ca="1">IFERROR(__xludf.DUMMYFUNCTION("""COMPUTED_VALUE"""),"TRIMESTRE 4")</f>
        <v>TRIMESTRE 4</v>
      </c>
      <c r="M276" s="42" t="str">
        <f ca="1">IFERROR(__xludf.DUMMYFUNCTION("""COMPUTED_VALUE"""),"ADOLESCENTES MUJERES")</f>
        <v>ADOLESCENTES MUJERES</v>
      </c>
    </row>
    <row r="277" spans="1:13">
      <c r="A277" s="42" t="str">
        <f ca="1">IFERROR(__xludf.DUMMYFUNCTION("""COMPUTED_VALUE"""),"2.1.1.16")</f>
        <v>2.1.1.16</v>
      </c>
      <c r="B277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77" s="42" t="str">
        <f ca="1">IFERROR(__xludf.DUMMYFUNCTION("""COMPUTED_VALUE"""),"3. Operación")</f>
        <v>3. Operación</v>
      </c>
      <c r="D277" s="42" t="str">
        <f ca="1">IFERROR(__xludf.DUMMYFUNCTION("""COMPUTED_VALUE"""),"Guadalajara en Paz")</f>
        <v>Guadalajara en Paz</v>
      </c>
      <c r="E277" s="42" t="str">
        <f ca="1">IFERROR(__xludf.DUMMYFUNCTION("""COMPUTED_VALUE"""),"Educación Preescolar en Centros de Desarrollo Comunitarios")</f>
        <v>Educación Preescolar en Centros de Desarrollo Comunitarios</v>
      </c>
      <c r="F277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277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277" s="42" t="str">
        <f ca="1">IFERROR(__xludf.DUMMYFUNCTION("""COMPUTED_VALUE"""),"AH DICIEMBRE")</f>
        <v>AH DICIEMBRE</v>
      </c>
      <c r="I277" s="42" t="str">
        <f ca="1">IFERROR(__xludf.DUMMYFUNCTION("""COMPUTED_VALUE"""),"Diciembre")</f>
        <v>Diciembre</v>
      </c>
      <c r="J277" s="42" t="str">
        <f ca="1">IFERROR(__xludf.DUMMYFUNCTION("""COMPUTED_VALUE"""),"AH")</f>
        <v>AH</v>
      </c>
      <c r="K277" s="98"/>
      <c r="L277" s="42" t="str">
        <f ca="1">IFERROR(__xludf.DUMMYFUNCTION("""COMPUTED_VALUE"""),"TRIMESTRE 4")</f>
        <v>TRIMESTRE 4</v>
      </c>
      <c r="M277" s="42" t="str">
        <f ca="1">IFERROR(__xludf.DUMMYFUNCTION("""COMPUTED_VALUE"""),"ADOLESCENTES HOMBRES")</f>
        <v>ADOLESCENTES HOMBRES</v>
      </c>
    </row>
    <row r="278" spans="1:13">
      <c r="A278" s="42" t="str">
        <f ca="1">IFERROR(__xludf.DUMMYFUNCTION("""COMPUTED_VALUE"""),"2.1.1.16")</f>
        <v>2.1.1.16</v>
      </c>
      <c r="B278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78" s="42" t="str">
        <f ca="1">IFERROR(__xludf.DUMMYFUNCTION("""COMPUTED_VALUE"""),"3. Operación")</f>
        <v>3. Operación</v>
      </c>
      <c r="D278" s="42" t="str">
        <f ca="1">IFERROR(__xludf.DUMMYFUNCTION("""COMPUTED_VALUE"""),"Guadalajara en Paz")</f>
        <v>Guadalajara en Paz</v>
      </c>
      <c r="E278" s="42" t="str">
        <f ca="1">IFERROR(__xludf.DUMMYFUNCTION("""COMPUTED_VALUE"""),"Educación Preescolar en Centros de Desarrollo Comunitarios")</f>
        <v>Educación Preescolar en Centros de Desarrollo Comunitarios</v>
      </c>
      <c r="F278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278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278" s="42" t="str">
        <f ca="1">IFERROR(__xludf.DUMMYFUNCTION("""COMPUTED_VALUE"""),"MUJ Diciembre")</f>
        <v>MUJ Diciembre</v>
      </c>
      <c r="I278" s="42" t="str">
        <f ca="1">IFERROR(__xludf.DUMMYFUNCTION("""COMPUTED_VALUE"""),"Diciembre")</f>
        <v>Diciembre</v>
      </c>
      <c r="J278" s="42" t="str">
        <f ca="1">IFERROR(__xludf.DUMMYFUNCTION("""COMPUTED_VALUE"""),"MUJ")</f>
        <v>MUJ</v>
      </c>
      <c r="K278" s="98"/>
      <c r="L278" s="42" t="str">
        <f ca="1">IFERROR(__xludf.DUMMYFUNCTION("""COMPUTED_VALUE"""),"TRIMESTRE 4")</f>
        <v>TRIMESTRE 4</v>
      </c>
      <c r="M278" s="42" t="str">
        <f ca="1">IFERROR(__xludf.DUMMYFUNCTION("""COMPUTED_VALUE"""),"MUJERES ADULTAS")</f>
        <v>MUJERES ADULTAS</v>
      </c>
    </row>
    <row r="279" spans="1:13">
      <c r="A279" s="42" t="str">
        <f ca="1">IFERROR(__xludf.DUMMYFUNCTION("""COMPUTED_VALUE"""),"2.1.1.16")</f>
        <v>2.1.1.16</v>
      </c>
      <c r="B279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79" s="42" t="str">
        <f ca="1">IFERROR(__xludf.DUMMYFUNCTION("""COMPUTED_VALUE"""),"3. Operación")</f>
        <v>3. Operación</v>
      </c>
      <c r="D279" s="42" t="str">
        <f ca="1">IFERROR(__xludf.DUMMYFUNCTION("""COMPUTED_VALUE"""),"Guadalajara en Paz")</f>
        <v>Guadalajara en Paz</v>
      </c>
      <c r="E279" s="42" t="str">
        <f ca="1">IFERROR(__xludf.DUMMYFUNCTION("""COMPUTED_VALUE"""),"Educación Preescolar en Centros de Desarrollo Comunitarios")</f>
        <v>Educación Preescolar en Centros de Desarrollo Comunitarios</v>
      </c>
      <c r="F279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279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279" s="42" t="str">
        <f ca="1">IFERROR(__xludf.DUMMYFUNCTION("""COMPUTED_VALUE"""),"HOM Diciembre")</f>
        <v>HOM Diciembre</v>
      </c>
      <c r="I279" s="42" t="str">
        <f ca="1">IFERROR(__xludf.DUMMYFUNCTION("""COMPUTED_VALUE"""),"Diciembre")</f>
        <v>Diciembre</v>
      </c>
      <c r="J279" s="42" t="str">
        <f ca="1">IFERROR(__xludf.DUMMYFUNCTION("""COMPUTED_VALUE"""),"HOM")</f>
        <v>HOM</v>
      </c>
      <c r="K279" s="98"/>
      <c r="L279" s="42" t="str">
        <f ca="1">IFERROR(__xludf.DUMMYFUNCTION("""COMPUTED_VALUE"""),"TRIMESTRE 4")</f>
        <v>TRIMESTRE 4</v>
      </c>
      <c r="M279" s="42" t="str">
        <f ca="1">IFERROR(__xludf.DUMMYFUNCTION("""COMPUTED_VALUE"""),"HOMBRES ADULTOS")</f>
        <v>HOMBRES ADULTOS</v>
      </c>
    </row>
    <row r="280" spans="1:13">
      <c r="A280" s="42" t="str">
        <f ca="1">IFERROR(__xludf.DUMMYFUNCTION("""COMPUTED_VALUE"""),"2.1.1.16")</f>
        <v>2.1.1.16</v>
      </c>
      <c r="B280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80" s="42" t="str">
        <f ca="1">IFERROR(__xludf.DUMMYFUNCTION("""COMPUTED_VALUE"""),"3. Operación")</f>
        <v>3. Operación</v>
      </c>
      <c r="D280" s="42" t="str">
        <f ca="1">IFERROR(__xludf.DUMMYFUNCTION("""COMPUTED_VALUE"""),"Guadalajara en Paz")</f>
        <v>Guadalajara en Paz</v>
      </c>
      <c r="E280" s="42" t="str">
        <f ca="1">IFERROR(__xludf.DUMMYFUNCTION("""COMPUTED_VALUE"""),"Educación Preescolar en Centros de Desarrollo Comunitarios")</f>
        <v>Educación Preescolar en Centros de Desarrollo Comunitarios</v>
      </c>
      <c r="F280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280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280" s="42" t="str">
        <f ca="1">IFERROR(__xludf.DUMMYFUNCTION("""COMPUTED_VALUE"""),"AMM Diciembre")</f>
        <v>AMM Diciembre</v>
      </c>
      <c r="I280" s="42" t="str">
        <f ca="1">IFERROR(__xludf.DUMMYFUNCTION("""COMPUTED_VALUE"""),"Diciembre")</f>
        <v>Diciembre</v>
      </c>
      <c r="J280" s="42" t="str">
        <f ca="1">IFERROR(__xludf.DUMMYFUNCTION("""COMPUTED_VALUE"""),"AMM")</f>
        <v>AMM</v>
      </c>
      <c r="K280" s="98"/>
      <c r="L280" s="42" t="str">
        <f ca="1">IFERROR(__xludf.DUMMYFUNCTION("""COMPUTED_VALUE"""),"TRIMESTRE 4")</f>
        <v>TRIMESTRE 4</v>
      </c>
      <c r="M280" s="42" t="str">
        <f ca="1">IFERROR(__xludf.DUMMYFUNCTION("""COMPUTED_VALUE"""),"ADULTA MAYOR MUJER")</f>
        <v>ADULTA MAYOR MUJER</v>
      </c>
    </row>
    <row r="281" spans="1:13">
      <c r="A281" s="42" t="str">
        <f ca="1">IFERROR(__xludf.DUMMYFUNCTION("""COMPUTED_VALUE"""),"2.1.1.16")</f>
        <v>2.1.1.16</v>
      </c>
      <c r="B281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81" s="42" t="str">
        <f ca="1">IFERROR(__xludf.DUMMYFUNCTION("""COMPUTED_VALUE"""),"3. Operación")</f>
        <v>3. Operación</v>
      </c>
      <c r="D281" s="42" t="str">
        <f ca="1">IFERROR(__xludf.DUMMYFUNCTION("""COMPUTED_VALUE"""),"Guadalajara en Paz")</f>
        <v>Guadalajara en Paz</v>
      </c>
      <c r="E281" s="42" t="str">
        <f ca="1">IFERROR(__xludf.DUMMYFUNCTION("""COMPUTED_VALUE"""),"Educación Preescolar en Centros de Desarrollo Comunitarios")</f>
        <v>Educación Preescolar en Centros de Desarrollo Comunitarios</v>
      </c>
      <c r="F281" s="42" t="str">
        <f ca="1">IFERROR(__xludf.DUMMYFUNCTION("""COMPUTED_VALUE"""),"A16C1, Niñas y niños en condición de vulnerabilidad económica que terminaron ciclo escolar de nivel preescolar en 2023")</f>
        <v>A16C1, Niñas y niños en condición de vulnerabilidad económica que terminaron ciclo escolar de nivel preescolar en 2023</v>
      </c>
      <c r="G281" s="42" t="str">
        <f ca="1">IFERROR(__xludf.DUMMYFUNCTION("""COMPUTED_VALUE"""),"Porcentaje de eficiencia terminal de las niñas y niños que asisten al Preescolar en CDC, en 2023")</f>
        <v>Porcentaje de eficiencia terminal de las niñas y niños que asisten al Preescolar en CDC, en 2023</v>
      </c>
      <c r="H281" s="42" t="str">
        <f ca="1">IFERROR(__xludf.DUMMYFUNCTION("""COMPUTED_VALUE"""),"AMH Diciembre")</f>
        <v>AMH Diciembre</v>
      </c>
      <c r="I281" s="42" t="str">
        <f ca="1">IFERROR(__xludf.DUMMYFUNCTION("""COMPUTED_VALUE"""),"Diciembre")</f>
        <v>Diciembre</v>
      </c>
      <c r="J281" s="42" t="str">
        <f ca="1">IFERROR(__xludf.DUMMYFUNCTION("""COMPUTED_VALUE"""),"AMH")</f>
        <v>AMH</v>
      </c>
      <c r="K281" s="98"/>
      <c r="L281" s="42" t="str">
        <f ca="1">IFERROR(__xludf.DUMMYFUNCTION("""COMPUTED_VALUE"""),"TRIMESTRE 4")</f>
        <v>TRIMESTRE 4</v>
      </c>
      <c r="M281" s="42" t="str">
        <f ca="1">IFERROR(__xludf.DUMMYFUNCTION("""COMPUTED_VALUE"""),"ADULTO MAYOR HOMBRE")</f>
        <v>ADULTO MAYOR HOMBRE</v>
      </c>
    </row>
    <row r="282" spans="1:13">
      <c r="A282" s="42" t="str">
        <f ca="1">IFERROR(__xludf.DUMMYFUNCTION("""COMPUTED_VALUE"""),"#N/A")</f>
        <v>#N/A</v>
      </c>
      <c r="B282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82" s="42" t="str">
        <f ca="1">IFERROR(__xludf.DUMMYFUNCTION("""COMPUTED_VALUE"""),"3. Operación")</f>
        <v>3. Operación</v>
      </c>
      <c r="D282" s="42" t="str">
        <f ca="1">IFERROR(__xludf.DUMMYFUNCTION("""COMPUTED_VALUE"""),"Guadalajara en Paz")</f>
        <v>Guadalajara en Paz</v>
      </c>
      <c r="E282" s="42" t="str">
        <f ca="1">IFERROR(__xludf.DUMMYFUNCTION("""COMPUTED_VALUE"""),"Educación Preescolar en Centros de Desarrollo Comunitarios")</f>
        <v>Educación Preescolar en Centros de Desarrollo Comunitarios</v>
      </c>
      <c r="F282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282" s="42" t="str">
        <f ca="1">IFERROR(__xludf.DUMMYFUNCTION("""COMPUTED_VALUE"""),"Promedio de niñas y niños que asisten al Preescolar en CDC,en 2023")</f>
        <v>Promedio de niñas y niños que asisten al Preescolar en CDC,en 2023</v>
      </c>
      <c r="H282" s="42" t="str">
        <f ca="1">IFERROR(__xludf.DUMMYFUNCTION("""COMPUTED_VALUE"""),"NAS Diciembre")</f>
        <v>NAS Diciembre</v>
      </c>
      <c r="I282" s="42" t="str">
        <f ca="1">IFERROR(__xludf.DUMMYFUNCTION("""COMPUTED_VALUE"""),"Diciembre")</f>
        <v>Diciembre</v>
      </c>
      <c r="J282" s="42" t="str">
        <f ca="1">IFERROR(__xludf.DUMMYFUNCTION("""COMPUTED_VALUE"""),"NAS")</f>
        <v>NAS</v>
      </c>
      <c r="K282" s="98"/>
      <c r="L282" s="42" t="str">
        <f ca="1">IFERROR(__xludf.DUMMYFUNCTION("""COMPUTED_VALUE"""),"TRIMESTRE 4")</f>
        <v>TRIMESTRE 4</v>
      </c>
      <c r="M282" s="42" t="str">
        <f ca="1">IFERROR(__xludf.DUMMYFUNCTION("""COMPUTED_VALUE"""),"NIÑAS")</f>
        <v>NIÑAS</v>
      </c>
    </row>
    <row r="283" spans="1:13">
      <c r="A283" s="42" t="str">
        <f ca="1">IFERROR(__xludf.DUMMYFUNCTION("""COMPUTED_VALUE"""),"#N/A")</f>
        <v>#N/A</v>
      </c>
      <c r="B283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83" s="42" t="str">
        <f ca="1">IFERROR(__xludf.DUMMYFUNCTION("""COMPUTED_VALUE"""),"3. Operación")</f>
        <v>3. Operación</v>
      </c>
      <c r="D283" s="42" t="str">
        <f ca="1">IFERROR(__xludf.DUMMYFUNCTION("""COMPUTED_VALUE"""),"Guadalajara en Paz")</f>
        <v>Guadalajara en Paz</v>
      </c>
      <c r="E283" s="42" t="str">
        <f ca="1">IFERROR(__xludf.DUMMYFUNCTION("""COMPUTED_VALUE"""),"Educación Preescolar en Centros de Desarrollo Comunitarios")</f>
        <v>Educación Preescolar en Centros de Desarrollo Comunitarios</v>
      </c>
      <c r="F283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283" s="42" t="str">
        <f ca="1">IFERROR(__xludf.DUMMYFUNCTION("""COMPUTED_VALUE"""),"Promedio de niñas y niños que asisten al Preescolar en CDC,en 2023")</f>
        <v>Promedio de niñas y niños que asisten al Preescolar en CDC,en 2023</v>
      </c>
      <c r="H283" s="42" t="str">
        <f ca="1">IFERROR(__xludf.DUMMYFUNCTION("""COMPUTED_VALUE"""),"NOS Diciembre")</f>
        <v>NOS Diciembre</v>
      </c>
      <c r="I283" s="42" t="str">
        <f ca="1">IFERROR(__xludf.DUMMYFUNCTION("""COMPUTED_VALUE"""),"Diciembre")</f>
        <v>Diciembre</v>
      </c>
      <c r="J283" s="42" t="str">
        <f ca="1">IFERROR(__xludf.DUMMYFUNCTION("""COMPUTED_VALUE"""),"NOS")</f>
        <v>NOS</v>
      </c>
      <c r="K283" s="98"/>
      <c r="L283" s="42" t="str">
        <f ca="1">IFERROR(__xludf.DUMMYFUNCTION("""COMPUTED_VALUE"""),"TRIMESTRE 4")</f>
        <v>TRIMESTRE 4</v>
      </c>
      <c r="M283" s="42" t="str">
        <f ca="1">IFERROR(__xludf.DUMMYFUNCTION("""COMPUTED_VALUE"""),"NIÑOS")</f>
        <v>NIÑOS</v>
      </c>
    </row>
    <row r="284" spans="1:13">
      <c r="A284" s="42" t="str">
        <f ca="1">IFERROR(__xludf.DUMMYFUNCTION("""COMPUTED_VALUE"""),"#N/A")</f>
        <v>#N/A</v>
      </c>
      <c r="B284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84" s="42" t="str">
        <f ca="1">IFERROR(__xludf.DUMMYFUNCTION("""COMPUTED_VALUE"""),"3. Operación")</f>
        <v>3. Operación</v>
      </c>
      <c r="D284" s="42" t="str">
        <f ca="1">IFERROR(__xludf.DUMMYFUNCTION("""COMPUTED_VALUE"""),"Guadalajara en Paz")</f>
        <v>Guadalajara en Paz</v>
      </c>
      <c r="E284" s="42" t="str">
        <f ca="1">IFERROR(__xludf.DUMMYFUNCTION("""COMPUTED_VALUE"""),"Educación Preescolar en Centros de Desarrollo Comunitarios")</f>
        <v>Educación Preescolar en Centros de Desarrollo Comunitarios</v>
      </c>
      <c r="F284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284" s="42" t="str">
        <f ca="1">IFERROR(__xludf.DUMMYFUNCTION("""COMPUTED_VALUE"""),"Promedio de niñas y niños que asisten al Preescolar en CDC,en 2023")</f>
        <v>Promedio de niñas y niños que asisten al Preescolar en CDC,en 2023</v>
      </c>
      <c r="H284" s="42" t="str">
        <f ca="1">IFERROR(__xludf.DUMMYFUNCTION("""COMPUTED_VALUE"""),"AM DICIEMBRE")</f>
        <v>AM DICIEMBRE</v>
      </c>
      <c r="I284" s="42" t="str">
        <f ca="1">IFERROR(__xludf.DUMMYFUNCTION("""COMPUTED_VALUE"""),"Diciembre")</f>
        <v>Diciembre</v>
      </c>
      <c r="J284" s="42" t="str">
        <f ca="1">IFERROR(__xludf.DUMMYFUNCTION("""COMPUTED_VALUE"""),"AM")</f>
        <v>AM</v>
      </c>
      <c r="K284" s="98"/>
      <c r="L284" s="42" t="str">
        <f ca="1">IFERROR(__xludf.DUMMYFUNCTION("""COMPUTED_VALUE"""),"TRIMESTRE 4")</f>
        <v>TRIMESTRE 4</v>
      </c>
      <c r="M284" s="42" t="str">
        <f ca="1">IFERROR(__xludf.DUMMYFUNCTION("""COMPUTED_VALUE"""),"ADOLESCENTES MUJERES")</f>
        <v>ADOLESCENTES MUJERES</v>
      </c>
    </row>
    <row r="285" spans="1:13">
      <c r="A285" s="42" t="str">
        <f ca="1">IFERROR(__xludf.DUMMYFUNCTION("""COMPUTED_VALUE"""),"#N/A")</f>
        <v>#N/A</v>
      </c>
      <c r="B285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85" s="42" t="str">
        <f ca="1">IFERROR(__xludf.DUMMYFUNCTION("""COMPUTED_VALUE"""),"3. Operación")</f>
        <v>3. Operación</v>
      </c>
      <c r="D285" s="42" t="str">
        <f ca="1">IFERROR(__xludf.DUMMYFUNCTION("""COMPUTED_VALUE"""),"Guadalajara en Paz")</f>
        <v>Guadalajara en Paz</v>
      </c>
      <c r="E285" s="42" t="str">
        <f ca="1">IFERROR(__xludf.DUMMYFUNCTION("""COMPUTED_VALUE"""),"Educación Preescolar en Centros de Desarrollo Comunitarios")</f>
        <v>Educación Preescolar en Centros de Desarrollo Comunitarios</v>
      </c>
      <c r="F285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285" s="42" t="str">
        <f ca="1">IFERROR(__xludf.DUMMYFUNCTION("""COMPUTED_VALUE"""),"Promedio de niñas y niños que asisten al Preescolar en CDC,en 2023")</f>
        <v>Promedio de niñas y niños que asisten al Preescolar en CDC,en 2023</v>
      </c>
      <c r="H285" s="42" t="str">
        <f ca="1">IFERROR(__xludf.DUMMYFUNCTION("""COMPUTED_VALUE"""),"AH DICIEMBRE")</f>
        <v>AH DICIEMBRE</v>
      </c>
      <c r="I285" s="42" t="str">
        <f ca="1">IFERROR(__xludf.DUMMYFUNCTION("""COMPUTED_VALUE"""),"Diciembre")</f>
        <v>Diciembre</v>
      </c>
      <c r="J285" s="42" t="str">
        <f ca="1">IFERROR(__xludf.DUMMYFUNCTION("""COMPUTED_VALUE"""),"AH")</f>
        <v>AH</v>
      </c>
      <c r="K285" s="98"/>
      <c r="L285" s="42" t="str">
        <f ca="1">IFERROR(__xludf.DUMMYFUNCTION("""COMPUTED_VALUE"""),"TRIMESTRE 4")</f>
        <v>TRIMESTRE 4</v>
      </c>
      <c r="M285" s="42" t="str">
        <f ca="1">IFERROR(__xludf.DUMMYFUNCTION("""COMPUTED_VALUE"""),"ADOLESCENTES HOMBRES")</f>
        <v>ADOLESCENTES HOMBRES</v>
      </c>
    </row>
    <row r="286" spans="1:13">
      <c r="A286" s="42" t="str">
        <f ca="1">IFERROR(__xludf.DUMMYFUNCTION("""COMPUTED_VALUE"""),"#N/A")</f>
        <v>#N/A</v>
      </c>
      <c r="B286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86" s="42" t="str">
        <f ca="1">IFERROR(__xludf.DUMMYFUNCTION("""COMPUTED_VALUE"""),"3. Operación")</f>
        <v>3. Operación</v>
      </c>
      <c r="D286" s="42" t="str">
        <f ca="1">IFERROR(__xludf.DUMMYFUNCTION("""COMPUTED_VALUE"""),"Guadalajara en Paz")</f>
        <v>Guadalajara en Paz</v>
      </c>
      <c r="E286" s="42" t="str">
        <f ca="1">IFERROR(__xludf.DUMMYFUNCTION("""COMPUTED_VALUE"""),"Educación Preescolar en Centros de Desarrollo Comunitarios")</f>
        <v>Educación Preescolar en Centros de Desarrollo Comunitarios</v>
      </c>
      <c r="F286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286" s="42" t="str">
        <f ca="1">IFERROR(__xludf.DUMMYFUNCTION("""COMPUTED_VALUE"""),"Promedio de niñas y niños que asisten al Preescolar en CDC,en 2023")</f>
        <v>Promedio de niñas y niños que asisten al Preescolar en CDC,en 2023</v>
      </c>
      <c r="H286" s="42" t="str">
        <f ca="1">IFERROR(__xludf.DUMMYFUNCTION("""COMPUTED_VALUE"""),"MUJ Diciembre")</f>
        <v>MUJ Diciembre</v>
      </c>
      <c r="I286" s="42" t="str">
        <f ca="1">IFERROR(__xludf.DUMMYFUNCTION("""COMPUTED_VALUE"""),"Diciembre")</f>
        <v>Diciembre</v>
      </c>
      <c r="J286" s="42" t="str">
        <f ca="1">IFERROR(__xludf.DUMMYFUNCTION("""COMPUTED_VALUE"""),"MUJ")</f>
        <v>MUJ</v>
      </c>
      <c r="K286" s="98"/>
      <c r="L286" s="42" t="str">
        <f ca="1">IFERROR(__xludf.DUMMYFUNCTION("""COMPUTED_VALUE"""),"TRIMESTRE 4")</f>
        <v>TRIMESTRE 4</v>
      </c>
      <c r="M286" s="42" t="str">
        <f ca="1">IFERROR(__xludf.DUMMYFUNCTION("""COMPUTED_VALUE"""),"MUJERES ADULTAS")</f>
        <v>MUJERES ADULTAS</v>
      </c>
    </row>
    <row r="287" spans="1:13">
      <c r="A287" s="42" t="str">
        <f ca="1">IFERROR(__xludf.DUMMYFUNCTION("""COMPUTED_VALUE"""),"#N/A")</f>
        <v>#N/A</v>
      </c>
      <c r="B287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87" s="42" t="str">
        <f ca="1">IFERROR(__xludf.DUMMYFUNCTION("""COMPUTED_VALUE"""),"3. Operación")</f>
        <v>3. Operación</v>
      </c>
      <c r="D287" s="42" t="str">
        <f ca="1">IFERROR(__xludf.DUMMYFUNCTION("""COMPUTED_VALUE"""),"Guadalajara en Paz")</f>
        <v>Guadalajara en Paz</v>
      </c>
      <c r="E287" s="42" t="str">
        <f ca="1">IFERROR(__xludf.DUMMYFUNCTION("""COMPUTED_VALUE"""),"Educación Preescolar en Centros de Desarrollo Comunitarios")</f>
        <v>Educación Preescolar en Centros de Desarrollo Comunitarios</v>
      </c>
      <c r="F287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287" s="42" t="str">
        <f ca="1">IFERROR(__xludf.DUMMYFUNCTION("""COMPUTED_VALUE"""),"Promedio de niñas y niños que asisten al Preescolar en CDC,en 2023")</f>
        <v>Promedio de niñas y niños que asisten al Preescolar en CDC,en 2023</v>
      </c>
      <c r="H287" s="42" t="str">
        <f ca="1">IFERROR(__xludf.DUMMYFUNCTION("""COMPUTED_VALUE"""),"HOM Diciembre")</f>
        <v>HOM Diciembre</v>
      </c>
      <c r="I287" s="42" t="str">
        <f ca="1">IFERROR(__xludf.DUMMYFUNCTION("""COMPUTED_VALUE"""),"Diciembre")</f>
        <v>Diciembre</v>
      </c>
      <c r="J287" s="42" t="str">
        <f ca="1">IFERROR(__xludf.DUMMYFUNCTION("""COMPUTED_VALUE"""),"HOM")</f>
        <v>HOM</v>
      </c>
      <c r="K287" s="98"/>
      <c r="L287" s="42" t="str">
        <f ca="1">IFERROR(__xludf.DUMMYFUNCTION("""COMPUTED_VALUE"""),"TRIMESTRE 4")</f>
        <v>TRIMESTRE 4</v>
      </c>
      <c r="M287" s="42" t="str">
        <f ca="1">IFERROR(__xludf.DUMMYFUNCTION("""COMPUTED_VALUE"""),"HOMBRES ADULTOS")</f>
        <v>HOMBRES ADULTOS</v>
      </c>
    </row>
    <row r="288" spans="1:13">
      <c r="A288" s="42" t="str">
        <f ca="1">IFERROR(__xludf.DUMMYFUNCTION("""COMPUTED_VALUE"""),"#N/A")</f>
        <v>#N/A</v>
      </c>
      <c r="B288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88" s="42" t="str">
        <f ca="1">IFERROR(__xludf.DUMMYFUNCTION("""COMPUTED_VALUE"""),"3. Operación")</f>
        <v>3. Operación</v>
      </c>
      <c r="D288" s="42" t="str">
        <f ca="1">IFERROR(__xludf.DUMMYFUNCTION("""COMPUTED_VALUE"""),"Guadalajara en Paz")</f>
        <v>Guadalajara en Paz</v>
      </c>
      <c r="E288" s="42" t="str">
        <f ca="1">IFERROR(__xludf.DUMMYFUNCTION("""COMPUTED_VALUE"""),"Educación Preescolar en Centros de Desarrollo Comunitarios")</f>
        <v>Educación Preescolar en Centros de Desarrollo Comunitarios</v>
      </c>
      <c r="F288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288" s="42" t="str">
        <f ca="1">IFERROR(__xludf.DUMMYFUNCTION("""COMPUTED_VALUE"""),"Promedio de niñas y niños que asisten al Preescolar en CDC,en 2023")</f>
        <v>Promedio de niñas y niños que asisten al Preescolar en CDC,en 2023</v>
      </c>
      <c r="H288" s="42" t="str">
        <f ca="1">IFERROR(__xludf.DUMMYFUNCTION("""COMPUTED_VALUE"""),"AMM Diciembre")</f>
        <v>AMM Diciembre</v>
      </c>
      <c r="I288" s="42" t="str">
        <f ca="1">IFERROR(__xludf.DUMMYFUNCTION("""COMPUTED_VALUE"""),"Diciembre")</f>
        <v>Diciembre</v>
      </c>
      <c r="J288" s="42" t="str">
        <f ca="1">IFERROR(__xludf.DUMMYFUNCTION("""COMPUTED_VALUE"""),"AMM")</f>
        <v>AMM</v>
      </c>
      <c r="K288" s="98"/>
      <c r="L288" s="42" t="str">
        <f ca="1">IFERROR(__xludf.DUMMYFUNCTION("""COMPUTED_VALUE"""),"TRIMESTRE 4")</f>
        <v>TRIMESTRE 4</v>
      </c>
      <c r="M288" s="42" t="str">
        <f ca="1">IFERROR(__xludf.DUMMYFUNCTION("""COMPUTED_VALUE"""),"ADULTA MAYOR MUJER")</f>
        <v>ADULTA MAYOR MUJER</v>
      </c>
    </row>
    <row r="289" spans="1:13">
      <c r="A289" s="42" t="str">
        <f ca="1">IFERROR(__xludf.DUMMYFUNCTION("""COMPUTED_VALUE"""),"#N/A")</f>
        <v>#N/A</v>
      </c>
      <c r="B289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289" s="42" t="str">
        <f ca="1">IFERROR(__xludf.DUMMYFUNCTION("""COMPUTED_VALUE"""),"3. Operación")</f>
        <v>3. Operación</v>
      </c>
      <c r="D289" s="42" t="str">
        <f ca="1">IFERROR(__xludf.DUMMYFUNCTION("""COMPUTED_VALUE"""),"Guadalajara en Paz")</f>
        <v>Guadalajara en Paz</v>
      </c>
      <c r="E289" s="42" t="str">
        <f ca="1">IFERROR(__xludf.DUMMYFUNCTION("""COMPUTED_VALUE"""),"Educación Preescolar en Centros de Desarrollo Comunitarios")</f>
        <v>Educación Preescolar en Centros de Desarrollo Comunitarios</v>
      </c>
      <c r="F289" s="42" t="str">
        <f ca="1">IFERROR(__xludf.DUMMYFUNCTION("""COMPUTED_VALUE"""),"Atención a niñas y niños a través de educación preescolar ")</f>
        <v xml:space="preserve">Atención a niñas y niños a través de educación preescolar </v>
      </c>
      <c r="G289" s="42" t="str">
        <f ca="1">IFERROR(__xludf.DUMMYFUNCTION("""COMPUTED_VALUE"""),"Promedio de niñas y niños que asisten al Preescolar en CDC,en 2023")</f>
        <v>Promedio de niñas y niños que asisten al Preescolar en CDC,en 2023</v>
      </c>
      <c r="H289" s="42" t="str">
        <f ca="1">IFERROR(__xludf.DUMMYFUNCTION("""COMPUTED_VALUE"""),"AMH Diciembre")</f>
        <v>AMH Diciembre</v>
      </c>
      <c r="I289" s="42" t="str">
        <f ca="1">IFERROR(__xludf.DUMMYFUNCTION("""COMPUTED_VALUE"""),"Diciembre")</f>
        <v>Diciembre</v>
      </c>
      <c r="J289" s="42" t="str">
        <f ca="1">IFERROR(__xludf.DUMMYFUNCTION("""COMPUTED_VALUE"""),"AMH")</f>
        <v>AMH</v>
      </c>
      <c r="K289" s="98"/>
      <c r="L289" s="42" t="str">
        <f ca="1">IFERROR(__xludf.DUMMYFUNCTION("""COMPUTED_VALUE"""),"TRIMESTRE 4")</f>
        <v>TRIMESTRE 4</v>
      </c>
      <c r="M289" s="42" t="str">
        <f ca="1">IFERROR(__xludf.DUMMYFUNCTION("""COMPUTED_VALUE"""),"ADULTO MAYOR HOMBRE")</f>
        <v>ADULTO MAYOR HOMBRE</v>
      </c>
    </row>
    <row r="290" spans="1:13">
      <c r="A290" s="42" t="str">
        <f ca="1">IFERROR(__xludf.DUMMYFUNCTION("""COMPUTED_VALUE"""),"2.1.1.14")</f>
        <v>2.1.1.14</v>
      </c>
      <c r="B290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290" s="42" t="str">
        <f ca="1">IFERROR(__xludf.DUMMYFUNCTION("""COMPUTED_VALUE"""),"3. Operación")</f>
        <v>3. Operación</v>
      </c>
      <c r="D290" s="42" t="str">
        <f ca="1">IFERROR(__xludf.DUMMYFUNCTION("""COMPUTED_VALUE"""),"Guadalajara en Paz")</f>
        <v>Guadalajara en Paz</v>
      </c>
      <c r="E290" s="42" t="str">
        <f ca="1">IFERROR(__xludf.DUMMYFUNCTION("""COMPUTED_VALUE"""),"Desarrollo de Habilidades y Profesionalización")</f>
        <v>Desarrollo de Habilidades y Profesionalización</v>
      </c>
      <c r="F290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290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290" s="42" t="str">
        <f ca="1">IFERROR(__xludf.DUMMYFUNCTION("""COMPUTED_VALUE"""),"NAS enero")</f>
        <v>NAS enero</v>
      </c>
      <c r="I290" s="42" t="str">
        <f ca="1">IFERROR(__xludf.DUMMYFUNCTION("""COMPUTED_VALUE"""),"Enero")</f>
        <v>Enero</v>
      </c>
      <c r="J290" s="42" t="str">
        <f ca="1">IFERROR(__xludf.DUMMYFUNCTION("""COMPUTED_VALUE"""),"NAS")</f>
        <v>NAS</v>
      </c>
      <c r="K290" s="98">
        <f ca="1">IFERROR(__xludf.DUMMYFUNCTION("""COMPUTED_VALUE"""),143)</f>
        <v>143</v>
      </c>
      <c r="L290" s="42" t="str">
        <f ca="1">IFERROR(__xludf.DUMMYFUNCTION("""COMPUTED_VALUE"""),"TRIMESTRE 1")</f>
        <v>TRIMESTRE 1</v>
      </c>
      <c r="M290" s="42" t="str">
        <f ca="1">IFERROR(__xludf.DUMMYFUNCTION("""COMPUTED_VALUE"""),"NIÑAS")</f>
        <v>NIÑAS</v>
      </c>
    </row>
    <row r="291" spans="1:13">
      <c r="A291" s="42" t="str">
        <f ca="1">IFERROR(__xludf.DUMMYFUNCTION("""COMPUTED_VALUE"""),"2.1.1.14")</f>
        <v>2.1.1.14</v>
      </c>
      <c r="B291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291" s="42" t="str">
        <f ca="1">IFERROR(__xludf.DUMMYFUNCTION("""COMPUTED_VALUE"""),"3. Operación")</f>
        <v>3. Operación</v>
      </c>
      <c r="D291" s="42" t="str">
        <f ca="1">IFERROR(__xludf.DUMMYFUNCTION("""COMPUTED_VALUE"""),"Guadalajara en Paz")</f>
        <v>Guadalajara en Paz</v>
      </c>
      <c r="E291" s="42" t="str">
        <f ca="1">IFERROR(__xludf.DUMMYFUNCTION("""COMPUTED_VALUE"""),"Desarrollo de Habilidades y Profesionalización")</f>
        <v>Desarrollo de Habilidades y Profesionalización</v>
      </c>
      <c r="F291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291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291" s="42" t="str">
        <f ca="1">IFERROR(__xludf.DUMMYFUNCTION("""COMPUTED_VALUE"""),"NOS enero")</f>
        <v>NOS enero</v>
      </c>
      <c r="I291" s="42" t="str">
        <f ca="1">IFERROR(__xludf.DUMMYFUNCTION("""COMPUTED_VALUE"""),"Enero")</f>
        <v>Enero</v>
      </c>
      <c r="J291" s="42" t="str">
        <f ca="1">IFERROR(__xludf.DUMMYFUNCTION("""COMPUTED_VALUE"""),"NOS")</f>
        <v>NOS</v>
      </c>
      <c r="K291" s="98">
        <f ca="1">IFERROR(__xludf.DUMMYFUNCTION("""COMPUTED_VALUE"""),143)</f>
        <v>143</v>
      </c>
      <c r="L291" s="42" t="str">
        <f ca="1">IFERROR(__xludf.DUMMYFUNCTION("""COMPUTED_VALUE"""),"TRIMESTRE 1")</f>
        <v>TRIMESTRE 1</v>
      </c>
      <c r="M291" s="42" t="str">
        <f ca="1">IFERROR(__xludf.DUMMYFUNCTION("""COMPUTED_VALUE"""),"NIÑOS")</f>
        <v>NIÑOS</v>
      </c>
    </row>
    <row r="292" spans="1:13">
      <c r="A292" s="42" t="str">
        <f ca="1">IFERROR(__xludf.DUMMYFUNCTION("""COMPUTED_VALUE"""),"2.1.1.14")</f>
        <v>2.1.1.14</v>
      </c>
      <c r="B292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292" s="42" t="str">
        <f ca="1">IFERROR(__xludf.DUMMYFUNCTION("""COMPUTED_VALUE"""),"3. Operación")</f>
        <v>3. Operación</v>
      </c>
      <c r="D292" s="42" t="str">
        <f ca="1">IFERROR(__xludf.DUMMYFUNCTION("""COMPUTED_VALUE"""),"Guadalajara en Paz")</f>
        <v>Guadalajara en Paz</v>
      </c>
      <c r="E292" s="42" t="str">
        <f ca="1">IFERROR(__xludf.DUMMYFUNCTION("""COMPUTED_VALUE"""),"Desarrollo de Habilidades y Profesionalización")</f>
        <v>Desarrollo de Habilidades y Profesionalización</v>
      </c>
      <c r="F292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292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292" s="42" t="str">
        <f ca="1">IFERROR(__xludf.DUMMYFUNCTION("""COMPUTED_VALUE"""),"AM enero")</f>
        <v>AM enero</v>
      </c>
      <c r="I292" s="42" t="str">
        <f ca="1">IFERROR(__xludf.DUMMYFUNCTION("""COMPUTED_VALUE"""),"Enero")</f>
        <v>Enero</v>
      </c>
      <c r="J292" s="42" t="str">
        <f ca="1">IFERROR(__xludf.DUMMYFUNCTION("""COMPUTED_VALUE"""),"AM")</f>
        <v>AM</v>
      </c>
      <c r="K292" s="98">
        <f ca="1">IFERROR(__xludf.DUMMYFUNCTION("""COMPUTED_VALUE"""),118)</f>
        <v>118</v>
      </c>
      <c r="L292" s="42" t="str">
        <f ca="1">IFERROR(__xludf.DUMMYFUNCTION("""COMPUTED_VALUE"""),"TRIMESTRE 1")</f>
        <v>TRIMESTRE 1</v>
      </c>
      <c r="M292" s="42" t="str">
        <f ca="1">IFERROR(__xludf.DUMMYFUNCTION("""COMPUTED_VALUE"""),"ADOLESCENTES MUJERES")</f>
        <v>ADOLESCENTES MUJERES</v>
      </c>
    </row>
    <row r="293" spans="1:13">
      <c r="A293" s="42" t="str">
        <f ca="1">IFERROR(__xludf.DUMMYFUNCTION("""COMPUTED_VALUE"""),"2.1.1.14")</f>
        <v>2.1.1.14</v>
      </c>
      <c r="B293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293" s="42" t="str">
        <f ca="1">IFERROR(__xludf.DUMMYFUNCTION("""COMPUTED_VALUE"""),"3. Operación")</f>
        <v>3. Operación</v>
      </c>
      <c r="D293" s="42" t="str">
        <f ca="1">IFERROR(__xludf.DUMMYFUNCTION("""COMPUTED_VALUE"""),"Guadalajara en Paz")</f>
        <v>Guadalajara en Paz</v>
      </c>
      <c r="E293" s="42" t="str">
        <f ca="1">IFERROR(__xludf.DUMMYFUNCTION("""COMPUTED_VALUE"""),"Desarrollo de Habilidades y Profesionalización")</f>
        <v>Desarrollo de Habilidades y Profesionalización</v>
      </c>
      <c r="F293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293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293" s="42" t="str">
        <f ca="1">IFERROR(__xludf.DUMMYFUNCTION("""COMPUTED_VALUE"""),"AH enero")</f>
        <v>AH enero</v>
      </c>
      <c r="I293" s="42" t="str">
        <f ca="1">IFERROR(__xludf.DUMMYFUNCTION("""COMPUTED_VALUE"""),"Enero")</f>
        <v>Enero</v>
      </c>
      <c r="J293" s="42" t="str">
        <f ca="1">IFERROR(__xludf.DUMMYFUNCTION("""COMPUTED_VALUE"""),"AH")</f>
        <v>AH</v>
      </c>
      <c r="K293" s="98">
        <f ca="1">IFERROR(__xludf.DUMMYFUNCTION("""COMPUTED_VALUE"""),21)</f>
        <v>21</v>
      </c>
      <c r="L293" s="42" t="str">
        <f ca="1">IFERROR(__xludf.DUMMYFUNCTION("""COMPUTED_VALUE"""),"TRIMESTRE 1")</f>
        <v>TRIMESTRE 1</v>
      </c>
      <c r="M293" s="42" t="str">
        <f ca="1">IFERROR(__xludf.DUMMYFUNCTION("""COMPUTED_VALUE"""),"ADOLESCENTES HOMBRES")</f>
        <v>ADOLESCENTES HOMBRES</v>
      </c>
    </row>
    <row r="294" spans="1:13">
      <c r="A294" s="42" t="str">
        <f ca="1">IFERROR(__xludf.DUMMYFUNCTION("""COMPUTED_VALUE"""),"2.1.1.14")</f>
        <v>2.1.1.14</v>
      </c>
      <c r="B294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294" s="42" t="str">
        <f ca="1">IFERROR(__xludf.DUMMYFUNCTION("""COMPUTED_VALUE"""),"3. Operación")</f>
        <v>3. Operación</v>
      </c>
      <c r="D294" s="42" t="str">
        <f ca="1">IFERROR(__xludf.DUMMYFUNCTION("""COMPUTED_VALUE"""),"Guadalajara en Paz")</f>
        <v>Guadalajara en Paz</v>
      </c>
      <c r="E294" s="42" t="str">
        <f ca="1">IFERROR(__xludf.DUMMYFUNCTION("""COMPUTED_VALUE"""),"Desarrollo de Habilidades y Profesionalización")</f>
        <v>Desarrollo de Habilidades y Profesionalización</v>
      </c>
      <c r="F294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294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294" s="42" t="str">
        <f ca="1">IFERROR(__xludf.DUMMYFUNCTION("""COMPUTED_VALUE"""),"MUJ enero")</f>
        <v>MUJ enero</v>
      </c>
      <c r="I294" s="42" t="str">
        <f ca="1">IFERROR(__xludf.DUMMYFUNCTION("""COMPUTED_VALUE"""),"Enero")</f>
        <v>Enero</v>
      </c>
      <c r="J294" s="42" t="str">
        <f ca="1">IFERROR(__xludf.DUMMYFUNCTION("""COMPUTED_VALUE"""),"MUJ")</f>
        <v>MUJ</v>
      </c>
      <c r="K294" s="98">
        <f ca="1">IFERROR(__xludf.DUMMYFUNCTION("""COMPUTED_VALUE"""),855)</f>
        <v>855</v>
      </c>
      <c r="L294" s="42" t="str">
        <f ca="1">IFERROR(__xludf.DUMMYFUNCTION("""COMPUTED_VALUE"""),"TRIMESTRE 1")</f>
        <v>TRIMESTRE 1</v>
      </c>
      <c r="M294" s="42" t="str">
        <f ca="1">IFERROR(__xludf.DUMMYFUNCTION("""COMPUTED_VALUE"""),"MUJERES ADULTAS")</f>
        <v>MUJERES ADULTAS</v>
      </c>
    </row>
    <row r="295" spans="1:13">
      <c r="A295" s="42" t="str">
        <f ca="1">IFERROR(__xludf.DUMMYFUNCTION("""COMPUTED_VALUE"""),"2.1.1.14")</f>
        <v>2.1.1.14</v>
      </c>
      <c r="B295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295" s="42" t="str">
        <f ca="1">IFERROR(__xludf.DUMMYFUNCTION("""COMPUTED_VALUE"""),"3. Operación")</f>
        <v>3. Operación</v>
      </c>
      <c r="D295" s="42" t="str">
        <f ca="1">IFERROR(__xludf.DUMMYFUNCTION("""COMPUTED_VALUE"""),"Guadalajara en Paz")</f>
        <v>Guadalajara en Paz</v>
      </c>
      <c r="E295" s="42" t="str">
        <f ca="1">IFERROR(__xludf.DUMMYFUNCTION("""COMPUTED_VALUE"""),"Desarrollo de Habilidades y Profesionalización")</f>
        <v>Desarrollo de Habilidades y Profesionalización</v>
      </c>
      <c r="F295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295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295" s="42" t="str">
        <f ca="1">IFERROR(__xludf.DUMMYFUNCTION("""COMPUTED_VALUE"""),"HOM enero")</f>
        <v>HOM enero</v>
      </c>
      <c r="I295" s="42" t="str">
        <f ca="1">IFERROR(__xludf.DUMMYFUNCTION("""COMPUTED_VALUE"""),"Enero")</f>
        <v>Enero</v>
      </c>
      <c r="J295" s="42" t="str">
        <f ca="1">IFERROR(__xludf.DUMMYFUNCTION("""COMPUTED_VALUE"""),"HOM")</f>
        <v>HOM</v>
      </c>
      <c r="K295" s="98">
        <f ca="1">IFERROR(__xludf.DUMMYFUNCTION("""COMPUTED_VALUE"""),68)</f>
        <v>68</v>
      </c>
      <c r="L295" s="42" t="str">
        <f ca="1">IFERROR(__xludf.DUMMYFUNCTION("""COMPUTED_VALUE"""),"TRIMESTRE 1")</f>
        <v>TRIMESTRE 1</v>
      </c>
      <c r="M295" s="42" t="str">
        <f ca="1">IFERROR(__xludf.DUMMYFUNCTION("""COMPUTED_VALUE"""),"HOMBRES ADULTOS")</f>
        <v>HOMBRES ADULTOS</v>
      </c>
    </row>
    <row r="296" spans="1:13">
      <c r="A296" s="42" t="str">
        <f ca="1">IFERROR(__xludf.DUMMYFUNCTION("""COMPUTED_VALUE"""),"2.1.1.14")</f>
        <v>2.1.1.14</v>
      </c>
      <c r="B296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296" s="42" t="str">
        <f ca="1">IFERROR(__xludf.DUMMYFUNCTION("""COMPUTED_VALUE"""),"3. Operación")</f>
        <v>3. Operación</v>
      </c>
      <c r="D296" s="42" t="str">
        <f ca="1">IFERROR(__xludf.DUMMYFUNCTION("""COMPUTED_VALUE"""),"Guadalajara en Paz")</f>
        <v>Guadalajara en Paz</v>
      </c>
      <c r="E296" s="42" t="str">
        <f ca="1">IFERROR(__xludf.DUMMYFUNCTION("""COMPUTED_VALUE"""),"Desarrollo de Habilidades y Profesionalización")</f>
        <v>Desarrollo de Habilidades y Profesionalización</v>
      </c>
      <c r="F296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296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296" s="42" t="str">
        <f ca="1">IFERROR(__xludf.DUMMYFUNCTION("""COMPUTED_VALUE"""),"AMM enero")</f>
        <v>AMM enero</v>
      </c>
      <c r="I296" s="42" t="str">
        <f ca="1">IFERROR(__xludf.DUMMYFUNCTION("""COMPUTED_VALUE"""),"Enero")</f>
        <v>Enero</v>
      </c>
      <c r="J296" s="42" t="str">
        <f ca="1">IFERROR(__xludf.DUMMYFUNCTION("""COMPUTED_VALUE"""),"AMM")</f>
        <v>AMM</v>
      </c>
      <c r="K296" s="98">
        <f ca="1">IFERROR(__xludf.DUMMYFUNCTION("""COMPUTED_VALUE"""),182)</f>
        <v>182</v>
      </c>
      <c r="L296" s="42" t="str">
        <f ca="1">IFERROR(__xludf.DUMMYFUNCTION("""COMPUTED_VALUE"""),"TRIMESTRE 1")</f>
        <v>TRIMESTRE 1</v>
      </c>
      <c r="M296" s="42" t="str">
        <f ca="1">IFERROR(__xludf.DUMMYFUNCTION("""COMPUTED_VALUE"""),"ADULTA MAYOR MUJER")</f>
        <v>ADULTA MAYOR MUJER</v>
      </c>
    </row>
    <row r="297" spans="1:13">
      <c r="A297" s="42" t="str">
        <f ca="1">IFERROR(__xludf.DUMMYFUNCTION("""COMPUTED_VALUE"""),"2.1.1.14")</f>
        <v>2.1.1.14</v>
      </c>
      <c r="B297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297" s="42" t="str">
        <f ca="1">IFERROR(__xludf.DUMMYFUNCTION("""COMPUTED_VALUE"""),"3. Operación")</f>
        <v>3. Operación</v>
      </c>
      <c r="D297" s="42" t="str">
        <f ca="1">IFERROR(__xludf.DUMMYFUNCTION("""COMPUTED_VALUE"""),"Guadalajara en Paz")</f>
        <v>Guadalajara en Paz</v>
      </c>
      <c r="E297" s="42" t="str">
        <f ca="1">IFERROR(__xludf.DUMMYFUNCTION("""COMPUTED_VALUE"""),"Desarrollo de Habilidades y Profesionalización")</f>
        <v>Desarrollo de Habilidades y Profesionalización</v>
      </c>
      <c r="F297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297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297" s="42" t="str">
        <f ca="1">IFERROR(__xludf.DUMMYFUNCTION("""COMPUTED_VALUE"""),"AMH enero")</f>
        <v>AMH enero</v>
      </c>
      <c r="I297" s="42" t="str">
        <f ca="1">IFERROR(__xludf.DUMMYFUNCTION("""COMPUTED_VALUE"""),"Enero")</f>
        <v>Enero</v>
      </c>
      <c r="J297" s="42" t="str">
        <f ca="1">IFERROR(__xludf.DUMMYFUNCTION("""COMPUTED_VALUE"""),"AMH")</f>
        <v>AMH</v>
      </c>
      <c r="K297" s="98">
        <f ca="1">IFERROR(__xludf.DUMMYFUNCTION("""COMPUTED_VALUE"""),28)</f>
        <v>28</v>
      </c>
      <c r="L297" s="42" t="str">
        <f ca="1">IFERROR(__xludf.DUMMYFUNCTION("""COMPUTED_VALUE"""),"TRIMESTRE 1")</f>
        <v>TRIMESTRE 1</v>
      </c>
      <c r="M297" s="42" t="str">
        <f ca="1">IFERROR(__xludf.DUMMYFUNCTION("""COMPUTED_VALUE"""),"ADULTO MAYOR HOMBRE")</f>
        <v>ADULTO MAYOR HOMBRE</v>
      </c>
    </row>
    <row r="298" spans="1:13">
      <c r="A298" s="42" t="str">
        <f ca="1">IFERROR(__xludf.DUMMYFUNCTION("""COMPUTED_VALUE"""),"2.1.1.14")</f>
        <v>2.1.1.14</v>
      </c>
      <c r="B298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298" s="42" t="str">
        <f ca="1">IFERROR(__xludf.DUMMYFUNCTION("""COMPUTED_VALUE"""),"3. Operación")</f>
        <v>3. Operación</v>
      </c>
      <c r="D298" s="42" t="str">
        <f ca="1">IFERROR(__xludf.DUMMYFUNCTION("""COMPUTED_VALUE"""),"Guadalajara en Paz")</f>
        <v>Guadalajara en Paz</v>
      </c>
      <c r="E298" s="42" t="str">
        <f ca="1">IFERROR(__xludf.DUMMYFUNCTION("""COMPUTED_VALUE"""),"Desarrollo de Habilidades y Profesionalización")</f>
        <v>Desarrollo de Habilidades y Profesionalización</v>
      </c>
      <c r="F298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298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298" s="42" t="str">
        <f ca="1">IFERROR(__xludf.DUMMYFUNCTION("""COMPUTED_VALUE"""),"NAS FEBRERO")</f>
        <v>NAS FEBRERO</v>
      </c>
      <c r="I298" s="42" t="str">
        <f ca="1">IFERROR(__xludf.DUMMYFUNCTION("""COMPUTED_VALUE"""),"Febrero")</f>
        <v>Febrero</v>
      </c>
      <c r="J298" s="42" t="str">
        <f ca="1">IFERROR(__xludf.DUMMYFUNCTION("""COMPUTED_VALUE"""),"NAS")</f>
        <v>NAS</v>
      </c>
      <c r="K298" s="98">
        <f ca="1">IFERROR(__xludf.DUMMYFUNCTION("""COMPUTED_VALUE"""),142)</f>
        <v>142</v>
      </c>
      <c r="L298" s="42" t="str">
        <f ca="1">IFERROR(__xludf.DUMMYFUNCTION("""COMPUTED_VALUE"""),"TRIMESTRE 1")</f>
        <v>TRIMESTRE 1</v>
      </c>
      <c r="M298" s="42" t="str">
        <f ca="1">IFERROR(__xludf.DUMMYFUNCTION("""COMPUTED_VALUE"""),"NIÑAS")</f>
        <v>NIÑAS</v>
      </c>
    </row>
    <row r="299" spans="1:13">
      <c r="A299" s="42" t="str">
        <f ca="1">IFERROR(__xludf.DUMMYFUNCTION("""COMPUTED_VALUE"""),"2.1.1.14")</f>
        <v>2.1.1.14</v>
      </c>
      <c r="B299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299" s="42" t="str">
        <f ca="1">IFERROR(__xludf.DUMMYFUNCTION("""COMPUTED_VALUE"""),"3. Operación")</f>
        <v>3. Operación</v>
      </c>
      <c r="D299" s="42" t="str">
        <f ca="1">IFERROR(__xludf.DUMMYFUNCTION("""COMPUTED_VALUE"""),"Guadalajara en Paz")</f>
        <v>Guadalajara en Paz</v>
      </c>
      <c r="E299" s="42" t="str">
        <f ca="1">IFERROR(__xludf.DUMMYFUNCTION("""COMPUTED_VALUE"""),"Desarrollo de Habilidades y Profesionalización")</f>
        <v>Desarrollo de Habilidades y Profesionalización</v>
      </c>
      <c r="F299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299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299" s="42" t="str">
        <f ca="1">IFERROR(__xludf.DUMMYFUNCTION("""COMPUTED_VALUE"""),"NOS FEBRERO")</f>
        <v>NOS FEBRERO</v>
      </c>
      <c r="I299" s="42" t="str">
        <f ca="1">IFERROR(__xludf.DUMMYFUNCTION("""COMPUTED_VALUE"""),"Febrero")</f>
        <v>Febrero</v>
      </c>
      <c r="J299" s="42" t="str">
        <f ca="1">IFERROR(__xludf.DUMMYFUNCTION("""COMPUTED_VALUE"""),"NOS")</f>
        <v>NOS</v>
      </c>
      <c r="K299" s="98">
        <f ca="1">IFERROR(__xludf.DUMMYFUNCTION("""COMPUTED_VALUE"""),132)</f>
        <v>132</v>
      </c>
      <c r="L299" s="42" t="str">
        <f ca="1">IFERROR(__xludf.DUMMYFUNCTION("""COMPUTED_VALUE"""),"TRIMESTRE 1")</f>
        <v>TRIMESTRE 1</v>
      </c>
      <c r="M299" s="42" t="str">
        <f ca="1">IFERROR(__xludf.DUMMYFUNCTION("""COMPUTED_VALUE"""),"NIÑOS")</f>
        <v>NIÑOS</v>
      </c>
    </row>
    <row r="300" spans="1:13">
      <c r="A300" s="42" t="str">
        <f ca="1">IFERROR(__xludf.DUMMYFUNCTION("""COMPUTED_VALUE"""),"2.1.1.14")</f>
        <v>2.1.1.14</v>
      </c>
      <c r="B300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00" s="42" t="str">
        <f ca="1">IFERROR(__xludf.DUMMYFUNCTION("""COMPUTED_VALUE"""),"3. Operación")</f>
        <v>3. Operación</v>
      </c>
      <c r="D300" s="42" t="str">
        <f ca="1">IFERROR(__xludf.DUMMYFUNCTION("""COMPUTED_VALUE"""),"Guadalajara en Paz")</f>
        <v>Guadalajara en Paz</v>
      </c>
      <c r="E300" s="42" t="str">
        <f ca="1">IFERROR(__xludf.DUMMYFUNCTION("""COMPUTED_VALUE"""),"Desarrollo de Habilidades y Profesionalización")</f>
        <v>Desarrollo de Habilidades y Profesionalización</v>
      </c>
      <c r="F300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00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00" s="42" t="str">
        <f ca="1">IFERROR(__xludf.DUMMYFUNCTION("""COMPUTED_VALUE"""),"AM FEBRERO")</f>
        <v>AM FEBRERO</v>
      </c>
      <c r="I300" s="42" t="str">
        <f ca="1">IFERROR(__xludf.DUMMYFUNCTION("""COMPUTED_VALUE"""),"Febrero")</f>
        <v>Febrero</v>
      </c>
      <c r="J300" s="42" t="str">
        <f ca="1">IFERROR(__xludf.DUMMYFUNCTION("""COMPUTED_VALUE"""),"AM")</f>
        <v>AM</v>
      </c>
      <c r="K300" s="98">
        <f ca="1">IFERROR(__xludf.DUMMYFUNCTION("""COMPUTED_VALUE"""),110)</f>
        <v>110</v>
      </c>
      <c r="L300" s="42" t="str">
        <f ca="1">IFERROR(__xludf.DUMMYFUNCTION("""COMPUTED_VALUE"""),"TRIMESTRE 1")</f>
        <v>TRIMESTRE 1</v>
      </c>
      <c r="M300" s="42" t="str">
        <f ca="1">IFERROR(__xludf.DUMMYFUNCTION("""COMPUTED_VALUE"""),"ADOLESCENTES MUJERES")</f>
        <v>ADOLESCENTES MUJERES</v>
      </c>
    </row>
    <row r="301" spans="1:13">
      <c r="A301" s="42" t="str">
        <f ca="1">IFERROR(__xludf.DUMMYFUNCTION("""COMPUTED_VALUE"""),"2.1.1.14")</f>
        <v>2.1.1.14</v>
      </c>
      <c r="B301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01" s="42" t="str">
        <f ca="1">IFERROR(__xludf.DUMMYFUNCTION("""COMPUTED_VALUE"""),"3. Operación")</f>
        <v>3. Operación</v>
      </c>
      <c r="D301" s="42" t="str">
        <f ca="1">IFERROR(__xludf.DUMMYFUNCTION("""COMPUTED_VALUE"""),"Guadalajara en Paz")</f>
        <v>Guadalajara en Paz</v>
      </c>
      <c r="E301" s="42" t="str">
        <f ca="1">IFERROR(__xludf.DUMMYFUNCTION("""COMPUTED_VALUE"""),"Desarrollo de Habilidades y Profesionalización")</f>
        <v>Desarrollo de Habilidades y Profesionalización</v>
      </c>
      <c r="F301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01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01" s="42" t="str">
        <f ca="1">IFERROR(__xludf.DUMMYFUNCTION("""COMPUTED_VALUE"""),"AH FEBRERO")</f>
        <v>AH FEBRERO</v>
      </c>
      <c r="I301" s="42" t="str">
        <f ca="1">IFERROR(__xludf.DUMMYFUNCTION("""COMPUTED_VALUE"""),"Febrero")</f>
        <v>Febrero</v>
      </c>
      <c r="J301" s="42" t="str">
        <f ca="1">IFERROR(__xludf.DUMMYFUNCTION("""COMPUTED_VALUE"""),"AH")</f>
        <v>AH</v>
      </c>
      <c r="K301" s="98">
        <f ca="1">IFERROR(__xludf.DUMMYFUNCTION("""COMPUTED_VALUE"""),28)</f>
        <v>28</v>
      </c>
      <c r="L301" s="42" t="str">
        <f ca="1">IFERROR(__xludf.DUMMYFUNCTION("""COMPUTED_VALUE"""),"TRIMESTRE 1")</f>
        <v>TRIMESTRE 1</v>
      </c>
      <c r="M301" s="42" t="str">
        <f ca="1">IFERROR(__xludf.DUMMYFUNCTION("""COMPUTED_VALUE"""),"ADOLESCENTES HOMBRES")</f>
        <v>ADOLESCENTES HOMBRES</v>
      </c>
    </row>
    <row r="302" spans="1:13">
      <c r="A302" s="42" t="str">
        <f ca="1">IFERROR(__xludf.DUMMYFUNCTION("""COMPUTED_VALUE"""),"2.1.1.14")</f>
        <v>2.1.1.14</v>
      </c>
      <c r="B302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02" s="42" t="str">
        <f ca="1">IFERROR(__xludf.DUMMYFUNCTION("""COMPUTED_VALUE"""),"3. Operación")</f>
        <v>3. Operación</v>
      </c>
      <c r="D302" s="42" t="str">
        <f ca="1">IFERROR(__xludf.DUMMYFUNCTION("""COMPUTED_VALUE"""),"Guadalajara en Paz")</f>
        <v>Guadalajara en Paz</v>
      </c>
      <c r="E302" s="42" t="str">
        <f ca="1">IFERROR(__xludf.DUMMYFUNCTION("""COMPUTED_VALUE"""),"Desarrollo de Habilidades y Profesionalización")</f>
        <v>Desarrollo de Habilidades y Profesionalización</v>
      </c>
      <c r="F302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02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02" s="42" t="str">
        <f ca="1">IFERROR(__xludf.DUMMYFUNCTION("""COMPUTED_VALUE"""),"MUJ FEBRERO")</f>
        <v>MUJ FEBRERO</v>
      </c>
      <c r="I302" s="42" t="str">
        <f ca="1">IFERROR(__xludf.DUMMYFUNCTION("""COMPUTED_VALUE"""),"Febrero")</f>
        <v>Febrero</v>
      </c>
      <c r="J302" s="42" t="str">
        <f ca="1">IFERROR(__xludf.DUMMYFUNCTION("""COMPUTED_VALUE"""),"MUJ")</f>
        <v>MUJ</v>
      </c>
      <c r="K302" s="98">
        <f ca="1">IFERROR(__xludf.DUMMYFUNCTION("""COMPUTED_VALUE"""),1002)</f>
        <v>1002</v>
      </c>
      <c r="L302" s="42" t="str">
        <f ca="1">IFERROR(__xludf.DUMMYFUNCTION("""COMPUTED_VALUE"""),"TRIMESTRE 1")</f>
        <v>TRIMESTRE 1</v>
      </c>
      <c r="M302" s="42" t="str">
        <f ca="1">IFERROR(__xludf.DUMMYFUNCTION("""COMPUTED_VALUE"""),"MUJERES ADULTAS")</f>
        <v>MUJERES ADULTAS</v>
      </c>
    </row>
    <row r="303" spans="1:13">
      <c r="A303" s="42" t="str">
        <f ca="1">IFERROR(__xludf.DUMMYFUNCTION("""COMPUTED_VALUE"""),"2.1.1.14")</f>
        <v>2.1.1.14</v>
      </c>
      <c r="B303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03" s="42" t="str">
        <f ca="1">IFERROR(__xludf.DUMMYFUNCTION("""COMPUTED_VALUE"""),"3. Operación")</f>
        <v>3. Operación</v>
      </c>
      <c r="D303" s="42" t="str">
        <f ca="1">IFERROR(__xludf.DUMMYFUNCTION("""COMPUTED_VALUE"""),"Guadalajara en Paz")</f>
        <v>Guadalajara en Paz</v>
      </c>
      <c r="E303" s="42" t="str">
        <f ca="1">IFERROR(__xludf.DUMMYFUNCTION("""COMPUTED_VALUE"""),"Desarrollo de Habilidades y Profesionalización")</f>
        <v>Desarrollo de Habilidades y Profesionalización</v>
      </c>
      <c r="F303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03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03" s="42" t="str">
        <f ca="1">IFERROR(__xludf.DUMMYFUNCTION("""COMPUTED_VALUE"""),"HOM FEBRERO")</f>
        <v>HOM FEBRERO</v>
      </c>
      <c r="I303" s="42" t="str">
        <f ca="1">IFERROR(__xludf.DUMMYFUNCTION("""COMPUTED_VALUE"""),"Febrero")</f>
        <v>Febrero</v>
      </c>
      <c r="J303" s="42" t="str">
        <f ca="1">IFERROR(__xludf.DUMMYFUNCTION("""COMPUTED_VALUE"""),"HOM")</f>
        <v>HOM</v>
      </c>
      <c r="K303" s="98">
        <f ca="1">IFERROR(__xludf.DUMMYFUNCTION("""COMPUTED_VALUE"""),69)</f>
        <v>69</v>
      </c>
      <c r="L303" s="42" t="str">
        <f ca="1">IFERROR(__xludf.DUMMYFUNCTION("""COMPUTED_VALUE"""),"TRIMESTRE 1")</f>
        <v>TRIMESTRE 1</v>
      </c>
      <c r="M303" s="42" t="str">
        <f ca="1">IFERROR(__xludf.DUMMYFUNCTION("""COMPUTED_VALUE"""),"HOMBRES ADULTOS")</f>
        <v>HOMBRES ADULTOS</v>
      </c>
    </row>
    <row r="304" spans="1:13">
      <c r="A304" s="42" t="str">
        <f ca="1">IFERROR(__xludf.DUMMYFUNCTION("""COMPUTED_VALUE"""),"2.1.1.14")</f>
        <v>2.1.1.14</v>
      </c>
      <c r="B304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04" s="42" t="str">
        <f ca="1">IFERROR(__xludf.DUMMYFUNCTION("""COMPUTED_VALUE"""),"3. Operación")</f>
        <v>3. Operación</v>
      </c>
      <c r="D304" s="42" t="str">
        <f ca="1">IFERROR(__xludf.DUMMYFUNCTION("""COMPUTED_VALUE"""),"Guadalajara en Paz")</f>
        <v>Guadalajara en Paz</v>
      </c>
      <c r="E304" s="42" t="str">
        <f ca="1">IFERROR(__xludf.DUMMYFUNCTION("""COMPUTED_VALUE"""),"Desarrollo de Habilidades y Profesionalización")</f>
        <v>Desarrollo de Habilidades y Profesionalización</v>
      </c>
      <c r="F304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04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04" s="42" t="str">
        <f ca="1">IFERROR(__xludf.DUMMYFUNCTION("""COMPUTED_VALUE"""),"AMM FEBRERO")</f>
        <v>AMM FEBRERO</v>
      </c>
      <c r="I304" s="42" t="str">
        <f ca="1">IFERROR(__xludf.DUMMYFUNCTION("""COMPUTED_VALUE"""),"Febrero")</f>
        <v>Febrero</v>
      </c>
      <c r="J304" s="42" t="str">
        <f ca="1">IFERROR(__xludf.DUMMYFUNCTION("""COMPUTED_VALUE"""),"AMM")</f>
        <v>AMM</v>
      </c>
      <c r="K304" s="98">
        <f ca="1">IFERROR(__xludf.DUMMYFUNCTION("""COMPUTED_VALUE"""),207)</f>
        <v>207</v>
      </c>
      <c r="L304" s="42" t="str">
        <f ca="1">IFERROR(__xludf.DUMMYFUNCTION("""COMPUTED_VALUE"""),"TRIMESTRE 1")</f>
        <v>TRIMESTRE 1</v>
      </c>
      <c r="M304" s="42" t="str">
        <f ca="1">IFERROR(__xludf.DUMMYFUNCTION("""COMPUTED_VALUE"""),"ADULTA MAYOR MUJER")</f>
        <v>ADULTA MAYOR MUJER</v>
      </c>
    </row>
    <row r="305" spans="1:13">
      <c r="A305" s="42" t="str">
        <f ca="1">IFERROR(__xludf.DUMMYFUNCTION("""COMPUTED_VALUE"""),"2.1.1.14")</f>
        <v>2.1.1.14</v>
      </c>
      <c r="B305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05" s="42" t="str">
        <f ca="1">IFERROR(__xludf.DUMMYFUNCTION("""COMPUTED_VALUE"""),"3. Operación")</f>
        <v>3. Operación</v>
      </c>
      <c r="D305" s="42" t="str">
        <f ca="1">IFERROR(__xludf.DUMMYFUNCTION("""COMPUTED_VALUE"""),"Guadalajara en Paz")</f>
        <v>Guadalajara en Paz</v>
      </c>
      <c r="E305" s="42" t="str">
        <f ca="1">IFERROR(__xludf.DUMMYFUNCTION("""COMPUTED_VALUE"""),"Desarrollo de Habilidades y Profesionalización")</f>
        <v>Desarrollo de Habilidades y Profesionalización</v>
      </c>
      <c r="F305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05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05" s="42" t="str">
        <f ca="1">IFERROR(__xludf.DUMMYFUNCTION("""COMPUTED_VALUE"""),"AMH FEBRERO")</f>
        <v>AMH FEBRERO</v>
      </c>
      <c r="I305" s="42" t="str">
        <f ca="1">IFERROR(__xludf.DUMMYFUNCTION("""COMPUTED_VALUE"""),"Febrero")</f>
        <v>Febrero</v>
      </c>
      <c r="J305" s="42" t="str">
        <f ca="1">IFERROR(__xludf.DUMMYFUNCTION("""COMPUTED_VALUE"""),"AMH")</f>
        <v>AMH</v>
      </c>
      <c r="K305" s="98">
        <f ca="1">IFERROR(__xludf.DUMMYFUNCTION("""COMPUTED_VALUE"""),21)</f>
        <v>21</v>
      </c>
      <c r="L305" s="42" t="str">
        <f ca="1">IFERROR(__xludf.DUMMYFUNCTION("""COMPUTED_VALUE"""),"TRIMESTRE 1")</f>
        <v>TRIMESTRE 1</v>
      </c>
      <c r="M305" s="42" t="str">
        <f ca="1">IFERROR(__xludf.DUMMYFUNCTION("""COMPUTED_VALUE"""),"ADULTO MAYOR HOMBRE")</f>
        <v>ADULTO MAYOR HOMBRE</v>
      </c>
    </row>
    <row r="306" spans="1:13">
      <c r="A306" s="42" t="str">
        <f ca="1">IFERROR(__xludf.DUMMYFUNCTION("""COMPUTED_VALUE"""),"2.1.1.14")</f>
        <v>2.1.1.14</v>
      </c>
      <c r="B306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06" s="42" t="str">
        <f ca="1">IFERROR(__xludf.DUMMYFUNCTION("""COMPUTED_VALUE"""),"3. Operación")</f>
        <v>3. Operación</v>
      </c>
      <c r="D306" s="42" t="str">
        <f ca="1">IFERROR(__xludf.DUMMYFUNCTION("""COMPUTED_VALUE"""),"Guadalajara en Paz")</f>
        <v>Guadalajara en Paz</v>
      </c>
      <c r="E306" s="42" t="str">
        <f ca="1">IFERROR(__xludf.DUMMYFUNCTION("""COMPUTED_VALUE"""),"Desarrollo de Habilidades y Profesionalización")</f>
        <v>Desarrollo de Habilidades y Profesionalización</v>
      </c>
      <c r="F306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06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06" s="42" t="str">
        <f ca="1">IFERROR(__xludf.DUMMYFUNCTION("""COMPUTED_VALUE"""),"NAS Marzo")</f>
        <v>NAS Marzo</v>
      </c>
      <c r="I306" s="42" t="str">
        <f ca="1">IFERROR(__xludf.DUMMYFUNCTION("""COMPUTED_VALUE"""),"Marzo")</f>
        <v>Marzo</v>
      </c>
      <c r="J306" s="42" t="str">
        <f ca="1">IFERROR(__xludf.DUMMYFUNCTION("""COMPUTED_VALUE"""),"NAS")</f>
        <v>NAS</v>
      </c>
      <c r="K306" s="98">
        <f ca="1">IFERROR(__xludf.DUMMYFUNCTION("""COMPUTED_VALUE"""),179)</f>
        <v>179</v>
      </c>
      <c r="L306" s="42" t="str">
        <f ca="1">IFERROR(__xludf.DUMMYFUNCTION("""COMPUTED_VALUE"""),"TRIMESTRE 1")</f>
        <v>TRIMESTRE 1</v>
      </c>
      <c r="M306" s="42" t="str">
        <f ca="1">IFERROR(__xludf.DUMMYFUNCTION("""COMPUTED_VALUE"""),"NIÑAS")</f>
        <v>NIÑAS</v>
      </c>
    </row>
    <row r="307" spans="1:13">
      <c r="A307" s="42" t="str">
        <f ca="1">IFERROR(__xludf.DUMMYFUNCTION("""COMPUTED_VALUE"""),"2.1.1.14")</f>
        <v>2.1.1.14</v>
      </c>
      <c r="B307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07" s="42" t="str">
        <f ca="1">IFERROR(__xludf.DUMMYFUNCTION("""COMPUTED_VALUE"""),"3. Operación")</f>
        <v>3. Operación</v>
      </c>
      <c r="D307" s="42" t="str">
        <f ca="1">IFERROR(__xludf.DUMMYFUNCTION("""COMPUTED_VALUE"""),"Guadalajara en Paz")</f>
        <v>Guadalajara en Paz</v>
      </c>
      <c r="E307" s="42" t="str">
        <f ca="1">IFERROR(__xludf.DUMMYFUNCTION("""COMPUTED_VALUE"""),"Desarrollo de Habilidades y Profesionalización")</f>
        <v>Desarrollo de Habilidades y Profesionalización</v>
      </c>
      <c r="F307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07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07" s="42" t="str">
        <f ca="1">IFERROR(__xludf.DUMMYFUNCTION("""COMPUTED_VALUE"""),"NOS Marzo")</f>
        <v>NOS Marzo</v>
      </c>
      <c r="I307" s="42" t="str">
        <f ca="1">IFERROR(__xludf.DUMMYFUNCTION("""COMPUTED_VALUE"""),"Marzo")</f>
        <v>Marzo</v>
      </c>
      <c r="J307" s="42" t="str">
        <f ca="1">IFERROR(__xludf.DUMMYFUNCTION("""COMPUTED_VALUE"""),"NOS")</f>
        <v>NOS</v>
      </c>
      <c r="K307" s="98">
        <f ca="1">IFERROR(__xludf.DUMMYFUNCTION("""COMPUTED_VALUE"""),160)</f>
        <v>160</v>
      </c>
      <c r="L307" s="42" t="str">
        <f ca="1">IFERROR(__xludf.DUMMYFUNCTION("""COMPUTED_VALUE"""),"TRIMESTRE 1")</f>
        <v>TRIMESTRE 1</v>
      </c>
      <c r="M307" s="42" t="str">
        <f ca="1">IFERROR(__xludf.DUMMYFUNCTION("""COMPUTED_VALUE"""),"NIÑOS")</f>
        <v>NIÑOS</v>
      </c>
    </row>
    <row r="308" spans="1:13">
      <c r="A308" s="42" t="str">
        <f ca="1">IFERROR(__xludf.DUMMYFUNCTION("""COMPUTED_VALUE"""),"2.1.1.14")</f>
        <v>2.1.1.14</v>
      </c>
      <c r="B308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08" s="42" t="str">
        <f ca="1">IFERROR(__xludf.DUMMYFUNCTION("""COMPUTED_VALUE"""),"3. Operación")</f>
        <v>3. Operación</v>
      </c>
      <c r="D308" s="42" t="str">
        <f ca="1">IFERROR(__xludf.DUMMYFUNCTION("""COMPUTED_VALUE"""),"Guadalajara en Paz")</f>
        <v>Guadalajara en Paz</v>
      </c>
      <c r="E308" s="42" t="str">
        <f ca="1">IFERROR(__xludf.DUMMYFUNCTION("""COMPUTED_VALUE"""),"Desarrollo de Habilidades y Profesionalización")</f>
        <v>Desarrollo de Habilidades y Profesionalización</v>
      </c>
      <c r="F308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08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08" s="42" t="str">
        <f ca="1">IFERROR(__xludf.DUMMYFUNCTION("""COMPUTED_VALUE"""),"AM MARZO")</f>
        <v>AM MARZO</v>
      </c>
      <c r="I308" s="42" t="str">
        <f ca="1">IFERROR(__xludf.DUMMYFUNCTION("""COMPUTED_VALUE"""),"Marzo")</f>
        <v>Marzo</v>
      </c>
      <c r="J308" s="42" t="str">
        <f ca="1">IFERROR(__xludf.DUMMYFUNCTION("""COMPUTED_VALUE"""),"AM")</f>
        <v>AM</v>
      </c>
      <c r="K308" s="98">
        <f ca="1">IFERROR(__xludf.DUMMYFUNCTION("""COMPUTED_VALUE"""),107)</f>
        <v>107</v>
      </c>
      <c r="L308" s="42" t="str">
        <f ca="1">IFERROR(__xludf.DUMMYFUNCTION("""COMPUTED_VALUE"""),"TRIMESTRE 1")</f>
        <v>TRIMESTRE 1</v>
      </c>
      <c r="M308" s="42" t="str">
        <f ca="1">IFERROR(__xludf.DUMMYFUNCTION("""COMPUTED_VALUE"""),"ADOLESCENTES MUJERES")</f>
        <v>ADOLESCENTES MUJERES</v>
      </c>
    </row>
    <row r="309" spans="1:13">
      <c r="A309" s="42" t="str">
        <f ca="1">IFERROR(__xludf.DUMMYFUNCTION("""COMPUTED_VALUE"""),"2.1.1.14")</f>
        <v>2.1.1.14</v>
      </c>
      <c r="B309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09" s="42" t="str">
        <f ca="1">IFERROR(__xludf.DUMMYFUNCTION("""COMPUTED_VALUE"""),"3. Operación")</f>
        <v>3. Operación</v>
      </c>
      <c r="D309" s="42" t="str">
        <f ca="1">IFERROR(__xludf.DUMMYFUNCTION("""COMPUTED_VALUE"""),"Guadalajara en Paz")</f>
        <v>Guadalajara en Paz</v>
      </c>
      <c r="E309" s="42" t="str">
        <f ca="1">IFERROR(__xludf.DUMMYFUNCTION("""COMPUTED_VALUE"""),"Desarrollo de Habilidades y Profesionalización")</f>
        <v>Desarrollo de Habilidades y Profesionalización</v>
      </c>
      <c r="F309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09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09" s="42" t="str">
        <f ca="1">IFERROR(__xludf.DUMMYFUNCTION("""COMPUTED_VALUE"""),"AH MARZO")</f>
        <v>AH MARZO</v>
      </c>
      <c r="I309" s="42" t="str">
        <f ca="1">IFERROR(__xludf.DUMMYFUNCTION("""COMPUTED_VALUE"""),"Marzo")</f>
        <v>Marzo</v>
      </c>
      <c r="J309" s="42" t="str">
        <f ca="1">IFERROR(__xludf.DUMMYFUNCTION("""COMPUTED_VALUE"""),"AH")</f>
        <v>AH</v>
      </c>
      <c r="K309" s="98">
        <f ca="1">IFERROR(__xludf.DUMMYFUNCTION("""COMPUTED_VALUE"""),38)</f>
        <v>38</v>
      </c>
      <c r="L309" s="42" t="str">
        <f ca="1">IFERROR(__xludf.DUMMYFUNCTION("""COMPUTED_VALUE"""),"TRIMESTRE 1")</f>
        <v>TRIMESTRE 1</v>
      </c>
      <c r="M309" s="42" t="str">
        <f ca="1">IFERROR(__xludf.DUMMYFUNCTION("""COMPUTED_VALUE"""),"ADOLESCENTES HOMBRES")</f>
        <v>ADOLESCENTES HOMBRES</v>
      </c>
    </row>
    <row r="310" spans="1:13">
      <c r="A310" s="42" t="str">
        <f ca="1">IFERROR(__xludf.DUMMYFUNCTION("""COMPUTED_VALUE"""),"2.1.1.14")</f>
        <v>2.1.1.14</v>
      </c>
      <c r="B310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10" s="42" t="str">
        <f ca="1">IFERROR(__xludf.DUMMYFUNCTION("""COMPUTED_VALUE"""),"3. Operación")</f>
        <v>3. Operación</v>
      </c>
      <c r="D310" s="42" t="str">
        <f ca="1">IFERROR(__xludf.DUMMYFUNCTION("""COMPUTED_VALUE"""),"Guadalajara en Paz")</f>
        <v>Guadalajara en Paz</v>
      </c>
      <c r="E310" s="42" t="str">
        <f ca="1">IFERROR(__xludf.DUMMYFUNCTION("""COMPUTED_VALUE"""),"Desarrollo de Habilidades y Profesionalización")</f>
        <v>Desarrollo de Habilidades y Profesionalización</v>
      </c>
      <c r="F310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10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10" s="42" t="str">
        <f ca="1">IFERROR(__xludf.DUMMYFUNCTION("""COMPUTED_VALUE"""),"MUJ Marzo")</f>
        <v>MUJ Marzo</v>
      </c>
      <c r="I310" s="42" t="str">
        <f ca="1">IFERROR(__xludf.DUMMYFUNCTION("""COMPUTED_VALUE"""),"Marzo")</f>
        <v>Marzo</v>
      </c>
      <c r="J310" s="42" t="str">
        <f ca="1">IFERROR(__xludf.DUMMYFUNCTION("""COMPUTED_VALUE"""),"MUJ")</f>
        <v>MUJ</v>
      </c>
      <c r="K310" s="98">
        <f ca="1">IFERROR(__xludf.DUMMYFUNCTION("""COMPUTED_VALUE"""),974)</f>
        <v>974</v>
      </c>
      <c r="L310" s="42" t="str">
        <f ca="1">IFERROR(__xludf.DUMMYFUNCTION("""COMPUTED_VALUE"""),"TRIMESTRE 1")</f>
        <v>TRIMESTRE 1</v>
      </c>
      <c r="M310" s="42" t="str">
        <f ca="1">IFERROR(__xludf.DUMMYFUNCTION("""COMPUTED_VALUE"""),"MUJERES ADULTAS")</f>
        <v>MUJERES ADULTAS</v>
      </c>
    </row>
    <row r="311" spans="1:13">
      <c r="A311" s="42" t="str">
        <f ca="1">IFERROR(__xludf.DUMMYFUNCTION("""COMPUTED_VALUE"""),"2.1.1.14")</f>
        <v>2.1.1.14</v>
      </c>
      <c r="B311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11" s="42" t="str">
        <f ca="1">IFERROR(__xludf.DUMMYFUNCTION("""COMPUTED_VALUE"""),"3. Operación")</f>
        <v>3. Operación</v>
      </c>
      <c r="D311" s="42" t="str">
        <f ca="1">IFERROR(__xludf.DUMMYFUNCTION("""COMPUTED_VALUE"""),"Guadalajara en Paz")</f>
        <v>Guadalajara en Paz</v>
      </c>
      <c r="E311" s="42" t="str">
        <f ca="1">IFERROR(__xludf.DUMMYFUNCTION("""COMPUTED_VALUE"""),"Desarrollo de Habilidades y Profesionalización")</f>
        <v>Desarrollo de Habilidades y Profesionalización</v>
      </c>
      <c r="F311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11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11" s="42" t="str">
        <f ca="1">IFERROR(__xludf.DUMMYFUNCTION("""COMPUTED_VALUE"""),"HOM Marzo")</f>
        <v>HOM Marzo</v>
      </c>
      <c r="I311" s="42" t="str">
        <f ca="1">IFERROR(__xludf.DUMMYFUNCTION("""COMPUTED_VALUE"""),"Marzo")</f>
        <v>Marzo</v>
      </c>
      <c r="J311" s="42" t="str">
        <f ca="1">IFERROR(__xludf.DUMMYFUNCTION("""COMPUTED_VALUE"""),"HOM")</f>
        <v>HOM</v>
      </c>
      <c r="K311" s="98">
        <f ca="1">IFERROR(__xludf.DUMMYFUNCTION("""COMPUTED_VALUE"""),94)</f>
        <v>94</v>
      </c>
      <c r="L311" s="42" t="str">
        <f ca="1">IFERROR(__xludf.DUMMYFUNCTION("""COMPUTED_VALUE"""),"TRIMESTRE 1")</f>
        <v>TRIMESTRE 1</v>
      </c>
      <c r="M311" s="42" t="str">
        <f ca="1">IFERROR(__xludf.DUMMYFUNCTION("""COMPUTED_VALUE"""),"HOMBRES ADULTOS")</f>
        <v>HOMBRES ADULTOS</v>
      </c>
    </row>
    <row r="312" spans="1:13">
      <c r="A312" s="42" t="str">
        <f ca="1">IFERROR(__xludf.DUMMYFUNCTION("""COMPUTED_VALUE"""),"2.1.1.14")</f>
        <v>2.1.1.14</v>
      </c>
      <c r="B312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12" s="42" t="str">
        <f ca="1">IFERROR(__xludf.DUMMYFUNCTION("""COMPUTED_VALUE"""),"3. Operación")</f>
        <v>3. Operación</v>
      </c>
      <c r="D312" s="42" t="str">
        <f ca="1">IFERROR(__xludf.DUMMYFUNCTION("""COMPUTED_VALUE"""),"Guadalajara en Paz")</f>
        <v>Guadalajara en Paz</v>
      </c>
      <c r="E312" s="42" t="str">
        <f ca="1">IFERROR(__xludf.DUMMYFUNCTION("""COMPUTED_VALUE"""),"Desarrollo de Habilidades y Profesionalización")</f>
        <v>Desarrollo de Habilidades y Profesionalización</v>
      </c>
      <c r="F312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12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12" s="42" t="str">
        <f ca="1">IFERROR(__xludf.DUMMYFUNCTION("""COMPUTED_VALUE"""),"AMM Marzo")</f>
        <v>AMM Marzo</v>
      </c>
      <c r="I312" s="42" t="str">
        <f ca="1">IFERROR(__xludf.DUMMYFUNCTION("""COMPUTED_VALUE"""),"Marzo")</f>
        <v>Marzo</v>
      </c>
      <c r="J312" s="42" t="str">
        <f ca="1">IFERROR(__xludf.DUMMYFUNCTION("""COMPUTED_VALUE"""),"AMM")</f>
        <v>AMM</v>
      </c>
      <c r="K312" s="98">
        <f ca="1">IFERROR(__xludf.DUMMYFUNCTION("""COMPUTED_VALUE"""),235)</f>
        <v>235</v>
      </c>
      <c r="L312" s="42" t="str">
        <f ca="1">IFERROR(__xludf.DUMMYFUNCTION("""COMPUTED_VALUE"""),"TRIMESTRE 1")</f>
        <v>TRIMESTRE 1</v>
      </c>
      <c r="M312" s="42" t="str">
        <f ca="1">IFERROR(__xludf.DUMMYFUNCTION("""COMPUTED_VALUE"""),"ADULTA MAYOR MUJER")</f>
        <v>ADULTA MAYOR MUJER</v>
      </c>
    </row>
    <row r="313" spans="1:13">
      <c r="A313" s="42" t="str">
        <f ca="1">IFERROR(__xludf.DUMMYFUNCTION("""COMPUTED_VALUE"""),"2.1.1.14")</f>
        <v>2.1.1.14</v>
      </c>
      <c r="B313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13" s="42" t="str">
        <f ca="1">IFERROR(__xludf.DUMMYFUNCTION("""COMPUTED_VALUE"""),"3. Operación")</f>
        <v>3. Operación</v>
      </c>
      <c r="D313" s="42" t="str">
        <f ca="1">IFERROR(__xludf.DUMMYFUNCTION("""COMPUTED_VALUE"""),"Guadalajara en Paz")</f>
        <v>Guadalajara en Paz</v>
      </c>
      <c r="E313" s="42" t="str">
        <f ca="1">IFERROR(__xludf.DUMMYFUNCTION("""COMPUTED_VALUE"""),"Desarrollo de Habilidades y Profesionalización")</f>
        <v>Desarrollo de Habilidades y Profesionalización</v>
      </c>
      <c r="F313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13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13" s="42" t="str">
        <f ca="1">IFERROR(__xludf.DUMMYFUNCTION("""COMPUTED_VALUE"""),"AMH Marzo")</f>
        <v>AMH Marzo</v>
      </c>
      <c r="I313" s="42" t="str">
        <f ca="1">IFERROR(__xludf.DUMMYFUNCTION("""COMPUTED_VALUE"""),"Marzo")</f>
        <v>Marzo</v>
      </c>
      <c r="J313" s="42" t="str">
        <f ca="1">IFERROR(__xludf.DUMMYFUNCTION("""COMPUTED_VALUE"""),"AMH")</f>
        <v>AMH</v>
      </c>
      <c r="K313" s="98">
        <f ca="1">IFERROR(__xludf.DUMMYFUNCTION("""COMPUTED_VALUE"""),26)</f>
        <v>26</v>
      </c>
      <c r="L313" s="42" t="str">
        <f ca="1">IFERROR(__xludf.DUMMYFUNCTION("""COMPUTED_VALUE"""),"TRIMESTRE 1")</f>
        <v>TRIMESTRE 1</v>
      </c>
      <c r="M313" s="42" t="str">
        <f ca="1">IFERROR(__xludf.DUMMYFUNCTION("""COMPUTED_VALUE"""),"ADULTO MAYOR HOMBRE")</f>
        <v>ADULTO MAYOR HOMBRE</v>
      </c>
    </row>
    <row r="314" spans="1:13">
      <c r="A314" s="42" t="str">
        <f ca="1">IFERROR(__xludf.DUMMYFUNCTION("""COMPUTED_VALUE"""),"2.1.1.14")</f>
        <v>2.1.1.14</v>
      </c>
      <c r="B314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14" s="42" t="str">
        <f ca="1">IFERROR(__xludf.DUMMYFUNCTION("""COMPUTED_VALUE"""),"3. Operación")</f>
        <v>3. Operación</v>
      </c>
      <c r="D314" s="42" t="str">
        <f ca="1">IFERROR(__xludf.DUMMYFUNCTION("""COMPUTED_VALUE"""),"Guadalajara en Paz")</f>
        <v>Guadalajara en Paz</v>
      </c>
      <c r="E314" s="42" t="str">
        <f ca="1">IFERROR(__xludf.DUMMYFUNCTION("""COMPUTED_VALUE"""),"Desarrollo de Habilidades y Profesionalización")</f>
        <v>Desarrollo de Habilidades y Profesionalización</v>
      </c>
      <c r="F314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14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14" s="42" t="str">
        <f ca="1">IFERROR(__xludf.DUMMYFUNCTION("""COMPUTED_VALUE"""),"NAS Abril")</f>
        <v>NAS Abril</v>
      </c>
      <c r="I314" s="42" t="str">
        <f ca="1">IFERROR(__xludf.DUMMYFUNCTION("""COMPUTED_VALUE"""),"Abril")</f>
        <v>Abril</v>
      </c>
      <c r="J314" s="42" t="str">
        <f ca="1">IFERROR(__xludf.DUMMYFUNCTION("""COMPUTED_VALUE"""),"NAS")</f>
        <v>NAS</v>
      </c>
      <c r="K314" s="98">
        <f ca="1">IFERROR(__xludf.DUMMYFUNCTION("""COMPUTED_VALUE"""),147)</f>
        <v>147</v>
      </c>
      <c r="L314" s="42" t="str">
        <f ca="1">IFERROR(__xludf.DUMMYFUNCTION("""COMPUTED_VALUE"""),"TRIMESTRE 2")</f>
        <v>TRIMESTRE 2</v>
      </c>
      <c r="M314" s="42" t="str">
        <f ca="1">IFERROR(__xludf.DUMMYFUNCTION("""COMPUTED_VALUE"""),"NIÑAS")</f>
        <v>NIÑAS</v>
      </c>
    </row>
    <row r="315" spans="1:13">
      <c r="A315" s="42" t="str">
        <f ca="1">IFERROR(__xludf.DUMMYFUNCTION("""COMPUTED_VALUE"""),"2.1.1.14")</f>
        <v>2.1.1.14</v>
      </c>
      <c r="B315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15" s="42" t="str">
        <f ca="1">IFERROR(__xludf.DUMMYFUNCTION("""COMPUTED_VALUE"""),"3. Operación")</f>
        <v>3. Operación</v>
      </c>
      <c r="D315" s="42" t="str">
        <f ca="1">IFERROR(__xludf.DUMMYFUNCTION("""COMPUTED_VALUE"""),"Guadalajara en Paz")</f>
        <v>Guadalajara en Paz</v>
      </c>
      <c r="E315" s="42" t="str">
        <f ca="1">IFERROR(__xludf.DUMMYFUNCTION("""COMPUTED_VALUE"""),"Desarrollo de Habilidades y Profesionalización")</f>
        <v>Desarrollo de Habilidades y Profesionalización</v>
      </c>
      <c r="F315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15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15" s="42" t="str">
        <f ca="1">IFERROR(__xludf.DUMMYFUNCTION("""COMPUTED_VALUE"""),"NOS Abril")</f>
        <v>NOS Abril</v>
      </c>
      <c r="I315" s="42" t="str">
        <f ca="1">IFERROR(__xludf.DUMMYFUNCTION("""COMPUTED_VALUE"""),"Abril")</f>
        <v>Abril</v>
      </c>
      <c r="J315" s="42" t="str">
        <f ca="1">IFERROR(__xludf.DUMMYFUNCTION("""COMPUTED_VALUE"""),"NOS")</f>
        <v>NOS</v>
      </c>
      <c r="K315" s="98">
        <f ca="1">IFERROR(__xludf.DUMMYFUNCTION("""COMPUTED_VALUE"""),128)</f>
        <v>128</v>
      </c>
      <c r="L315" s="42" t="str">
        <f ca="1">IFERROR(__xludf.DUMMYFUNCTION("""COMPUTED_VALUE"""),"TRIMESTRE 2")</f>
        <v>TRIMESTRE 2</v>
      </c>
      <c r="M315" s="42" t="str">
        <f ca="1">IFERROR(__xludf.DUMMYFUNCTION("""COMPUTED_VALUE"""),"NIÑOS")</f>
        <v>NIÑOS</v>
      </c>
    </row>
    <row r="316" spans="1:13">
      <c r="A316" s="42" t="str">
        <f ca="1">IFERROR(__xludf.DUMMYFUNCTION("""COMPUTED_VALUE"""),"2.1.1.14")</f>
        <v>2.1.1.14</v>
      </c>
      <c r="B316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16" s="42" t="str">
        <f ca="1">IFERROR(__xludf.DUMMYFUNCTION("""COMPUTED_VALUE"""),"3. Operación")</f>
        <v>3. Operación</v>
      </c>
      <c r="D316" s="42" t="str">
        <f ca="1">IFERROR(__xludf.DUMMYFUNCTION("""COMPUTED_VALUE"""),"Guadalajara en Paz")</f>
        <v>Guadalajara en Paz</v>
      </c>
      <c r="E316" s="42" t="str">
        <f ca="1">IFERROR(__xludf.DUMMYFUNCTION("""COMPUTED_VALUE"""),"Desarrollo de Habilidades y Profesionalización")</f>
        <v>Desarrollo de Habilidades y Profesionalización</v>
      </c>
      <c r="F316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16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16" s="42" t="str">
        <f ca="1">IFERROR(__xludf.DUMMYFUNCTION("""COMPUTED_VALUE"""),"AM ABRIL")</f>
        <v>AM ABRIL</v>
      </c>
      <c r="I316" s="42" t="str">
        <f ca="1">IFERROR(__xludf.DUMMYFUNCTION("""COMPUTED_VALUE"""),"Abril")</f>
        <v>Abril</v>
      </c>
      <c r="J316" s="42" t="str">
        <f ca="1">IFERROR(__xludf.DUMMYFUNCTION("""COMPUTED_VALUE"""),"AM")</f>
        <v>AM</v>
      </c>
      <c r="K316" s="98">
        <f ca="1">IFERROR(__xludf.DUMMYFUNCTION("""COMPUTED_VALUE"""),89)</f>
        <v>89</v>
      </c>
      <c r="L316" s="42" t="str">
        <f ca="1">IFERROR(__xludf.DUMMYFUNCTION("""COMPUTED_VALUE"""),"TRIMESTRE 2")</f>
        <v>TRIMESTRE 2</v>
      </c>
      <c r="M316" s="42" t="str">
        <f ca="1">IFERROR(__xludf.DUMMYFUNCTION("""COMPUTED_VALUE"""),"ADOLESCENTES MUJERES")</f>
        <v>ADOLESCENTES MUJERES</v>
      </c>
    </row>
    <row r="317" spans="1:13">
      <c r="A317" s="42" t="str">
        <f ca="1">IFERROR(__xludf.DUMMYFUNCTION("""COMPUTED_VALUE"""),"2.1.1.14")</f>
        <v>2.1.1.14</v>
      </c>
      <c r="B317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17" s="42" t="str">
        <f ca="1">IFERROR(__xludf.DUMMYFUNCTION("""COMPUTED_VALUE"""),"3. Operación")</f>
        <v>3. Operación</v>
      </c>
      <c r="D317" s="42" t="str">
        <f ca="1">IFERROR(__xludf.DUMMYFUNCTION("""COMPUTED_VALUE"""),"Guadalajara en Paz")</f>
        <v>Guadalajara en Paz</v>
      </c>
      <c r="E317" s="42" t="str">
        <f ca="1">IFERROR(__xludf.DUMMYFUNCTION("""COMPUTED_VALUE"""),"Desarrollo de Habilidades y Profesionalización")</f>
        <v>Desarrollo de Habilidades y Profesionalización</v>
      </c>
      <c r="F317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17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17" s="42" t="str">
        <f ca="1">IFERROR(__xludf.DUMMYFUNCTION("""COMPUTED_VALUE"""),"AH ABRIL")</f>
        <v>AH ABRIL</v>
      </c>
      <c r="I317" s="42" t="str">
        <f ca="1">IFERROR(__xludf.DUMMYFUNCTION("""COMPUTED_VALUE"""),"Abril")</f>
        <v>Abril</v>
      </c>
      <c r="J317" s="42" t="str">
        <f ca="1">IFERROR(__xludf.DUMMYFUNCTION("""COMPUTED_VALUE"""),"AH")</f>
        <v>AH</v>
      </c>
      <c r="K317" s="98">
        <f ca="1">IFERROR(__xludf.DUMMYFUNCTION("""COMPUTED_VALUE"""),41)</f>
        <v>41</v>
      </c>
      <c r="L317" s="42" t="str">
        <f ca="1">IFERROR(__xludf.DUMMYFUNCTION("""COMPUTED_VALUE"""),"TRIMESTRE 2")</f>
        <v>TRIMESTRE 2</v>
      </c>
      <c r="M317" s="42" t="str">
        <f ca="1">IFERROR(__xludf.DUMMYFUNCTION("""COMPUTED_VALUE"""),"ADOLESCENTES HOMBRES")</f>
        <v>ADOLESCENTES HOMBRES</v>
      </c>
    </row>
    <row r="318" spans="1:13">
      <c r="A318" s="42" t="str">
        <f ca="1">IFERROR(__xludf.DUMMYFUNCTION("""COMPUTED_VALUE"""),"2.1.1.14")</f>
        <v>2.1.1.14</v>
      </c>
      <c r="B318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18" s="42" t="str">
        <f ca="1">IFERROR(__xludf.DUMMYFUNCTION("""COMPUTED_VALUE"""),"3. Operación")</f>
        <v>3. Operación</v>
      </c>
      <c r="D318" s="42" t="str">
        <f ca="1">IFERROR(__xludf.DUMMYFUNCTION("""COMPUTED_VALUE"""),"Guadalajara en Paz")</f>
        <v>Guadalajara en Paz</v>
      </c>
      <c r="E318" s="42" t="str">
        <f ca="1">IFERROR(__xludf.DUMMYFUNCTION("""COMPUTED_VALUE"""),"Desarrollo de Habilidades y Profesionalización")</f>
        <v>Desarrollo de Habilidades y Profesionalización</v>
      </c>
      <c r="F318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18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18" s="42" t="str">
        <f ca="1">IFERROR(__xludf.DUMMYFUNCTION("""COMPUTED_VALUE"""),"MUJ Abril")</f>
        <v>MUJ Abril</v>
      </c>
      <c r="I318" s="42" t="str">
        <f ca="1">IFERROR(__xludf.DUMMYFUNCTION("""COMPUTED_VALUE"""),"Abril")</f>
        <v>Abril</v>
      </c>
      <c r="J318" s="42" t="str">
        <f ca="1">IFERROR(__xludf.DUMMYFUNCTION("""COMPUTED_VALUE"""),"MUJ")</f>
        <v>MUJ</v>
      </c>
      <c r="K318" s="98">
        <f ca="1">IFERROR(__xludf.DUMMYFUNCTION("""COMPUTED_VALUE"""),779)</f>
        <v>779</v>
      </c>
      <c r="L318" s="42" t="str">
        <f ca="1">IFERROR(__xludf.DUMMYFUNCTION("""COMPUTED_VALUE"""),"TRIMESTRE 2")</f>
        <v>TRIMESTRE 2</v>
      </c>
      <c r="M318" s="42" t="str">
        <f ca="1">IFERROR(__xludf.DUMMYFUNCTION("""COMPUTED_VALUE"""),"MUJERES ADULTAS")</f>
        <v>MUJERES ADULTAS</v>
      </c>
    </row>
    <row r="319" spans="1:13">
      <c r="A319" s="42" t="str">
        <f ca="1">IFERROR(__xludf.DUMMYFUNCTION("""COMPUTED_VALUE"""),"2.1.1.14")</f>
        <v>2.1.1.14</v>
      </c>
      <c r="B319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19" s="42" t="str">
        <f ca="1">IFERROR(__xludf.DUMMYFUNCTION("""COMPUTED_VALUE"""),"3. Operación")</f>
        <v>3. Operación</v>
      </c>
      <c r="D319" s="42" t="str">
        <f ca="1">IFERROR(__xludf.DUMMYFUNCTION("""COMPUTED_VALUE"""),"Guadalajara en Paz")</f>
        <v>Guadalajara en Paz</v>
      </c>
      <c r="E319" s="42" t="str">
        <f ca="1">IFERROR(__xludf.DUMMYFUNCTION("""COMPUTED_VALUE"""),"Desarrollo de Habilidades y Profesionalización")</f>
        <v>Desarrollo de Habilidades y Profesionalización</v>
      </c>
      <c r="F319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19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19" s="42" t="str">
        <f ca="1">IFERROR(__xludf.DUMMYFUNCTION("""COMPUTED_VALUE"""),"HOM Abril")</f>
        <v>HOM Abril</v>
      </c>
      <c r="I319" s="42" t="str">
        <f ca="1">IFERROR(__xludf.DUMMYFUNCTION("""COMPUTED_VALUE"""),"Abril")</f>
        <v>Abril</v>
      </c>
      <c r="J319" s="42" t="str">
        <f ca="1">IFERROR(__xludf.DUMMYFUNCTION("""COMPUTED_VALUE"""),"HOM")</f>
        <v>HOM</v>
      </c>
      <c r="K319" s="98">
        <f ca="1">IFERROR(__xludf.DUMMYFUNCTION("""COMPUTED_VALUE"""),52)</f>
        <v>52</v>
      </c>
      <c r="L319" s="42" t="str">
        <f ca="1">IFERROR(__xludf.DUMMYFUNCTION("""COMPUTED_VALUE"""),"TRIMESTRE 2")</f>
        <v>TRIMESTRE 2</v>
      </c>
      <c r="M319" s="42" t="str">
        <f ca="1">IFERROR(__xludf.DUMMYFUNCTION("""COMPUTED_VALUE"""),"HOMBRES ADULTOS")</f>
        <v>HOMBRES ADULTOS</v>
      </c>
    </row>
    <row r="320" spans="1:13">
      <c r="A320" s="42" t="str">
        <f ca="1">IFERROR(__xludf.DUMMYFUNCTION("""COMPUTED_VALUE"""),"2.1.1.14")</f>
        <v>2.1.1.14</v>
      </c>
      <c r="B320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20" s="42" t="str">
        <f ca="1">IFERROR(__xludf.DUMMYFUNCTION("""COMPUTED_VALUE"""),"3. Operación")</f>
        <v>3. Operación</v>
      </c>
      <c r="D320" s="42" t="str">
        <f ca="1">IFERROR(__xludf.DUMMYFUNCTION("""COMPUTED_VALUE"""),"Guadalajara en Paz")</f>
        <v>Guadalajara en Paz</v>
      </c>
      <c r="E320" s="42" t="str">
        <f ca="1">IFERROR(__xludf.DUMMYFUNCTION("""COMPUTED_VALUE"""),"Desarrollo de Habilidades y Profesionalización")</f>
        <v>Desarrollo de Habilidades y Profesionalización</v>
      </c>
      <c r="F320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20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20" s="42" t="str">
        <f ca="1">IFERROR(__xludf.DUMMYFUNCTION("""COMPUTED_VALUE"""),"AMM Abril")</f>
        <v>AMM Abril</v>
      </c>
      <c r="I320" s="42" t="str">
        <f ca="1">IFERROR(__xludf.DUMMYFUNCTION("""COMPUTED_VALUE"""),"Abril")</f>
        <v>Abril</v>
      </c>
      <c r="J320" s="42" t="str">
        <f ca="1">IFERROR(__xludf.DUMMYFUNCTION("""COMPUTED_VALUE"""),"AMM")</f>
        <v>AMM</v>
      </c>
      <c r="K320" s="98">
        <f ca="1">IFERROR(__xludf.DUMMYFUNCTION("""COMPUTED_VALUE"""),177)</f>
        <v>177</v>
      </c>
      <c r="L320" s="42" t="str">
        <f ca="1">IFERROR(__xludf.DUMMYFUNCTION("""COMPUTED_VALUE"""),"TRIMESTRE 2")</f>
        <v>TRIMESTRE 2</v>
      </c>
      <c r="M320" s="42" t="str">
        <f ca="1">IFERROR(__xludf.DUMMYFUNCTION("""COMPUTED_VALUE"""),"ADULTA MAYOR MUJER")</f>
        <v>ADULTA MAYOR MUJER</v>
      </c>
    </row>
    <row r="321" spans="1:13">
      <c r="A321" s="42" t="str">
        <f ca="1">IFERROR(__xludf.DUMMYFUNCTION("""COMPUTED_VALUE"""),"2.1.1.14")</f>
        <v>2.1.1.14</v>
      </c>
      <c r="B321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21" s="42" t="str">
        <f ca="1">IFERROR(__xludf.DUMMYFUNCTION("""COMPUTED_VALUE"""),"3. Operación")</f>
        <v>3. Operación</v>
      </c>
      <c r="D321" s="42" t="str">
        <f ca="1">IFERROR(__xludf.DUMMYFUNCTION("""COMPUTED_VALUE"""),"Guadalajara en Paz")</f>
        <v>Guadalajara en Paz</v>
      </c>
      <c r="E321" s="42" t="str">
        <f ca="1">IFERROR(__xludf.DUMMYFUNCTION("""COMPUTED_VALUE"""),"Desarrollo de Habilidades y Profesionalización")</f>
        <v>Desarrollo de Habilidades y Profesionalización</v>
      </c>
      <c r="F321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21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21" s="42" t="str">
        <f ca="1">IFERROR(__xludf.DUMMYFUNCTION("""COMPUTED_VALUE"""),"AMH Abril")</f>
        <v>AMH Abril</v>
      </c>
      <c r="I321" s="42" t="str">
        <f ca="1">IFERROR(__xludf.DUMMYFUNCTION("""COMPUTED_VALUE"""),"Abril")</f>
        <v>Abril</v>
      </c>
      <c r="J321" s="42" t="str">
        <f ca="1">IFERROR(__xludf.DUMMYFUNCTION("""COMPUTED_VALUE"""),"AMH")</f>
        <v>AMH</v>
      </c>
      <c r="K321" s="98">
        <f ca="1">IFERROR(__xludf.DUMMYFUNCTION("""COMPUTED_VALUE"""),27)</f>
        <v>27</v>
      </c>
      <c r="L321" s="42" t="str">
        <f ca="1">IFERROR(__xludf.DUMMYFUNCTION("""COMPUTED_VALUE"""),"TRIMESTRE 2")</f>
        <v>TRIMESTRE 2</v>
      </c>
      <c r="M321" s="42" t="str">
        <f ca="1">IFERROR(__xludf.DUMMYFUNCTION("""COMPUTED_VALUE"""),"ADULTO MAYOR HOMBRE")</f>
        <v>ADULTO MAYOR HOMBRE</v>
      </c>
    </row>
    <row r="322" spans="1:13">
      <c r="A322" s="42" t="str">
        <f ca="1">IFERROR(__xludf.DUMMYFUNCTION("""COMPUTED_VALUE"""),"2.1.1.14")</f>
        <v>2.1.1.14</v>
      </c>
      <c r="B322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22" s="42" t="str">
        <f ca="1">IFERROR(__xludf.DUMMYFUNCTION("""COMPUTED_VALUE"""),"3. Operación")</f>
        <v>3. Operación</v>
      </c>
      <c r="D322" s="42" t="str">
        <f ca="1">IFERROR(__xludf.DUMMYFUNCTION("""COMPUTED_VALUE"""),"Guadalajara en Paz")</f>
        <v>Guadalajara en Paz</v>
      </c>
      <c r="E322" s="42" t="str">
        <f ca="1">IFERROR(__xludf.DUMMYFUNCTION("""COMPUTED_VALUE"""),"Desarrollo de Habilidades y Profesionalización")</f>
        <v>Desarrollo de Habilidades y Profesionalización</v>
      </c>
      <c r="F322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22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22" s="42" t="str">
        <f ca="1">IFERROR(__xludf.DUMMYFUNCTION("""COMPUTED_VALUE"""),"NAS Mayo")</f>
        <v>NAS Mayo</v>
      </c>
      <c r="I322" s="42" t="str">
        <f ca="1">IFERROR(__xludf.DUMMYFUNCTION("""COMPUTED_VALUE"""),"Mayo")</f>
        <v>Mayo</v>
      </c>
      <c r="J322" s="42" t="str">
        <f ca="1">IFERROR(__xludf.DUMMYFUNCTION("""COMPUTED_VALUE"""),"NAS")</f>
        <v>NAS</v>
      </c>
      <c r="K322" s="98">
        <f ca="1">IFERROR(__xludf.DUMMYFUNCTION("""COMPUTED_VALUE"""),160)</f>
        <v>160</v>
      </c>
      <c r="L322" s="42" t="str">
        <f ca="1">IFERROR(__xludf.DUMMYFUNCTION("""COMPUTED_VALUE"""),"TRIMESTRE 2")</f>
        <v>TRIMESTRE 2</v>
      </c>
      <c r="M322" s="42" t="str">
        <f ca="1">IFERROR(__xludf.DUMMYFUNCTION("""COMPUTED_VALUE"""),"NIÑAS")</f>
        <v>NIÑAS</v>
      </c>
    </row>
    <row r="323" spans="1:13">
      <c r="A323" s="42" t="str">
        <f ca="1">IFERROR(__xludf.DUMMYFUNCTION("""COMPUTED_VALUE"""),"2.1.1.14")</f>
        <v>2.1.1.14</v>
      </c>
      <c r="B323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23" s="42" t="str">
        <f ca="1">IFERROR(__xludf.DUMMYFUNCTION("""COMPUTED_VALUE"""),"3. Operación")</f>
        <v>3. Operación</v>
      </c>
      <c r="D323" s="42" t="str">
        <f ca="1">IFERROR(__xludf.DUMMYFUNCTION("""COMPUTED_VALUE"""),"Guadalajara en Paz")</f>
        <v>Guadalajara en Paz</v>
      </c>
      <c r="E323" s="42" t="str">
        <f ca="1">IFERROR(__xludf.DUMMYFUNCTION("""COMPUTED_VALUE"""),"Desarrollo de Habilidades y Profesionalización")</f>
        <v>Desarrollo de Habilidades y Profesionalización</v>
      </c>
      <c r="F323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23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23" s="42" t="str">
        <f ca="1">IFERROR(__xludf.DUMMYFUNCTION("""COMPUTED_VALUE"""),"NOS Mayo")</f>
        <v>NOS Mayo</v>
      </c>
      <c r="I323" s="42" t="str">
        <f ca="1">IFERROR(__xludf.DUMMYFUNCTION("""COMPUTED_VALUE"""),"Mayo")</f>
        <v>Mayo</v>
      </c>
      <c r="J323" s="42" t="str">
        <f ca="1">IFERROR(__xludf.DUMMYFUNCTION("""COMPUTED_VALUE"""),"NOS")</f>
        <v>NOS</v>
      </c>
      <c r="K323" s="98">
        <f ca="1">IFERROR(__xludf.DUMMYFUNCTION("""COMPUTED_VALUE"""),150)</f>
        <v>150</v>
      </c>
      <c r="L323" s="42" t="str">
        <f ca="1">IFERROR(__xludf.DUMMYFUNCTION("""COMPUTED_VALUE"""),"TRIMESTRE 2")</f>
        <v>TRIMESTRE 2</v>
      </c>
      <c r="M323" s="42" t="str">
        <f ca="1">IFERROR(__xludf.DUMMYFUNCTION("""COMPUTED_VALUE"""),"NIÑOS")</f>
        <v>NIÑOS</v>
      </c>
    </row>
    <row r="324" spans="1:13">
      <c r="A324" s="42" t="str">
        <f ca="1">IFERROR(__xludf.DUMMYFUNCTION("""COMPUTED_VALUE"""),"2.1.1.14")</f>
        <v>2.1.1.14</v>
      </c>
      <c r="B324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24" s="42" t="str">
        <f ca="1">IFERROR(__xludf.DUMMYFUNCTION("""COMPUTED_VALUE"""),"3. Operación")</f>
        <v>3. Operación</v>
      </c>
      <c r="D324" s="42" t="str">
        <f ca="1">IFERROR(__xludf.DUMMYFUNCTION("""COMPUTED_VALUE"""),"Guadalajara en Paz")</f>
        <v>Guadalajara en Paz</v>
      </c>
      <c r="E324" s="42" t="str">
        <f ca="1">IFERROR(__xludf.DUMMYFUNCTION("""COMPUTED_VALUE"""),"Desarrollo de Habilidades y Profesionalización")</f>
        <v>Desarrollo de Habilidades y Profesionalización</v>
      </c>
      <c r="F324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24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24" s="42" t="str">
        <f ca="1">IFERROR(__xludf.DUMMYFUNCTION("""COMPUTED_VALUE"""),"AM MAYO")</f>
        <v>AM MAYO</v>
      </c>
      <c r="I324" s="42" t="str">
        <f ca="1">IFERROR(__xludf.DUMMYFUNCTION("""COMPUTED_VALUE"""),"Mayo")</f>
        <v>Mayo</v>
      </c>
      <c r="J324" s="42" t="str">
        <f ca="1">IFERROR(__xludf.DUMMYFUNCTION("""COMPUTED_VALUE"""),"AM")</f>
        <v>AM</v>
      </c>
      <c r="K324" s="98">
        <f ca="1">IFERROR(__xludf.DUMMYFUNCTION("""COMPUTED_VALUE"""),78)</f>
        <v>78</v>
      </c>
      <c r="L324" s="42" t="str">
        <f ca="1">IFERROR(__xludf.DUMMYFUNCTION("""COMPUTED_VALUE"""),"TRIMESTRE 2")</f>
        <v>TRIMESTRE 2</v>
      </c>
      <c r="M324" s="42" t="str">
        <f ca="1">IFERROR(__xludf.DUMMYFUNCTION("""COMPUTED_VALUE"""),"ADOLESCENTES MUJERES")</f>
        <v>ADOLESCENTES MUJERES</v>
      </c>
    </row>
    <row r="325" spans="1:13">
      <c r="A325" s="42" t="str">
        <f ca="1">IFERROR(__xludf.DUMMYFUNCTION("""COMPUTED_VALUE"""),"2.1.1.14")</f>
        <v>2.1.1.14</v>
      </c>
      <c r="B325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25" s="42" t="str">
        <f ca="1">IFERROR(__xludf.DUMMYFUNCTION("""COMPUTED_VALUE"""),"3. Operación")</f>
        <v>3. Operación</v>
      </c>
      <c r="D325" s="42" t="str">
        <f ca="1">IFERROR(__xludf.DUMMYFUNCTION("""COMPUTED_VALUE"""),"Guadalajara en Paz")</f>
        <v>Guadalajara en Paz</v>
      </c>
      <c r="E325" s="42" t="str">
        <f ca="1">IFERROR(__xludf.DUMMYFUNCTION("""COMPUTED_VALUE"""),"Desarrollo de Habilidades y Profesionalización")</f>
        <v>Desarrollo de Habilidades y Profesionalización</v>
      </c>
      <c r="F325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25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25" s="42" t="str">
        <f ca="1">IFERROR(__xludf.DUMMYFUNCTION("""COMPUTED_VALUE"""),"AH MAYO")</f>
        <v>AH MAYO</v>
      </c>
      <c r="I325" s="42" t="str">
        <f ca="1">IFERROR(__xludf.DUMMYFUNCTION("""COMPUTED_VALUE"""),"Mayo")</f>
        <v>Mayo</v>
      </c>
      <c r="J325" s="42" t="str">
        <f ca="1">IFERROR(__xludf.DUMMYFUNCTION("""COMPUTED_VALUE"""),"AH")</f>
        <v>AH</v>
      </c>
      <c r="K325" s="98">
        <f ca="1">IFERROR(__xludf.DUMMYFUNCTION("""COMPUTED_VALUE"""),34)</f>
        <v>34</v>
      </c>
      <c r="L325" s="42" t="str">
        <f ca="1">IFERROR(__xludf.DUMMYFUNCTION("""COMPUTED_VALUE"""),"TRIMESTRE 2")</f>
        <v>TRIMESTRE 2</v>
      </c>
      <c r="M325" s="42" t="str">
        <f ca="1">IFERROR(__xludf.DUMMYFUNCTION("""COMPUTED_VALUE"""),"ADOLESCENTES HOMBRES")</f>
        <v>ADOLESCENTES HOMBRES</v>
      </c>
    </row>
    <row r="326" spans="1:13">
      <c r="A326" s="42" t="str">
        <f ca="1">IFERROR(__xludf.DUMMYFUNCTION("""COMPUTED_VALUE"""),"2.1.1.14")</f>
        <v>2.1.1.14</v>
      </c>
      <c r="B326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26" s="42" t="str">
        <f ca="1">IFERROR(__xludf.DUMMYFUNCTION("""COMPUTED_VALUE"""),"3. Operación")</f>
        <v>3. Operación</v>
      </c>
      <c r="D326" s="42" t="str">
        <f ca="1">IFERROR(__xludf.DUMMYFUNCTION("""COMPUTED_VALUE"""),"Guadalajara en Paz")</f>
        <v>Guadalajara en Paz</v>
      </c>
      <c r="E326" s="42" t="str">
        <f ca="1">IFERROR(__xludf.DUMMYFUNCTION("""COMPUTED_VALUE"""),"Desarrollo de Habilidades y Profesionalización")</f>
        <v>Desarrollo de Habilidades y Profesionalización</v>
      </c>
      <c r="F326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26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26" s="42" t="str">
        <f ca="1">IFERROR(__xludf.DUMMYFUNCTION("""COMPUTED_VALUE"""),"MUJ Mayo")</f>
        <v>MUJ Mayo</v>
      </c>
      <c r="I326" s="42" t="str">
        <f ca="1">IFERROR(__xludf.DUMMYFUNCTION("""COMPUTED_VALUE"""),"Mayo")</f>
        <v>Mayo</v>
      </c>
      <c r="J326" s="42" t="str">
        <f ca="1">IFERROR(__xludf.DUMMYFUNCTION("""COMPUTED_VALUE"""),"MUJ")</f>
        <v>MUJ</v>
      </c>
      <c r="K326" s="98">
        <f ca="1">IFERROR(__xludf.DUMMYFUNCTION("""COMPUTED_VALUE"""),866)</f>
        <v>866</v>
      </c>
      <c r="L326" s="42" t="str">
        <f ca="1">IFERROR(__xludf.DUMMYFUNCTION("""COMPUTED_VALUE"""),"TRIMESTRE 2")</f>
        <v>TRIMESTRE 2</v>
      </c>
      <c r="M326" s="42" t="str">
        <f ca="1">IFERROR(__xludf.DUMMYFUNCTION("""COMPUTED_VALUE"""),"MUJERES ADULTAS")</f>
        <v>MUJERES ADULTAS</v>
      </c>
    </row>
    <row r="327" spans="1:13">
      <c r="A327" s="42" t="str">
        <f ca="1">IFERROR(__xludf.DUMMYFUNCTION("""COMPUTED_VALUE"""),"2.1.1.14")</f>
        <v>2.1.1.14</v>
      </c>
      <c r="B327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27" s="42" t="str">
        <f ca="1">IFERROR(__xludf.DUMMYFUNCTION("""COMPUTED_VALUE"""),"3. Operación")</f>
        <v>3. Operación</v>
      </c>
      <c r="D327" s="42" t="str">
        <f ca="1">IFERROR(__xludf.DUMMYFUNCTION("""COMPUTED_VALUE"""),"Guadalajara en Paz")</f>
        <v>Guadalajara en Paz</v>
      </c>
      <c r="E327" s="42" t="str">
        <f ca="1">IFERROR(__xludf.DUMMYFUNCTION("""COMPUTED_VALUE"""),"Desarrollo de Habilidades y Profesionalización")</f>
        <v>Desarrollo de Habilidades y Profesionalización</v>
      </c>
      <c r="F327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27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27" s="42" t="str">
        <f ca="1">IFERROR(__xludf.DUMMYFUNCTION("""COMPUTED_VALUE"""),"HOM Mayo")</f>
        <v>HOM Mayo</v>
      </c>
      <c r="I327" s="42" t="str">
        <f ca="1">IFERROR(__xludf.DUMMYFUNCTION("""COMPUTED_VALUE"""),"Mayo")</f>
        <v>Mayo</v>
      </c>
      <c r="J327" s="42" t="str">
        <f ca="1">IFERROR(__xludf.DUMMYFUNCTION("""COMPUTED_VALUE"""),"HOM")</f>
        <v>HOM</v>
      </c>
      <c r="K327" s="98">
        <f ca="1">IFERROR(__xludf.DUMMYFUNCTION("""COMPUTED_VALUE"""),46)</f>
        <v>46</v>
      </c>
      <c r="L327" s="42" t="str">
        <f ca="1">IFERROR(__xludf.DUMMYFUNCTION("""COMPUTED_VALUE"""),"TRIMESTRE 2")</f>
        <v>TRIMESTRE 2</v>
      </c>
      <c r="M327" s="42" t="str">
        <f ca="1">IFERROR(__xludf.DUMMYFUNCTION("""COMPUTED_VALUE"""),"HOMBRES ADULTOS")</f>
        <v>HOMBRES ADULTOS</v>
      </c>
    </row>
    <row r="328" spans="1:13">
      <c r="A328" s="42" t="str">
        <f ca="1">IFERROR(__xludf.DUMMYFUNCTION("""COMPUTED_VALUE"""),"2.1.1.14")</f>
        <v>2.1.1.14</v>
      </c>
      <c r="B328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28" s="42" t="str">
        <f ca="1">IFERROR(__xludf.DUMMYFUNCTION("""COMPUTED_VALUE"""),"3. Operación")</f>
        <v>3. Operación</v>
      </c>
      <c r="D328" s="42" t="str">
        <f ca="1">IFERROR(__xludf.DUMMYFUNCTION("""COMPUTED_VALUE"""),"Guadalajara en Paz")</f>
        <v>Guadalajara en Paz</v>
      </c>
      <c r="E328" s="42" t="str">
        <f ca="1">IFERROR(__xludf.DUMMYFUNCTION("""COMPUTED_VALUE"""),"Desarrollo de Habilidades y Profesionalización")</f>
        <v>Desarrollo de Habilidades y Profesionalización</v>
      </c>
      <c r="F328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28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28" s="42" t="str">
        <f ca="1">IFERROR(__xludf.DUMMYFUNCTION("""COMPUTED_VALUE"""),"AMM Mayo")</f>
        <v>AMM Mayo</v>
      </c>
      <c r="I328" s="42" t="str">
        <f ca="1">IFERROR(__xludf.DUMMYFUNCTION("""COMPUTED_VALUE"""),"Mayo")</f>
        <v>Mayo</v>
      </c>
      <c r="J328" s="42" t="str">
        <f ca="1">IFERROR(__xludf.DUMMYFUNCTION("""COMPUTED_VALUE"""),"AMM")</f>
        <v>AMM</v>
      </c>
      <c r="K328" s="98">
        <f ca="1">IFERROR(__xludf.DUMMYFUNCTION("""COMPUTED_VALUE"""),198)</f>
        <v>198</v>
      </c>
      <c r="L328" s="42" t="str">
        <f ca="1">IFERROR(__xludf.DUMMYFUNCTION("""COMPUTED_VALUE"""),"TRIMESTRE 2")</f>
        <v>TRIMESTRE 2</v>
      </c>
      <c r="M328" s="42" t="str">
        <f ca="1">IFERROR(__xludf.DUMMYFUNCTION("""COMPUTED_VALUE"""),"ADULTA MAYOR MUJER")</f>
        <v>ADULTA MAYOR MUJER</v>
      </c>
    </row>
    <row r="329" spans="1:13">
      <c r="A329" s="42" t="str">
        <f ca="1">IFERROR(__xludf.DUMMYFUNCTION("""COMPUTED_VALUE"""),"2.1.1.14")</f>
        <v>2.1.1.14</v>
      </c>
      <c r="B329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29" s="42" t="str">
        <f ca="1">IFERROR(__xludf.DUMMYFUNCTION("""COMPUTED_VALUE"""),"3. Operación")</f>
        <v>3. Operación</v>
      </c>
      <c r="D329" s="42" t="str">
        <f ca="1">IFERROR(__xludf.DUMMYFUNCTION("""COMPUTED_VALUE"""),"Guadalajara en Paz")</f>
        <v>Guadalajara en Paz</v>
      </c>
      <c r="E329" s="42" t="str">
        <f ca="1">IFERROR(__xludf.DUMMYFUNCTION("""COMPUTED_VALUE"""),"Desarrollo de Habilidades y Profesionalización")</f>
        <v>Desarrollo de Habilidades y Profesionalización</v>
      </c>
      <c r="F329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29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29" s="42" t="str">
        <f ca="1">IFERROR(__xludf.DUMMYFUNCTION("""COMPUTED_VALUE"""),"AMH Mayo")</f>
        <v>AMH Mayo</v>
      </c>
      <c r="I329" s="42" t="str">
        <f ca="1">IFERROR(__xludf.DUMMYFUNCTION("""COMPUTED_VALUE"""),"Mayo")</f>
        <v>Mayo</v>
      </c>
      <c r="J329" s="42" t="str">
        <f ca="1">IFERROR(__xludf.DUMMYFUNCTION("""COMPUTED_VALUE"""),"AMH")</f>
        <v>AMH</v>
      </c>
      <c r="K329" s="98">
        <f ca="1">IFERROR(__xludf.DUMMYFUNCTION("""COMPUTED_VALUE"""),17)</f>
        <v>17</v>
      </c>
      <c r="L329" s="42" t="str">
        <f ca="1">IFERROR(__xludf.DUMMYFUNCTION("""COMPUTED_VALUE"""),"TRIMESTRE 2")</f>
        <v>TRIMESTRE 2</v>
      </c>
      <c r="M329" s="42" t="str">
        <f ca="1">IFERROR(__xludf.DUMMYFUNCTION("""COMPUTED_VALUE"""),"ADULTO MAYOR HOMBRE")</f>
        <v>ADULTO MAYOR HOMBRE</v>
      </c>
    </row>
    <row r="330" spans="1:13">
      <c r="A330" s="42" t="str">
        <f ca="1">IFERROR(__xludf.DUMMYFUNCTION("""COMPUTED_VALUE"""),"2.1.1.14")</f>
        <v>2.1.1.14</v>
      </c>
      <c r="B330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30" s="42" t="str">
        <f ca="1">IFERROR(__xludf.DUMMYFUNCTION("""COMPUTED_VALUE"""),"3. Operación")</f>
        <v>3. Operación</v>
      </c>
      <c r="D330" s="42" t="str">
        <f ca="1">IFERROR(__xludf.DUMMYFUNCTION("""COMPUTED_VALUE"""),"Guadalajara en Paz")</f>
        <v>Guadalajara en Paz</v>
      </c>
      <c r="E330" s="42" t="str">
        <f ca="1">IFERROR(__xludf.DUMMYFUNCTION("""COMPUTED_VALUE"""),"Desarrollo de Habilidades y Profesionalización")</f>
        <v>Desarrollo de Habilidades y Profesionalización</v>
      </c>
      <c r="F330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30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30" s="42" t="str">
        <f ca="1">IFERROR(__xludf.DUMMYFUNCTION("""COMPUTED_VALUE"""),"NAS Junio")</f>
        <v>NAS Junio</v>
      </c>
      <c r="I330" s="42" t="str">
        <f ca="1">IFERROR(__xludf.DUMMYFUNCTION("""COMPUTED_VALUE"""),"Junio")</f>
        <v>Junio</v>
      </c>
      <c r="J330" s="42" t="str">
        <f ca="1">IFERROR(__xludf.DUMMYFUNCTION("""COMPUTED_VALUE"""),"NAS")</f>
        <v>NAS</v>
      </c>
      <c r="K330" s="98">
        <f ca="1">IFERROR(__xludf.DUMMYFUNCTION("""COMPUTED_VALUE"""),160)</f>
        <v>160</v>
      </c>
      <c r="L330" s="42" t="str">
        <f ca="1">IFERROR(__xludf.DUMMYFUNCTION("""COMPUTED_VALUE"""),"TRIMESTRE 2")</f>
        <v>TRIMESTRE 2</v>
      </c>
      <c r="M330" s="42" t="str">
        <f ca="1">IFERROR(__xludf.DUMMYFUNCTION("""COMPUTED_VALUE"""),"NIÑAS")</f>
        <v>NIÑAS</v>
      </c>
    </row>
    <row r="331" spans="1:13">
      <c r="A331" s="42" t="str">
        <f ca="1">IFERROR(__xludf.DUMMYFUNCTION("""COMPUTED_VALUE"""),"2.1.1.14")</f>
        <v>2.1.1.14</v>
      </c>
      <c r="B331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31" s="42" t="str">
        <f ca="1">IFERROR(__xludf.DUMMYFUNCTION("""COMPUTED_VALUE"""),"3. Operación")</f>
        <v>3. Operación</v>
      </c>
      <c r="D331" s="42" t="str">
        <f ca="1">IFERROR(__xludf.DUMMYFUNCTION("""COMPUTED_VALUE"""),"Guadalajara en Paz")</f>
        <v>Guadalajara en Paz</v>
      </c>
      <c r="E331" s="42" t="str">
        <f ca="1">IFERROR(__xludf.DUMMYFUNCTION("""COMPUTED_VALUE"""),"Desarrollo de Habilidades y Profesionalización")</f>
        <v>Desarrollo de Habilidades y Profesionalización</v>
      </c>
      <c r="F331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31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31" s="42" t="str">
        <f ca="1">IFERROR(__xludf.DUMMYFUNCTION("""COMPUTED_VALUE"""),"NOS Junio")</f>
        <v>NOS Junio</v>
      </c>
      <c r="I331" s="42" t="str">
        <f ca="1">IFERROR(__xludf.DUMMYFUNCTION("""COMPUTED_VALUE"""),"Junio")</f>
        <v>Junio</v>
      </c>
      <c r="J331" s="42" t="str">
        <f ca="1">IFERROR(__xludf.DUMMYFUNCTION("""COMPUTED_VALUE"""),"NOS")</f>
        <v>NOS</v>
      </c>
      <c r="K331" s="98">
        <f ca="1">IFERROR(__xludf.DUMMYFUNCTION("""COMPUTED_VALUE"""),149)</f>
        <v>149</v>
      </c>
      <c r="L331" s="42" t="str">
        <f ca="1">IFERROR(__xludf.DUMMYFUNCTION("""COMPUTED_VALUE"""),"TRIMESTRE 2")</f>
        <v>TRIMESTRE 2</v>
      </c>
      <c r="M331" s="42" t="str">
        <f ca="1">IFERROR(__xludf.DUMMYFUNCTION("""COMPUTED_VALUE"""),"NIÑOS")</f>
        <v>NIÑOS</v>
      </c>
    </row>
    <row r="332" spans="1:13">
      <c r="A332" s="42" t="str">
        <f ca="1">IFERROR(__xludf.DUMMYFUNCTION("""COMPUTED_VALUE"""),"2.1.1.14")</f>
        <v>2.1.1.14</v>
      </c>
      <c r="B332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32" s="42" t="str">
        <f ca="1">IFERROR(__xludf.DUMMYFUNCTION("""COMPUTED_VALUE"""),"3. Operación")</f>
        <v>3. Operación</v>
      </c>
      <c r="D332" s="42" t="str">
        <f ca="1">IFERROR(__xludf.DUMMYFUNCTION("""COMPUTED_VALUE"""),"Guadalajara en Paz")</f>
        <v>Guadalajara en Paz</v>
      </c>
      <c r="E332" s="42" t="str">
        <f ca="1">IFERROR(__xludf.DUMMYFUNCTION("""COMPUTED_VALUE"""),"Desarrollo de Habilidades y Profesionalización")</f>
        <v>Desarrollo de Habilidades y Profesionalización</v>
      </c>
      <c r="F332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32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32" s="42" t="str">
        <f ca="1">IFERROR(__xludf.DUMMYFUNCTION("""COMPUTED_VALUE"""),"AM JUNIO")</f>
        <v>AM JUNIO</v>
      </c>
      <c r="I332" s="42" t="str">
        <f ca="1">IFERROR(__xludf.DUMMYFUNCTION("""COMPUTED_VALUE"""),"Junio")</f>
        <v>Junio</v>
      </c>
      <c r="J332" s="42" t="str">
        <f ca="1">IFERROR(__xludf.DUMMYFUNCTION("""COMPUTED_VALUE"""),"AM")</f>
        <v>AM</v>
      </c>
      <c r="K332" s="98">
        <f ca="1">IFERROR(__xludf.DUMMYFUNCTION("""COMPUTED_VALUE"""),72)</f>
        <v>72</v>
      </c>
      <c r="L332" s="42" t="str">
        <f ca="1">IFERROR(__xludf.DUMMYFUNCTION("""COMPUTED_VALUE"""),"TRIMESTRE 2")</f>
        <v>TRIMESTRE 2</v>
      </c>
      <c r="M332" s="42" t="str">
        <f ca="1">IFERROR(__xludf.DUMMYFUNCTION("""COMPUTED_VALUE"""),"ADOLESCENTES MUJERES")</f>
        <v>ADOLESCENTES MUJERES</v>
      </c>
    </row>
    <row r="333" spans="1:13">
      <c r="A333" s="42" t="str">
        <f ca="1">IFERROR(__xludf.DUMMYFUNCTION("""COMPUTED_VALUE"""),"2.1.1.14")</f>
        <v>2.1.1.14</v>
      </c>
      <c r="B333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33" s="42" t="str">
        <f ca="1">IFERROR(__xludf.DUMMYFUNCTION("""COMPUTED_VALUE"""),"3. Operación")</f>
        <v>3. Operación</v>
      </c>
      <c r="D333" s="42" t="str">
        <f ca="1">IFERROR(__xludf.DUMMYFUNCTION("""COMPUTED_VALUE"""),"Guadalajara en Paz")</f>
        <v>Guadalajara en Paz</v>
      </c>
      <c r="E333" s="42" t="str">
        <f ca="1">IFERROR(__xludf.DUMMYFUNCTION("""COMPUTED_VALUE"""),"Desarrollo de Habilidades y Profesionalización")</f>
        <v>Desarrollo de Habilidades y Profesionalización</v>
      </c>
      <c r="F333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33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33" s="42" t="str">
        <f ca="1">IFERROR(__xludf.DUMMYFUNCTION("""COMPUTED_VALUE"""),"AH JUNIO")</f>
        <v>AH JUNIO</v>
      </c>
      <c r="I333" s="42" t="str">
        <f ca="1">IFERROR(__xludf.DUMMYFUNCTION("""COMPUTED_VALUE"""),"Junio")</f>
        <v>Junio</v>
      </c>
      <c r="J333" s="42" t="str">
        <f ca="1">IFERROR(__xludf.DUMMYFUNCTION("""COMPUTED_VALUE"""),"AH")</f>
        <v>AH</v>
      </c>
      <c r="K333" s="98">
        <f ca="1">IFERROR(__xludf.DUMMYFUNCTION("""COMPUTED_VALUE"""),27)</f>
        <v>27</v>
      </c>
      <c r="L333" s="42" t="str">
        <f ca="1">IFERROR(__xludf.DUMMYFUNCTION("""COMPUTED_VALUE"""),"TRIMESTRE 2")</f>
        <v>TRIMESTRE 2</v>
      </c>
      <c r="M333" s="42" t="str">
        <f ca="1">IFERROR(__xludf.DUMMYFUNCTION("""COMPUTED_VALUE"""),"ADOLESCENTES HOMBRES")</f>
        <v>ADOLESCENTES HOMBRES</v>
      </c>
    </row>
    <row r="334" spans="1:13">
      <c r="A334" s="42" t="str">
        <f ca="1">IFERROR(__xludf.DUMMYFUNCTION("""COMPUTED_VALUE"""),"2.1.1.14")</f>
        <v>2.1.1.14</v>
      </c>
      <c r="B334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34" s="42" t="str">
        <f ca="1">IFERROR(__xludf.DUMMYFUNCTION("""COMPUTED_VALUE"""),"3. Operación")</f>
        <v>3. Operación</v>
      </c>
      <c r="D334" s="42" t="str">
        <f ca="1">IFERROR(__xludf.DUMMYFUNCTION("""COMPUTED_VALUE"""),"Guadalajara en Paz")</f>
        <v>Guadalajara en Paz</v>
      </c>
      <c r="E334" s="42" t="str">
        <f ca="1">IFERROR(__xludf.DUMMYFUNCTION("""COMPUTED_VALUE"""),"Desarrollo de Habilidades y Profesionalización")</f>
        <v>Desarrollo de Habilidades y Profesionalización</v>
      </c>
      <c r="F334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34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34" s="42" t="str">
        <f ca="1">IFERROR(__xludf.DUMMYFUNCTION("""COMPUTED_VALUE"""),"MUJ Junio")</f>
        <v>MUJ Junio</v>
      </c>
      <c r="I334" s="42" t="str">
        <f ca="1">IFERROR(__xludf.DUMMYFUNCTION("""COMPUTED_VALUE"""),"Junio")</f>
        <v>Junio</v>
      </c>
      <c r="J334" s="42" t="str">
        <f ca="1">IFERROR(__xludf.DUMMYFUNCTION("""COMPUTED_VALUE"""),"MUJ")</f>
        <v>MUJ</v>
      </c>
      <c r="K334" s="98">
        <f ca="1">IFERROR(__xludf.DUMMYFUNCTION("""COMPUTED_VALUE"""),816)</f>
        <v>816</v>
      </c>
      <c r="L334" s="42" t="str">
        <f ca="1">IFERROR(__xludf.DUMMYFUNCTION("""COMPUTED_VALUE"""),"TRIMESTRE 2")</f>
        <v>TRIMESTRE 2</v>
      </c>
      <c r="M334" s="42" t="str">
        <f ca="1">IFERROR(__xludf.DUMMYFUNCTION("""COMPUTED_VALUE"""),"MUJERES ADULTAS")</f>
        <v>MUJERES ADULTAS</v>
      </c>
    </row>
    <row r="335" spans="1:13">
      <c r="A335" s="42" t="str">
        <f ca="1">IFERROR(__xludf.DUMMYFUNCTION("""COMPUTED_VALUE"""),"2.1.1.14")</f>
        <v>2.1.1.14</v>
      </c>
      <c r="B335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35" s="42" t="str">
        <f ca="1">IFERROR(__xludf.DUMMYFUNCTION("""COMPUTED_VALUE"""),"3. Operación")</f>
        <v>3. Operación</v>
      </c>
      <c r="D335" s="42" t="str">
        <f ca="1">IFERROR(__xludf.DUMMYFUNCTION("""COMPUTED_VALUE"""),"Guadalajara en Paz")</f>
        <v>Guadalajara en Paz</v>
      </c>
      <c r="E335" s="42" t="str">
        <f ca="1">IFERROR(__xludf.DUMMYFUNCTION("""COMPUTED_VALUE"""),"Desarrollo de Habilidades y Profesionalización")</f>
        <v>Desarrollo de Habilidades y Profesionalización</v>
      </c>
      <c r="F335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35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35" s="42" t="str">
        <f ca="1">IFERROR(__xludf.DUMMYFUNCTION("""COMPUTED_VALUE"""),"HOM Junio")</f>
        <v>HOM Junio</v>
      </c>
      <c r="I335" s="42" t="str">
        <f ca="1">IFERROR(__xludf.DUMMYFUNCTION("""COMPUTED_VALUE"""),"Junio")</f>
        <v>Junio</v>
      </c>
      <c r="J335" s="42" t="str">
        <f ca="1">IFERROR(__xludf.DUMMYFUNCTION("""COMPUTED_VALUE"""),"HOM")</f>
        <v>HOM</v>
      </c>
      <c r="K335" s="98">
        <f ca="1">IFERROR(__xludf.DUMMYFUNCTION("""COMPUTED_VALUE"""),43)</f>
        <v>43</v>
      </c>
      <c r="L335" s="42" t="str">
        <f ca="1">IFERROR(__xludf.DUMMYFUNCTION("""COMPUTED_VALUE"""),"TRIMESTRE 2")</f>
        <v>TRIMESTRE 2</v>
      </c>
      <c r="M335" s="42" t="str">
        <f ca="1">IFERROR(__xludf.DUMMYFUNCTION("""COMPUTED_VALUE"""),"HOMBRES ADULTOS")</f>
        <v>HOMBRES ADULTOS</v>
      </c>
    </row>
    <row r="336" spans="1:13">
      <c r="A336" s="42" t="str">
        <f ca="1">IFERROR(__xludf.DUMMYFUNCTION("""COMPUTED_VALUE"""),"2.1.1.14")</f>
        <v>2.1.1.14</v>
      </c>
      <c r="B336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36" s="42" t="str">
        <f ca="1">IFERROR(__xludf.DUMMYFUNCTION("""COMPUTED_VALUE"""),"3. Operación")</f>
        <v>3. Operación</v>
      </c>
      <c r="D336" s="42" t="str">
        <f ca="1">IFERROR(__xludf.DUMMYFUNCTION("""COMPUTED_VALUE"""),"Guadalajara en Paz")</f>
        <v>Guadalajara en Paz</v>
      </c>
      <c r="E336" s="42" t="str">
        <f ca="1">IFERROR(__xludf.DUMMYFUNCTION("""COMPUTED_VALUE"""),"Desarrollo de Habilidades y Profesionalización")</f>
        <v>Desarrollo de Habilidades y Profesionalización</v>
      </c>
      <c r="F336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36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36" s="42" t="str">
        <f ca="1">IFERROR(__xludf.DUMMYFUNCTION("""COMPUTED_VALUE"""),"AMM Junio")</f>
        <v>AMM Junio</v>
      </c>
      <c r="I336" s="42" t="str">
        <f ca="1">IFERROR(__xludf.DUMMYFUNCTION("""COMPUTED_VALUE"""),"Junio")</f>
        <v>Junio</v>
      </c>
      <c r="J336" s="42" t="str">
        <f ca="1">IFERROR(__xludf.DUMMYFUNCTION("""COMPUTED_VALUE"""),"AMM")</f>
        <v>AMM</v>
      </c>
      <c r="K336" s="98">
        <f ca="1">IFERROR(__xludf.DUMMYFUNCTION("""COMPUTED_VALUE"""),199)</f>
        <v>199</v>
      </c>
      <c r="L336" s="42" t="str">
        <f ca="1">IFERROR(__xludf.DUMMYFUNCTION("""COMPUTED_VALUE"""),"TRIMESTRE 2")</f>
        <v>TRIMESTRE 2</v>
      </c>
      <c r="M336" s="42" t="str">
        <f ca="1">IFERROR(__xludf.DUMMYFUNCTION("""COMPUTED_VALUE"""),"ADULTA MAYOR MUJER")</f>
        <v>ADULTA MAYOR MUJER</v>
      </c>
    </row>
    <row r="337" spans="1:13">
      <c r="A337" s="42" t="str">
        <f ca="1">IFERROR(__xludf.DUMMYFUNCTION("""COMPUTED_VALUE"""),"2.1.1.14")</f>
        <v>2.1.1.14</v>
      </c>
      <c r="B337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37" s="42" t="str">
        <f ca="1">IFERROR(__xludf.DUMMYFUNCTION("""COMPUTED_VALUE"""),"3. Operación")</f>
        <v>3. Operación</v>
      </c>
      <c r="D337" s="42" t="str">
        <f ca="1">IFERROR(__xludf.DUMMYFUNCTION("""COMPUTED_VALUE"""),"Guadalajara en Paz")</f>
        <v>Guadalajara en Paz</v>
      </c>
      <c r="E337" s="42" t="str">
        <f ca="1">IFERROR(__xludf.DUMMYFUNCTION("""COMPUTED_VALUE"""),"Desarrollo de Habilidades y Profesionalización")</f>
        <v>Desarrollo de Habilidades y Profesionalización</v>
      </c>
      <c r="F337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37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37" s="42" t="str">
        <f ca="1">IFERROR(__xludf.DUMMYFUNCTION("""COMPUTED_VALUE"""),"AMH Junio")</f>
        <v>AMH Junio</v>
      </c>
      <c r="I337" s="42" t="str">
        <f ca="1">IFERROR(__xludf.DUMMYFUNCTION("""COMPUTED_VALUE"""),"Junio")</f>
        <v>Junio</v>
      </c>
      <c r="J337" s="42" t="str">
        <f ca="1">IFERROR(__xludf.DUMMYFUNCTION("""COMPUTED_VALUE"""),"AMH")</f>
        <v>AMH</v>
      </c>
      <c r="K337" s="98">
        <f ca="1">IFERROR(__xludf.DUMMYFUNCTION("""COMPUTED_VALUE"""),26)</f>
        <v>26</v>
      </c>
      <c r="L337" s="42" t="str">
        <f ca="1">IFERROR(__xludf.DUMMYFUNCTION("""COMPUTED_VALUE"""),"TRIMESTRE 2")</f>
        <v>TRIMESTRE 2</v>
      </c>
      <c r="M337" s="42" t="str">
        <f ca="1">IFERROR(__xludf.DUMMYFUNCTION("""COMPUTED_VALUE"""),"ADULTO MAYOR HOMBRE")</f>
        <v>ADULTO MAYOR HOMBRE</v>
      </c>
    </row>
    <row r="338" spans="1:13">
      <c r="A338" s="42" t="str">
        <f ca="1">IFERROR(__xludf.DUMMYFUNCTION("""COMPUTED_VALUE"""),"2.1.1.14")</f>
        <v>2.1.1.14</v>
      </c>
      <c r="B338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38" s="42" t="str">
        <f ca="1">IFERROR(__xludf.DUMMYFUNCTION("""COMPUTED_VALUE"""),"3. Operación")</f>
        <v>3. Operación</v>
      </c>
      <c r="D338" s="42" t="str">
        <f ca="1">IFERROR(__xludf.DUMMYFUNCTION("""COMPUTED_VALUE"""),"Guadalajara en Paz")</f>
        <v>Guadalajara en Paz</v>
      </c>
      <c r="E338" s="42" t="str">
        <f ca="1">IFERROR(__xludf.DUMMYFUNCTION("""COMPUTED_VALUE"""),"Desarrollo de Habilidades y Profesionalización")</f>
        <v>Desarrollo de Habilidades y Profesionalización</v>
      </c>
      <c r="F338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38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38" s="42" t="str">
        <f ca="1">IFERROR(__xludf.DUMMYFUNCTION("""COMPUTED_VALUE"""),"NAS Julio")</f>
        <v>NAS Julio</v>
      </c>
      <c r="I338" s="42" t="str">
        <f ca="1">IFERROR(__xludf.DUMMYFUNCTION("""COMPUTED_VALUE"""),"Julio")</f>
        <v>Julio</v>
      </c>
      <c r="J338" s="42" t="str">
        <f ca="1">IFERROR(__xludf.DUMMYFUNCTION("""COMPUTED_VALUE"""),"NAS")</f>
        <v>NAS</v>
      </c>
      <c r="K338" s="98">
        <f ca="1">IFERROR(__xludf.DUMMYFUNCTION("""COMPUTED_VALUE"""),516)</f>
        <v>516</v>
      </c>
      <c r="L338" s="42" t="str">
        <f ca="1">IFERROR(__xludf.DUMMYFUNCTION("""COMPUTED_VALUE"""),"TRIMESTRE 3")</f>
        <v>TRIMESTRE 3</v>
      </c>
      <c r="M338" s="42" t="str">
        <f ca="1">IFERROR(__xludf.DUMMYFUNCTION("""COMPUTED_VALUE"""),"NIÑAS")</f>
        <v>NIÑAS</v>
      </c>
    </row>
    <row r="339" spans="1:13">
      <c r="A339" s="42" t="str">
        <f ca="1">IFERROR(__xludf.DUMMYFUNCTION("""COMPUTED_VALUE"""),"2.1.1.14")</f>
        <v>2.1.1.14</v>
      </c>
      <c r="B339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39" s="42" t="str">
        <f ca="1">IFERROR(__xludf.DUMMYFUNCTION("""COMPUTED_VALUE"""),"3. Operación")</f>
        <v>3. Operación</v>
      </c>
      <c r="D339" s="42" t="str">
        <f ca="1">IFERROR(__xludf.DUMMYFUNCTION("""COMPUTED_VALUE"""),"Guadalajara en Paz")</f>
        <v>Guadalajara en Paz</v>
      </c>
      <c r="E339" s="42" t="str">
        <f ca="1">IFERROR(__xludf.DUMMYFUNCTION("""COMPUTED_VALUE"""),"Desarrollo de Habilidades y Profesionalización")</f>
        <v>Desarrollo de Habilidades y Profesionalización</v>
      </c>
      <c r="F339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39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39" s="42" t="str">
        <f ca="1">IFERROR(__xludf.DUMMYFUNCTION("""COMPUTED_VALUE"""),"NOS Julio")</f>
        <v>NOS Julio</v>
      </c>
      <c r="I339" s="42" t="str">
        <f ca="1">IFERROR(__xludf.DUMMYFUNCTION("""COMPUTED_VALUE"""),"Julio")</f>
        <v>Julio</v>
      </c>
      <c r="J339" s="42" t="str">
        <f ca="1">IFERROR(__xludf.DUMMYFUNCTION("""COMPUTED_VALUE"""),"NOS")</f>
        <v>NOS</v>
      </c>
      <c r="K339" s="98">
        <f ca="1">IFERROR(__xludf.DUMMYFUNCTION("""COMPUTED_VALUE"""),391)</f>
        <v>391</v>
      </c>
      <c r="L339" s="42" t="str">
        <f ca="1">IFERROR(__xludf.DUMMYFUNCTION("""COMPUTED_VALUE"""),"TRIMESTRE 3")</f>
        <v>TRIMESTRE 3</v>
      </c>
      <c r="M339" s="42" t="str">
        <f ca="1">IFERROR(__xludf.DUMMYFUNCTION("""COMPUTED_VALUE"""),"NIÑOS")</f>
        <v>NIÑOS</v>
      </c>
    </row>
    <row r="340" spans="1:13">
      <c r="A340" s="42" t="str">
        <f ca="1">IFERROR(__xludf.DUMMYFUNCTION("""COMPUTED_VALUE"""),"2.1.1.14")</f>
        <v>2.1.1.14</v>
      </c>
      <c r="B340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40" s="42" t="str">
        <f ca="1">IFERROR(__xludf.DUMMYFUNCTION("""COMPUTED_VALUE"""),"3. Operación")</f>
        <v>3. Operación</v>
      </c>
      <c r="D340" s="42" t="str">
        <f ca="1">IFERROR(__xludf.DUMMYFUNCTION("""COMPUTED_VALUE"""),"Guadalajara en Paz")</f>
        <v>Guadalajara en Paz</v>
      </c>
      <c r="E340" s="42" t="str">
        <f ca="1">IFERROR(__xludf.DUMMYFUNCTION("""COMPUTED_VALUE"""),"Desarrollo de Habilidades y Profesionalización")</f>
        <v>Desarrollo de Habilidades y Profesionalización</v>
      </c>
      <c r="F340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40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40" s="42" t="str">
        <f ca="1">IFERROR(__xludf.DUMMYFUNCTION("""COMPUTED_VALUE"""),"AM JULIO")</f>
        <v>AM JULIO</v>
      </c>
      <c r="I340" s="42" t="str">
        <f ca="1">IFERROR(__xludf.DUMMYFUNCTION("""COMPUTED_VALUE"""),"Julio")</f>
        <v>Julio</v>
      </c>
      <c r="J340" s="42" t="str">
        <f ca="1">IFERROR(__xludf.DUMMYFUNCTION("""COMPUTED_VALUE"""),"AM")</f>
        <v>AM</v>
      </c>
      <c r="K340" s="98">
        <f ca="1">IFERROR(__xludf.DUMMYFUNCTION("""COMPUTED_VALUE"""),234)</f>
        <v>234</v>
      </c>
      <c r="L340" s="42" t="str">
        <f ca="1">IFERROR(__xludf.DUMMYFUNCTION("""COMPUTED_VALUE"""),"TRIMESTRE 3")</f>
        <v>TRIMESTRE 3</v>
      </c>
      <c r="M340" s="42" t="str">
        <f ca="1">IFERROR(__xludf.DUMMYFUNCTION("""COMPUTED_VALUE"""),"ADOLESCENTES MUJERES")</f>
        <v>ADOLESCENTES MUJERES</v>
      </c>
    </row>
    <row r="341" spans="1:13">
      <c r="A341" s="42" t="str">
        <f ca="1">IFERROR(__xludf.DUMMYFUNCTION("""COMPUTED_VALUE"""),"2.1.1.14")</f>
        <v>2.1.1.14</v>
      </c>
      <c r="B341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41" s="42" t="str">
        <f ca="1">IFERROR(__xludf.DUMMYFUNCTION("""COMPUTED_VALUE"""),"3. Operación")</f>
        <v>3. Operación</v>
      </c>
      <c r="D341" s="42" t="str">
        <f ca="1">IFERROR(__xludf.DUMMYFUNCTION("""COMPUTED_VALUE"""),"Guadalajara en Paz")</f>
        <v>Guadalajara en Paz</v>
      </c>
      <c r="E341" s="42" t="str">
        <f ca="1">IFERROR(__xludf.DUMMYFUNCTION("""COMPUTED_VALUE"""),"Desarrollo de Habilidades y Profesionalización")</f>
        <v>Desarrollo de Habilidades y Profesionalización</v>
      </c>
      <c r="F341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41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41" s="42" t="str">
        <f ca="1">IFERROR(__xludf.DUMMYFUNCTION("""COMPUTED_VALUE"""),"AH JULIO")</f>
        <v>AH JULIO</v>
      </c>
      <c r="I341" s="42" t="str">
        <f ca="1">IFERROR(__xludf.DUMMYFUNCTION("""COMPUTED_VALUE"""),"Julio")</f>
        <v>Julio</v>
      </c>
      <c r="J341" s="42" t="str">
        <f ca="1">IFERROR(__xludf.DUMMYFUNCTION("""COMPUTED_VALUE"""),"AH")</f>
        <v>AH</v>
      </c>
      <c r="K341" s="98">
        <f ca="1">IFERROR(__xludf.DUMMYFUNCTION("""COMPUTED_VALUE"""),66)</f>
        <v>66</v>
      </c>
      <c r="L341" s="42" t="str">
        <f ca="1">IFERROR(__xludf.DUMMYFUNCTION("""COMPUTED_VALUE"""),"TRIMESTRE 3")</f>
        <v>TRIMESTRE 3</v>
      </c>
      <c r="M341" s="42" t="str">
        <f ca="1">IFERROR(__xludf.DUMMYFUNCTION("""COMPUTED_VALUE"""),"ADOLESCENTES HOMBRES")</f>
        <v>ADOLESCENTES HOMBRES</v>
      </c>
    </row>
    <row r="342" spans="1:13">
      <c r="A342" s="42" t="str">
        <f ca="1">IFERROR(__xludf.DUMMYFUNCTION("""COMPUTED_VALUE"""),"2.1.1.14")</f>
        <v>2.1.1.14</v>
      </c>
      <c r="B342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42" s="42" t="str">
        <f ca="1">IFERROR(__xludf.DUMMYFUNCTION("""COMPUTED_VALUE"""),"3. Operación")</f>
        <v>3. Operación</v>
      </c>
      <c r="D342" s="42" t="str">
        <f ca="1">IFERROR(__xludf.DUMMYFUNCTION("""COMPUTED_VALUE"""),"Guadalajara en Paz")</f>
        <v>Guadalajara en Paz</v>
      </c>
      <c r="E342" s="42" t="str">
        <f ca="1">IFERROR(__xludf.DUMMYFUNCTION("""COMPUTED_VALUE"""),"Desarrollo de Habilidades y Profesionalización")</f>
        <v>Desarrollo de Habilidades y Profesionalización</v>
      </c>
      <c r="F342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42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42" s="42" t="str">
        <f ca="1">IFERROR(__xludf.DUMMYFUNCTION("""COMPUTED_VALUE"""),"MUJ Julio")</f>
        <v>MUJ Julio</v>
      </c>
      <c r="I342" s="42" t="str">
        <f ca="1">IFERROR(__xludf.DUMMYFUNCTION("""COMPUTED_VALUE"""),"Julio")</f>
        <v>Julio</v>
      </c>
      <c r="J342" s="42" t="str">
        <f ca="1">IFERROR(__xludf.DUMMYFUNCTION("""COMPUTED_VALUE"""),"MUJ")</f>
        <v>MUJ</v>
      </c>
      <c r="K342" s="98">
        <f ca="1">IFERROR(__xludf.DUMMYFUNCTION("""COMPUTED_VALUE"""),814)</f>
        <v>814</v>
      </c>
      <c r="L342" s="42" t="str">
        <f ca="1">IFERROR(__xludf.DUMMYFUNCTION("""COMPUTED_VALUE"""),"TRIMESTRE 3")</f>
        <v>TRIMESTRE 3</v>
      </c>
      <c r="M342" s="42" t="str">
        <f ca="1">IFERROR(__xludf.DUMMYFUNCTION("""COMPUTED_VALUE"""),"MUJERES ADULTAS")</f>
        <v>MUJERES ADULTAS</v>
      </c>
    </row>
    <row r="343" spans="1:13">
      <c r="A343" s="42" t="str">
        <f ca="1">IFERROR(__xludf.DUMMYFUNCTION("""COMPUTED_VALUE"""),"2.1.1.14")</f>
        <v>2.1.1.14</v>
      </c>
      <c r="B343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43" s="42" t="str">
        <f ca="1">IFERROR(__xludf.DUMMYFUNCTION("""COMPUTED_VALUE"""),"3. Operación")</f>
        <v>3. Operación</v>
      </c>
      <c r="D343" s="42" t="str">
        <f ca="1">IFERROR(__xludf.DUMMYFUNCTION("""COMPUTED_VALUE"""),"Guadalajara en Paz")</f>
        <v>Guadalajara en Paz</v>
      </c>
      <c r="E343" s="42" t="str">
        <f ca="1">IFERROR(__xludf.DUMMYFUNCTION("""COMPUTED_VALUE"""),"Desarrollo de Habilidades y Profesionalización")</f>
        <v>Desarrollo de Habilidades y Profesionalización</v>
      </c>
      <c r="F343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43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43" s="42" t="str">
        <f ca="1">IFERROR(__xludf.DUMMYFUNCTION("""COMPUTED_VALUE"""),"HOM Julio")</f>
        <v>HOM Julio</v>
      </c>
      <c r="I343" s="42" t="str">
        <f ca="1">IFERROR(__xludf.DUMMYFUNCTION("""COMPUTED_VALUE"""),"Julio")</f>
        <v>Julio</v>
      </c>
      <c r="J343" s="42" t="str">
        <f ca="1">IFERROR(__xludf.DUMMYFUNCTION("""COMPUTED_VALUE"""),"HOM")</f>
        <v>HOM</v>
      </c>
      <c r="K343" s="98">
        <f ca="1">IFERROR(__xludf.DUMMYFUNCTION("""COMPUTED_VALUE"""),38)</f>
        <v>38</v>
      </c>
      <c r="L343" s="42" t="str">
        <f ca="1">IFERROR(__xludf.DUMMYFUNCTION("""COMPUTED_VALUE"""),"TRIMESTRE 3")</f>
        <v>TRIMESTRE 3</v>
      </c>
      <c r="M343" s="42" t="str">
        <f ca="1">IFERROR(__xludf.DUMMYFUNCTION("""COMPUTED_VALUE"""),"HOMBRES ADULTOS")</f>
        <v>HOMBRES ADULTOS</v>
      </c>
    </row>
    <row r="344" spans="1:13">
      <c r="A344" s="42" t="str">
        <f ca="1">IFERROR(__xludf.DUMMYFUNCTION("""COMPUTED_VALUE"""),"2.1.1.14")</f>
        <v>2.1.1.14</v>
      </c>
      <c r="B344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44" s="42" t="str">
        <f ca="1">IFERROR(__xludf.DUMMYFUNCTION("""COMPUTED_VALUE"""),"3. Operación")</f>
        <v>3. Operación</v>
      </c>
      <c r="D344" s="42" t="str">
        <f ca="1">IFERROR(__xludf.DUMMYFUNCTION("""COMPUTED_VALUE"""),"Guadalajara en Paz")</f>
        <v>Guadalajara en Paz</v>
      </c>
      <c r="E344" s="42" t="str">
        <f ca="1">IFERROR(__xludf.DUMMYFUNCTION("""COMPUTED_VALUE"""),"Desarrollo de Habilidades y Profesionalización")</f>
        <v>Desarrollo de Habilidades y Profesionalización</v>
      </c>
      <c r="F344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44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44" s="42" t="str">
        <f ca="1">IFERROR(__xludf.DUMMYFUNCTION("""COMPUTED_VALUE"""),"AMM Julio")</f>
        <v>AMM Julio</v>
      </c>
      <c r="I344" s="42" t="str">
        <f ca="1">IFERROR(__xludf.DUMMYFUNCTION("""COMPUTED_VALUE"""),"Julio")</f>
        <v>Julio</v>
      </c>
      <c r="J344" s="42" t="str">
        <f ca="1">IFERROR(__xludf.DUMMYFUNCTION("""COMPUTED_VALUE"""),"AMM")</f>
        <v>AMM</v>
      </c>
      <c r="K344" s="98">
        <f ca="1">IFERROR(__xludf.DUMMYFUNCTION("""COMPUTED_VALUE"""),233)</f>
        <v>233</v>
      </c>
      <c r="L344" s="42" t="str">
        <f ca="1">IFERROR(__xludf.DUMMYFUNCTION("""COMPUTED_VALUE"""),"TRIMESTRE 3")</f>
        <v>TRIMESTRE 3</v>
      </c>
      <c r="M344" s="42" t="str">
        <f ca="1">IFERROR(__xludf.DUMMYFUNCTION("""COMPUTED_VALUE"""),"ADULTA MAYOR MUJER")</f>
        <v>ADULTA MAYOR MUJER</v>
      </c>
    </row>
    <row r="345" spans="1:13">
      <c r="A345" s="42" t="str">
        <f ca="1">IFERROR(__xludf.DUMMYFUNCTION("""COMPUTED_VALUE"""),"2.1.1.14")</f>
        <v>2.1.1.14</v>
      </c>
      <c r="B345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45" s="42" t="str">
        <f ca="1">IFERROR(__xludf.DUMMYFUNCTION("""COMPUTED_VALUE"""),"3. Operación")</f>
        <v>3. Operación</v>
      </c>
      <c r="D345" s="42" t="str">
        <f ca="1">IFERROR(__xludf.DUMMYFUNCTION("""COMPUTED_VALUE"""),"Guadalajara en Paz")</f>
        <v>Guadalajara en Paz</v>
      </c>
      <c r="E345" s="42" t="str">
        <f ca="1">IFERROR(__xludf.DUMMYFUNCTION("""COMPUTED_VALUE"""),"Desarrollo de Habilidades y Profesionalización")</f>
        <v>Desarrollo de Habilidades y Profesionalización</v>
      </c>
      <c r="F345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45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45" s="42" t="str">
        <f ca="1">IFERROR(__xludf.DUMMYFUNCTION("""COMPUTED_VALUE"""),"AMH Julio")</f>
        <v>AMH Julio</v>
      </c>
      <c r="I345" s="42" t="str">
        <f ca="1">IFERROR(__xludf.DUMMYFUNCTION("""COMPUTED_VALUE"""),"Julio")</f>
        <v>Julio</v>
      </c>
      <c r="J345" s="42" t="str">
        <f ca="1">IFERROR(__xludf.DUMMYFUNCTION("""COMPUTED_VALUE"""),"AMH")</f>
        <v>AMH</v>
      </c>
      <c r="K345" s="98">
        <f ca="1">IFERROR(__xludf.DUMMYFUNCTION("""COMPUTED_VALUE"""),26)</f>
        <v>26</v>
      </c>
      <c r="L345" s="42" t="str">
        <f ca="1">IFERROR(__xludf.DUMMYFUNCTION("""COMPUTED_VALUE"""),"TRIMESTRE 3")</f>
        <v>TRIMESTRE 3</v>
      </c>
      <c r="M345" s="42" t="str">
        <f ca="1">IFERROR(__xludf.DUMMYFUNCTION("""COMPUTED_VALUE"""),"ADULTO MAYOR HOMBRE")</f>
        <v>ADULTO MAYOR HOMBRE</v>
      </c>
    </row>
    <row r="346" spans="1:13">
      <c r="A346" s="42" t="str">
        <f ca="1">IFERROR(__xludf.DUMMYFUNCTION("""COMPUTED_VALUE"""),"2.1.1.14")</f>
        <v>2.1.1.14</v>
      </c>
      <c r="B346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46" s="42" t="str">
        <f ca="1">IFERROR(__xludf.DUMMYFUNCTION("""COMPUTED_VALUE"""),"3. Operación")</f>
        <v>3. Operación</v>
      </c>
      <c r="D346" s="42" t="str">
        <f ca="1">IFERROR(__xludf.DUMMYFUNCTION("""COMPUTED_VALUE"""),"Guadalajara en Paz")</f>
        <v>Guadalajara en Paz</v>
      </c>
      <c r="E346" s="42" t="str">
        <f ca="1">IFERROR(__xludf.DUMMYFUNCTION("""COMPUTED_VALUE"""),"Desarrollo de Habilidades y Profesionalización")</f>
        <v>Desarrollo de Habilidades y Profesionalización</v>
      </c>
      <c r="F346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46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46" s="42" t="str">
        <f ca="1">IFERROR(__xludf.DUMMYFUNCTION("""COMPUTED_VALUE"""),"NAS Agosto")</f>
        <v>NAS Agosto</v>
      </c>
      <c r="I346" s="42" t="str">
        <f ca="1">IFERROR(__xludf.DUMMYFUNCTION("""COMPUTED_VALUE"""),"Agosto")</f>
        <v>Agosto</v>
      </c>
      <c r="J346" s="42" t="str">
        <f ca="1">IFERROR(__xludf.DUMMYFUNCTION("""COMPUTED_VALUE"""),"NAS")</f>
        <v>NAS</v>
      </c>
      <c r="K346" s="98">
        <f ca="1">IFERROR(__xludf.DUMMYFUNCTION("""COMPUTED_VALUE"""),162)</f>
        <v>162</v>
      </c>
      <c r="L346" s="42" t="str">
        <f ca="1">IFERROR(__xludf.DUMMYFUNCTION("""COMPUTED_VALUE"""),"TRIMESTRE 3")</f>
        <v>TRIMESTRE 3</v>
      </c>
      <c r="M346" s="42" t="str">
        <f ca="1">IFERROR(__xludf.DUMMYFUNCTION("""COMPUTED_VALUE"""),"NIÑAS")</f>
        <v>NIÑAS</v>
      </c>
    </row>
    <row r="347" spans="1:13">
      <c r="A347" s="42" t="str">
        <f ca="1">IFERROR(__xludf.DUMMYFUNCTION("""COMPUTED_VALUE"""),"2.1.1.14")</f>
        <v>2.1.1.14</v>
      </c>
      <c r="B347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47" s="42" t="str">
        <f ca="1">IFERROR(__xludf.DUMMYFUNCTION("""COMPUTED_VALUE"""),"3. Operación")</f>
        <v>3. Operación</v>
      </c>
      <c r="D347" s="42" t="str">
        <f ca="1">IFERROR(__xludf.DUMMYFUNCTION("""COMPUTED_VALUE"""),"Guadalajara en Paz")</f>
        <v>Guadalajara en Paz</v>
      </c>
      <c r="E347" s="42" t="str">
        <f ca="1">IFERROR(__xludf.DUMMYFUNCTION("""COMPUTED_VALUE"""),"Desarrollo de Habilidades y Profesionalización")</f>
        <v>Desarrollo de Habilidades y Profesionalización</v>
      </c>
      <c r="F347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47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47" s="42" t="str">
        <f ca="1">IFERROR(__xludf.DUMMYFUNCTION("""COMPUTED_VALUE"""),"NOS Agosto")</f>
        <v>NOS Agosto</v>
      </c>
      <c r="I347" s="42" t="str">
        <f ca="1">IFERROR(__xludf.DUMMYFUNCTION("""COMPUTED_VALUE"""),"Agosto")</f>
        <v>Agosto</v>
      </c>
      <c r="J347" s="42" t="str">
        <f ca="1">IFERROR(__xludf.DUMMYFUNCTION("""COMPUTED_VALUE"""),"NOS")</f>
        <v>NOS</v>
      </c>
      <c r="K347" s="98">
        <f ca="1">IFERROR(__xludf.DUMMYFUNCTION("""COMPUTED_VALUE"""),87)</f>
        <v>87</v>
      </c>
      <c r="L347" s="42" t="str">
        <f ca="1">IFERROR(__xludf.DUMMYFUNCTION("""COMPUTED_VALUE"""),"TRIMESTRE 3")</f>
        <v>TRIMESTRE 3</v>
      </c>
      <c r="M347" s="42" t="str">
        <f ca="1">IFERROR(__xludf.DUMMYFUNCTION("""COMPUTED_VALUE"""),"NIÑOS")</f>
        <v>NIÑOS</v>
      </c>
    </row>
    <row r="348" spans="1:13">
      <c r="A348" s="42" t="str">
        <f ca="1">IFERROR(__xludf.DUMMYFUNCTION("""COMPUTED_VALUE"""),"2.1.1.14")</f>
        <v>2.1.1.14</v>
      </c>
      <c r="B348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48" s="42" t="str">
        <f ca="1">IFERROR(__xludf.DUMMYFUNCTION("""COMPUTED_VALUE"""),"3. Operación")</f>
        <v>3. Operación</v>
      </c>
      <c r="D348" s="42" t="str">
        <f ca="1">IFERROR(__xludf.DUMMYFUNCTION("""COMPUTED_VALUE"""),"Guadalajara en Paz")</f>
        <v>Guadalajara en Paz</v>
      </c>
      <c r="E348" s="42" t="str">
        <f ca="1">IFERROR(__xludf.DUMMYFUNCTION("""COMPUTED_VALUE"""),"Desarrollo de Habilidades y Profesionalización")</f>
        <v>Desarrollo de Habilidades y Profesionalización</v>
      </c>
      <c r="F348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48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48" s="42" t="str">
        <f ca="1">IFERROR(__xludf.DUMMYFUNCTION("""COMPUTED_VALUE"""),"AM AGOSTO")</f>
        <v>AM AGOSTO</v>
      </c>
      <c r="I348" s="42" t="str">
        <f ca="1">IFERROR(__xludf.DUMMYFUNCTION("""COMPUTED_VALUE"""),"Agosto")</f>
        <v>Agosto</v>
      </c>
      <c r="J348" s="42" t="str">
        <f ca="1">IFERROR(__xludf.DUMMYFUNCTION("""COMPUTED_VALUE"""),"AM")</f>
        <v>AM</v>
      </c>
      <c r="K348" s="98">
        <f ca="1">IFERROR(__xludf.DUMMYFUNCTION("""COMPUTED_VALUE"""),46)</f>
        <v>46</v>
      </c>
      <c r="L348" s="42" t="str">
        <f ca="1">IFERROR(__xludf.DUMMYFUNCTION("""COMPUTED_VALUE"""),"TRIMESTRE 3")</f>
        <v>TRIMESTRE 3</v>
      </c>
      <c r="M348" s="42" t="str">
        <f ca="1">IFERROR(__xludf.DUMMYFUNCTION("""COMPUTED_VALUE"""),"ADOLESCENTES MUJERES")</f>
        <v>ADOLESCENTES MUJERES</v>
      </c>
    </row>
    <row r="349" spans="1:13">
      <c r="A349" s="42" t="str">
        <f ca="1">IFERROR(__xludf.DUMMYFUNCTION("""COMPUTED_VALUE"""),"2.1.1.14")</f>
        <v>2.1.1.14</v>
      </c>
      <c r="B349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49" s="42" t="str">
        <f ca="1">IFERROR(__xludf.DUMMYFUNCTION("""COMPUTED_VALUE"""),"3. Operación")</f>
        <v>3. Operación</v>
      </c>
      <c r="D349" s="42" t="str">
        <f ca="1">IFERROR(__xludf.DUMMYFUNCTION("""COMPUTED_VALUE"""),"Guadalajara en Paz")</f>
        <v>Guadalajara en Paz</v>
      </c>
      <c r="E349" s="42" t="str">
        <f ca="1">IFERROR(__xludf.DUMMYFUNCTION("""COMPUTED_VALUE"""),"Desarrollo de Habilidades y Profesionalización")</f>
        <v>Desarrollo de Habilidades y Profesionalización</v>
      </c>
      <c r="F349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49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49" s="42" t="str">
        <f ca="1">IFERROR(__xludf.DUMMYFUNCTION("""COMPUTED_VALUE"""),"AH AGOSTO")</f>
        <v>AH AGOSTO</v>
      </c>
      <c r="I349" s="42" t="str">
        <f ca="1">IFERROR(__xludf.DUMMYFUNCTION("""COMPUTED_VALUE"""),"Agosto")</f>
        <v>Agosto</v>
      </c>
      <c r="J349" s="42" t="str">
        <f ca="1">IFERROR(__xludf.DUMMYFUNCTION("""COMPUTED_VALUE"""),"AH")</f>
        <v>AH</v>
      </c>
      <c r="K349" s="98">
        <f ca="1">IFERROR(__xludf.DUMMYFUNCTION("""COMPUTED_VALUE"""),26)</f>
        <v>26</v>
      </c>
      <c r="L349" s="42" t="str">
        <f ca="1">IFERROR(__xludf.DUMMYFUNCTION("""COMPUTED_VALUE"""),"TRIMESTRE 3")</f>
        <v>TRIMESTRE 3</v>
      </c>
      <c r="M349" s="42" t="str">
        <f ca="1">IFERROR(__xludf.DUMMYFUNCTION("""COMPUTED_VALUE"""),"ADOLESCENTES HOMBRES")</f>
        <v>ADOLESCENTES HOMBRES</v>
      </c>
    </row>
    <row r="350" spans="1:13">
      <c r="A350" s="42" t="str">
        <f ca="1">IFERROR(__xludf.DUMMYFUNCTION("""COMPUTED_VALUE"""),"2.1.1.14")</f>
        <v>2.1.1.14</v>
      </c>
      <c r="B350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50" s="42" t="str">
        <f ca="1">IFERROR(__xludf.DUMMYFUNCTION("""COMPUTED_VALUE"""),"3. Operación")</f>
        <v>3. Operación</v>
      </c>
      <c r="D350" s="42" t="str">
        <f ca="1">IFERROR(__xludf.DUMMYFUNCTION("""COMPUTED_VALUE"""),"Guadalajara en Paz")</f>
        <v>Guadalajara en Paz</v>
      </c>
      <c r="E350" s="42" t="str">
        <f ca="1">IFERROR(__xludf.DUMMYFUNCTION("""COMPUTED_VALUE"""),"Desarrollo de Habilidades y Profesionalización")</f>
        <v>Desarrollo de Habilidades y Profesionalización</v>
      </c>
      <c r="F350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50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50" s="42" t="str">
        <f ca="1">IFERROR(__xludf.DUMMYFUNCTION("""COMPUTED_VALUE"""),"MUJ Agosto")</f>
        <v>MUJ Agosto</v>
      </c>
      <c r="I350" s="42" t="str">
        <f ca="1">IFERROR(__xludf.DUMMYFUNCTION("""COMPUTED_VALUE"""),"Agosto")</f>
        <v>Agosto</v>
      </c>
      <c r="J350" s="42" t="str">
        <f ca="1">IFERROR(__xludf.DUMMYFUNCTION("""COMPUTED_VALUE"""),"MUJ")</f>
        <v>MUJ</v>
      </c>
      <c r="K350" s="98">
        <f ca="1">IFERROR(__xludf.DUMMYFUNCTION("""COMPUTED_VALUE"""),237)</f>
        <v>237</v>
      </c>
      <c r="L350" s="42" t="str">
        <f ca="1">IFERROR(__xludf.DUMMYFUNCTION("""COMPUTED_VALUE"""),"TRIMESTRE 3")</f>
        <v>TRIMESTRE 3</v>
      </c>
      <c r="M350" s="42" t="str">
        <f ca="1">IFERROR(__xludf.DUMMYFUNCTION("""COMPUTED_VALUE"""),"MUJERES ADULTAS")</f>
        <v>MUJERES ADULTAS</v>
      </c>
    </row>
    <row r="351" spans="1:13">
      <c r="A351" s="42" t="str">
        <f ca="1">IFERROR(__xludf.DUMMYFUNCTION("""COMPUTED_VALUE"""),"2.1.1.14")</f>
        <v>2.1.1.14</v>
      </c>
      <c r="B351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51" s="42" t="str">
        <f ca="1">IFERROR(__xludf.DUMMYFUNCTION("""COMPUTED_VALUE"""),"3. Operación")</f>
        <v>3. Operación</v>
      </c>
      <c r="D351" s="42" t="str">
        <f ca="1">IFERROR(__xludf.DUMMYFUNCTION("""COMPUTED_VALUE"""),"Guadalajara en Paz")</f>
        <v>Guadalajara en Paz</v>
      </c>
      <c r="E351" s="42" t="str">
        <f ca="1">IFERROR(__xludf.DUMMYFUNCTION("""COMPUTED_VALUE"""),"Desarrollo de Habilidades y Profesionalización")</f>
        <v>Desarrollo de Habilidades y Profesionalización</v>
      </c>
      <c r="F351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51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51" s="42" t="str">
        <f ca="1">IFERROR(__xludf.DUMMYFUNCTION("""COMPUTED_VALUE"""),"HOM Agosto")</f>
        <v>HOM Agosto</v>
      </c>
      <c r="I351" s="42" t="str">
        <f ca="1">IFERROR(__xludf.DUMMYFUNCTION("""COMPUTED_VALUE"""),"Agosto")</f>
        <v>Agosto</v>
      </c>
      <c r="J351" s="42" t="str">
        <f ca="1">IFERROR(__xludf.DUMMYFUNCTION("""COMPUTED_VALUE"""),"HOM")</f>
        <v>HOM</v>
      </c>
      <c r="K351" s="98">
        <f ca="1">IFERROR(__xludf.DUMMYFUNCTION("""COMPUTED_VALUE"""),15)</f>
        <v>15</v>
      </c>
      <c r="L351" s="42" t="str">
        <f ca="1">IFERROR(__xludf.DUMMYFUNCTION("""COMPUTED_VALUE"""),"TRIMESTRE 3")</f>
        <v>TRIMESTRE 3</v>
      </c>
      <c r="M351" s="42" t="str">
        <f ca="1">IFERROR(__xludf.DUMMYFUNCTION("""COMPUTED_VALUE"""),"HOMBRES ADULTOS")</f>
        <v>HOMBRES ADULTOS</v>
      </c>
    </row>
    <row r="352" spans="1:13">
      <c r="A352" s="42" t="str">
        <f ca="1">IFERROR(__xludf.DUMMYFUNCTION("""COMPUTED_VALUE"""),"2.1.1.14")</f>
        <v>2.1.1.14</v>
      </c>
      <c r="B352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52" s="42" t="str">
        <f ca="1">IFERROR(__xludf.DUMMYFUNCTION("""COMPUTED_VALUE"""),"3. Operación")</f>
        <v>3. Operación</v>
      </c>
      <c r="D352" s="42" t="str">
        <f ca="1">IFERROR(__xludf.DUMMYFUNCTION("""COMPUTED_VALUE"""),"Guadalajara en Paz")</f>
        <v>Guadalajara en Paz</v>
      </c>
      <c r="E352" s="42" t="str">
        <f ca="1">IFERROR(__xludf.DUMMYFUNCTION("""COMPUTED_VALUE"""),"Desarrollo de Habilidades y Profesionalización")</f>
        <v>Desarrollo de Habilidades y Profesionalización</v>
      </c>
      <c r="F352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52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52" s="42" t="str">
        <f ca="1">IFERROR(__xludf.DUMMYFUNCTION("""COMPUTED_VALUE"""),"AMM Agosto")</f>
        <v>AMM Agosto</v>
      </c>
      <c r="I352" s="42" t="str">
        <f ca="1">IFERROR(__xludf.DUMMYFUNCTION("""COMPUTED_VALUE"""),"Agosto")</f>
        <v>Agosto</v>
      </c>
      <c r="J352" s="42" t="str">
        <f ca="1">IFERROR(__xludf.DUMMYFUNCTION("""COMPUTED_VALUE"""),"AMM")</f>
        <v>AMM</v>
      </c>
      <c r="K352" s="98">
        <f ca="1">IFERROR(__xludf.DUMMYFUNCTION("""COMPUTED_VALUE"""),81)</f>
        <v>81</v>
      </c>
      <c r="L352" s="42" t="str">
        <f ca="1">IFERROR(__xludf.DUMMYFUNCTION("""COMPUTED_VALUE"""),"TRIMESTRE 3")</f>
        <v>TRIMESTRE 3</v>
      </c>
      <c r="M352" s="42" t="str">
        <f ca="1">IFERROR(__xludf.DUMMYFUNCTION("""COMPUTED_VALUE"""),"ADULTA MAYOR MUJER")</f>
        <v>ADULTA MAYOR MUJER</v>
      </c>
    </row>
    <row r="353" spans="1:13">
      <c r="A353" s="42" t="str">
        <f ca="1">IFERROR(__xludf.DUMMYFUNCTION("""COMPUTED_VALUE"""),"2.1.1.14")</f>
        <v>2.1.1.14</v>
      </c>
      <c r="B353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53" s="42" t="str">
        <f ca="1">IFERROR(__xludf.DUMMYFUNCTION("""COMPUTED_VALUE"""),"3. Operación")</f>
        <v>3. Operación</v>
      </c>
      <c r="D353" s="42" t="str">
        <f ca="1">IFERROR(__xludf.DUMMYFUNCTION("""COMPUTED_VALUE"""),"Guadalajara en Paz")</f>
        <v>Guadalajara en Paz</v>
      </c>
      <c r="E353" s="42" t="str">
        <f ca="1">IFERROR(__xludf.DUMMYFUNCTION("""COMPUTED_VALUE"""),"Desarrollo de Habilidades y Profesionalización")</f>
        <v>Desarrollo de Habilidades y Profesionalización</v>
      </c>
      <c r="F353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53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53" s="42" t="str">
        <f ca="1">IFERROR(__xludf.DUMMYFUNCTION("""COMPUTED_VALUE"""),"AMH Agosto")</f>
        <v>AMH Agosto</v>
      </c>
      <c r="I353" s="42" t="str">
        <f ca="1">IFERROR(__xludf.DUMMYFUNCTION("""COMPUTED_VALUE"""),"Agosto")</f>
        <v>Agosto</v>
      </c>
      <c r="J353" s="42" t="str">
        <f ca="1">IFERROR(__xludf.DUMMYFUNCTION("""COMPUTED_VALUE"""),"AMH")</f>
        <v>AMH</v>
      </c>
      <c r="K353" s="98">
        <f ca="1">IFERROR(__xludf.DUMMYFUNCTION("""COMPUTED_VALUE"""),3)</f>
        <v>3</v>
      </c>
      <c r="L353" s="42" t="str">
        <f ca="1">IFERROR(__xludf.DUMMYFUNCTION("""COMPUTED_VALUE"""),"TRIMESTRE 3")</f>
        <v>TRIMESTRE 3</v>
      </c>
      <c r="M353" s="42" t="str">
        <f ca="1">IFERROR(__xludf.DUMMYFUNCTION("""COMPUTED_VALUE"""),"ADULTO MAYOR HOMBRE")</f>
        <v>ADULTO MAYOR HOMBRE</v>
      </c>
    </row>
    <row r="354" spans="1:13">
      <c r="A354" s="42" t="str">
        <f ca="1">IFERROR(__xludf.DUMMYFUNCTION("""COMPUTED_VALUE"""),"2.1.1.14")</f>
        <v>2.1.1.14</v>
      </c>
      <c r="B354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54" s="42" t="str">
        <f ca="1">IFERROR(__xludf.DUMMYFUNCTION("""COMPUTED_VALUE"""),"3. Operación")</f>
        <v>3. Operación</v>
      </c>
      <c r="D354" s="42" t="str">
        <f ca="1">IFERROR(__xludf.DUMMYFUNCTION("""COMPUTED_VALUE"""),"Guadalajara en Paz")</f>
        <v>Guadalajara en Paz</v>
      </c>
      <c r="E354" s="42" t="str">
        <f ca="1">IFERROR(__xludf.DUMMYFUNCTION("""COMPUTED_VALUE"""),"Desarrollo de Habilidades y Profesionalización")</f>
        <v>Desarrollo de Habilidades y Profesionalización</v>
      </c>
      <c r="F354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54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54" s="42" t="str">
        <f ca="1">IFERROR(__xludf.DUMMYFUNCTION("""COMPUTED_VALUE"""),"NAS Septiembre")</f>
        <v>NAS Septiembre</v>
      </c>
      <c r="I354" s="42" t="str">
        <f ca="1">IFERROR(__xludf.DUMMYFUNCTION("""COMPUTED_VALUE"""),"Septiembre")</f>
        <v>Septiembre</v>
      </c>
      <c r="J354" s="42" t="str">
        <f ca="1">IFERROR(__xludf.DUMMYFUNCTION("""COMPUTED_VALUE"""),"NAS")</f>
        <v>NAS</v>
      </c>
      <c r="K354" s="98">
        <f ca="1">IFERROR(__xludf.DUMMYFUNCTION("""COMPUTED_VALUE"""),149)</f>
        <v>149</v>
      </c>
      <c r="L354" s="42" t="str">
        <f ca="1">IFERROR(__xludf.DUMMYFUNCTION("""COMPUTED_VALUE"""),"TRIMESTRE 3")</f>
        <v>TRIMESTRE 3</v>
      </c>
      <c r="M354" s="42" t="str">
        <f ca="1">IFERROR(__xludf.DUMMYFUNCTION("""COMPUTED_VALUE"""),"NIÑAS")</f>
        <v>NIÑAS</v>
      </c>
    </row>
    <row r="355" spans="1:13">
      <c r="A355" s="42" t="str">
        <f ca="1">IFERROR(__xludf.DUMMYFUNCTION("""COMPUTED_VALUE"""),"2.1.1.14")</f>
        <v>2.1.1.14</v>
      </c>
      <c r="B355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55" s="42" t="str">
        <f ca="1">IFERROR(__xludf.DUMMYFUNCTION("""COMPUTED_VALUE"""),"3. Operación")</f>
        <v>3. Operación</v>
      </c>
      <c r="D355" s="42" t="str">
        <f ca="1">IFERROR(__xludf.DUMMYFUNCTION("""COMPUTED_VALUE"""),"Guadalajara en Paz")</f>
        <v>Guadalajara en Paz</v>
      </c>
      <c r="E355" s="42" t="str">
        <f ca="1">IFERROR(__xludf.DUMMYFUNCTION("""COMPUTED_VALUE"""),"Desarrollo de Habilidades y Profesionalización")</f>
        <v>Desarrollo de Habilidades y Profesionalización</v>
      </c>
      <c r="F355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55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55" s="42" t="str">
        <f ca="1">IFERROR(__xludf.DUMMYFUNCTION("""COMPUTED_VALUE"""),"NOS Septiembre")</f>
        <v>NOS Septiembre</v>
      </c>
      <c r="I355" s="42" t="str">
        <f ca="1">IFERROR(__xludf.DUMMYFUNCTION("""COMPUTED_VALUE"""),"Septiembre")</f>
        <v>Septiembre</v>
      </c>
      <c r="J355" s="42" t="str">
        <f ca="1">IFERROR(__xludf.DUMMYFUNCTION("""COMPUTED_VALUE"""),"NOS")</f>
        <v>NOS</v>
      </c>
      <c r="K355" s="98">
        <f ca="1">IFERROR(__xludf.DUMMYFUNCTION("""COMPUTED_VALUE"""),149)</f>
        <v>149</v>
      </c>
      <c r="L355" s="42" t="str">
        <f ca="1">IFERROR(__xludf.DUMMYFUNCTION("""COMPUTED_VALUE"""),"TRIMESTRE 3")</f>
        <v>TRIMESTRE 3</v>
      </c>
      <c r="M355" s="42" t="str">
        <f ca="1">IFERROR(__xludf.DUMMYFUNCTION("""COMPUTED_VALUE"""),"NIÑOS")</f>
        <v>NIÑOS</v>
      </c>
    </row>
    <row r="356" spans="1:13">
      <c r="A356" s="42" t="str">
        <f ca="1">IFERROR(__xludf.DUMMYFUNCTION("""COMPUTED_VALUE"""),"2.1.1.14")</f>
        <v>2.1.1.14</v>
      </c>
      <c r="B356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56" s="42" t="str">
        <f ca="1">IFERROR(__xludf.DUMMYFUNCTION("""COMPUTED_VALUE"""),"3. Operación")</f>
        <v>3. Operación</v>
      </c>
      <c r="D356" s="42" t="str">
        <f ca="1">IFERROR(__xludf.DUMMYFUNCTION("""COMPUTED_VALUE"""),"Guadalajara en Paz")</f>
        <v>Guadalajara en Paz</v>
      </c>
      <c r="E356" s="42" t="str">
        <f ca="1">IFERROR(__xludf.DUMMYFUNCTION("""COMPUTED_VALUE"""),"Desarrollo de Habilidades y Profesionalización")</f>
        <v>Desarrollo de Habilidades y Profesionalización</v>
      </c>
      <c r="F356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56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56" s="42" t="str">
        <f ca="1">IFERROR(__xludf.DUMMYFUNCTION("""COMPUTED_VALUE"""),"AM SEPTIEMBRE")</f>
        <v>AM SEPTIEMBRE</v>
      </c>
      <c r="I356" s="42" t="str">
        <f ca="1">IFERROR(__xludf.DUMMYFUNCTION("""COMPUTED_VALUE"""),"Septiembre")</f>
        <v>Septiembre</v>
      </c>
      <c r="J356" s="42" t="str">
        <f ca="1">IFERROR(__xludf.DUMMYFUNCTION("""COMPUTED_VALUE"""),"AM")</f>
        <v>AM</v>
      </c>
      <c r="K356" s="98">
        <f ca="1">IFERROR(__xludf.DUMMYFUNCTION("""COMPUTED_VALUE"""),166)</f>
        <v>166</v>
      </c>
      <c r="L356" s="42" t="str">
        <f ca="1">IFERROR(__xludf.DUMMYFUNCTION("""COMPUTED_VALUE"""),"TRIMESTRE 3")</f>
        <v>TRIMESTRE 3</v>
      </c>
      <c r="M356" s="42" t="str">
        <f ca="1">IFERROR(__xludf.DUMMYFUNCTION("""COMPUTED_VALUE"""),"ADOLESCENTES MUJERES")</f>
        <v>ADOLESCENTES MUJERES</v>
      </c>
    </row>
    <row r="357" spans="1:13">
      <c r="A357" s="42" t="str">
        <f ca="1">IFERROR(__xludf.DUMMYFUNCTION("""COMPUTED_VALUE"""),"2.1.1.14")</f>
        <v>2.1.1.14</v>
      </c>
      <c r="B357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57" s="42" t="str">
        <f ca="1">IFERROR(__xludf.DUMMYFUNCTION("""COMPUTED_VALUE"""),"3. Operación")</f>
        <v>3. Operación</v>
      </c>
      <c r="D357" s="42" t="str">
        <f ca="1">IFERROR(__xludf.DUMMYFUNCTION("""COMPUTED_VALUE"""),"Guadalajara en Paz")</f>
        <v>Guadalajara en Paz</v>
      </c>
      <c r="E357" s="42" t="str">
        <f ca="1">IFERROR(__xludf.DUMMYFUNCTION("""COMPUTED_VALUE"""),"Desarrollo de Habilidades y Profesionalización")</f>
        <v>Desarrollo de Habilidades y Profesionalización</v>
      </c>
      <c r="F357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57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57" s="42" t="str">
        <f ca="1">IFERROR(__xludf.DUMMYFUNCTION("""COMPUTED_VALUE"""),"AH SEPTIEMBRE")</f>
        <v>AH SEPTIEMBRE</v>
      </c>
      <c r="I357" s="42" t="str">
        <f ca="1">IFERROR(__xludf.DUMMYFUNCTION("""COMPUTED_VALUE"""),"Septiembre")</f>
        <v>Septiembre</v>
      </c>
      <c r="J357" s="42" t="str">
        <f ca="1">IFERROR(__xludf.DUMMYFUNCTION("""COMPUTED_VALUE"""),"AH")</f>
        <v>AH</v>
      </c>
      <c r="K357" s="98">
        <f ca="1">IFERROR(__xludf.DUMMYFUNCTION("""COMPUTED_VALUE"""),43)</f>
        <v>43</v>
      </c>
      <c r="L357" s="42" t="str">
        <f ca="1">IFERROR(__xludf.DUMMYFUNCTION("""COMPUTED_VALUE"""),"TRIMESTRE 3")</f>
        <v>TRIMESTRE 3</v>
      </c>
      <c r="M357" s="42" t="str">
        <f ca="1">IFERROR(__xludf.DUMMYFUNCTION("""COMPUTED_VALUE"""),"ADOLESCENTES HOMBRES")</f>
        <v>ADOLESCENTES HOMBRES</v>
      </c>
    </row>
    <row r="358" spans="1:13">
      <c r="A358" s="42" t="str">
        <f ca="1">IFERROR(__xludf.DUMMYFUNCTION("""COMPUTED_VALUE"""),"2.1.1.14")</f>
        <v>2.1.1.14</v>
      </c>
      <c r="B358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58" s="42" t="str">
        <f ca="1">IFERROR(__xludf.DUMMYFUNCTION("""COMPUTED_VALUE"""),"3. Operación")</f>
        <v>3. Operación</v>
      </c>
      <c r="D358" s="42" t="str">
        <f ca="1">IFERROR(__xludf.DUMMYFUNCTION("""COMPUTED_VALUE"""),"Guadalajara en Paz")</f>
        <v>Guadalajara en Paz</v>
      </c>
      <c r="E358" s="42" t="str">
        <f ca="1">IFERROR(__xludf.DUMMYFUNCTION("""COMPUTED_VALUE"""),"Desarrollo de Habilidades y Profesionalización")</f>
        <v>Desarrollo de Habilidades y Profesionalización</v>
      </c>
      <c r="F358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58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58" s="42" t="str">
        <f ca="1">IFERROR(__xludf.DUMMYFUNCTION("""COMPUTED_VALUE"""),"MUJ Septiembre")</f>
        <v>MUJ Septiembre</v>
      </c>
      <c r="I358" s="42" t="str">
        <f ca="1">IFERROR(__xludf.DUMMYFUNCTION("""COMPUTED_VALUE"""),"Septiembre")</f>
        <v>Septiembre</v>
      </c>
      <c r="J358" s="42" t="str">
        <f ca="1">IFERROR(__xludf.DUMMYFUNCTION("""COMPUTED_VALUE"""),"MUJ")</f>
        <v>MUJ</v>
      </c>
      <c r="K358" s="98">
        <f ca="1">IFERROR(__xludf.DUMMYFUNCTION("""COMPUTED_VALUE"""),921)</f>
        <v>921</v>
      </c>
      <c r="L358" s="42" t="str">
        <f ca="1">IFERROR(__xludf.DUMMYFUNCTION("""COMPUTED_VALUE"""),"TRIMESTRE 3")</f>
        <v>TRIMESTRE 3</v>
      </c>
      <c r="M358" s="42" t="str">
        <f ca="1">IFERROR(__xludf.DUMMYFUNCTION("""COMPUTED_VALUE"""),"MUJERES ADULTAS")</f>
        <v>MUJERES ADULTAS</v>
      </c>
    </row>
    <row r="359" spans="1:13">
      <c r="A359" s="42" t="str">
        <f ca="1">IFERROR(__xludf.DUMMYFUNCTION("""COMPUTED_VALUE"""),"2.1.1.14")</f>
        <v>2.1.1.14</v>
      </c>
      <c r="B359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59" s="42" t="str">
        <f ca="1">IFERROR(__xludf.DUMMYFUNCTION("""COMPUTED_VALUE"""),"3. Operación")</f>
        <v>3. Operación</v>
      </c>
      <c r="D359" s="42" t="str">
        <f ca="1">IFERROR(__xludf.DUMMYFUNCTION("""COMPUTED_VALUE"""),"Guadalajara en Paz")</f>
        <v>Guadalajara en Paz</v>
      </c>
      <c r="E359" s="42" t="str">
        <f ca="1">IFERROR(__xludf.DUMMYFUNCTION("""COMPUTED_VALUE"""),"Desarrollo de Habilidades y Profesionalización")</f>
        <v>Desarrollo de Habilidades y Profesionalización</v>
      </c>
      <c r="F359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59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59" s="42" t="str">
        <f ca="1">IFERROR(__xludf.DUMMYFUNCTION("""COMPUTED_VALUE"""),"HOM Septiembre")</f>
        <v>HOM Septiembre</v>
      </c>
      <c r="I359" s="42" t="str">
        <f ca="1">IFERROR(__xludf.DUMMYFUNCTION("""COMPUTED_VALUE"""),"Septiembre")</f>
        <v>Septiembre</v>
      </c>
      <c r="J359" s="42" t="str">
        <f ca="1">IFERROR(__xludf.DUMMYFUNCTION("""COMPUTED_VALUE"""),"HOM")</f>
        <v>HOM</v>
      </c>
      <c r="K359" s="98">
        <f ca="1">IFERROR(__xludf.DUMMYFUNCTION("""COMPUTED_VALUE"""),61)</f>
        <v>61</v>
      </c>
      <c r="L359" s="42" t="str">
        <f ca="1">IFERROR(__xludf.DUMMYFUNCTION("""COMPUTED_VALUE"""),"TRIMESTRE 3")</f>
        <v>TRIMESTRE 3</v>
      </c>
      <c r="M359" s="42" t="str">
        <f ca="1">IFERROR(__xludf.DUMMYFUNCTION("""COMPUTED_VALUE"""),"HOMBRES ADULTOS")</f>
        <v>HOMBRES ADULTOS</v>
      </c>
    </row>
    <row r="360" spans="1:13">
      <c r="A360" s="42" t="str">
        <f ca="1">IFERROR(__xludf.DUMMYFUNCTION("""COMPUTED_VALUE"""),"2.1.1.14")</f>
        <v>2.1.1.14</v>
      </c>
      <c r="B360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60" s="42" t="str">
        <f ca="1">IFERROR(__xludf.DUMMYFUNCTION("""COMPUTED_VALUE"""),"3. Operación")</f>
        <v>3. Operación</v>
      </c>
      <c r="D360" s="42" t="str">
        <f ca="1">IFERROR(__xludf.DUMMYFUNCTION("""COMPUTED_VALUE"""),"Guadalajara en Paz")</f>
        <v>Guadalajara en Paz</v>
      </c>
      <c r="E360" s="42" t="str">
        <f ca="1">IFERROR(__xludf.DUMMYFUNCTION("""COMPUTED_VALUE"""),"Desarrollo de Habilidades y Profesionalización")</f>
        <v>Desarrollo de Habilidades y Profesionalización</v>
      </c>
      <c r="F360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60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60" s="42" t="str">
        <f ca="1">IFERROR(__xludf.DUMMYFUNCTION("""COMPUTED_VALUE"""),"AMM Septiembre")</f>
        <v>AMM Septiembre</v>
      </c>
      <c r="I360" s="42" t="str">
        <f ca="1">IFERROR(__xludf.DUMMYFUNCTION("""COMPUTED_VALUE"""),"Septiembre")</f>
        <v>Septiembre</v>
      </c>
      <c r="J360" s="42" t="str">
        <f ca="1">IFERROR(__xludf.DUMMYFUNCTION("""COMPUTED_VALUE"""),"AMM")</f>
        <v>AMM</v>
      </c>
      <c r="K360" s="98">
        <f ca="1">IFERROR(__xludf.DUMMYFUNCTION("""COMPUTED_VALUE"""),264)</f>
        <v>264</v>
      </c>
      <c r="L360" s="42" t="str">
        <f ca="1">IFERROR(__xludf.DUMMYFUNCTION("""COMPUTED_VALUE"""),"TRIMESTRE 3")</f>
        <v>TRIMESTRE 3</v>
      </c>
      <c r="M360" s="42" t="str">
        <f ca="1">IFERROR(__xludf.DUMMYFUNCTION("""COMPUTED_VALUE"""),"ADULTA MAYOR MUJER")</f>
        <v>ADULTA MAYOR MUJER</v>
      </c>
    </row>
    <row r="361" spans="1:13">
      <c r="A361" s="42" t="str">
        <f ca="1">IFERROR(__xludf.DUMMYFUNCTION("""COMPUTED_VALUE"""),"2.1.1.14")</f>
        <v>2.1.1.14</v>
      </c>
      <c r="B361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61" s="42" t="str">
        <f ca="1">IFERROR(__xludf.DUMMYFUNCTION("""COMPUTED_VALUE"""),"3. Operación")</f>
        <v>3. Operación</v>
      </c>
      <c r="D361" s="42" t="str">
        <f ca="1">IFERROR(__xludf.DUMMYFUNCTION("""COMPUTED_VALUE"""),"Guadalajara en Paz")</f>
        <v>Guadalajara en Paz</v>
      </c>
      <c r="E361" s="42" t="str">
        <f ca="1">IFERROR(__xludf.DUMMYFUNCTION("""COMPUTED_VALUE"""),"Desarrollo de Habilidades y Profesionalización")</f>
        <v>Desarrollo de Habilidades y Profesionalización</v>
      </c>
      <c r="F361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61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61" s="42" t="str">
        <f ca="1">IFERROR(__xludf.DUMMYFUNCTION("""COMPUTED_VALUE"""),"AMH Septiembre")</f>
        <v>AMH Septiembre</v>
      </c>
      <c r="I361" s="42" t="str">
        <f ca="1">IFERROR(__xludf.DUMMYFUNCTION("""COMPUTED_VALUE"""),"Septiembre")</f>
        <v>Septiembre</v>
      </c>
      <c r="J361" s="42" t="str">
        <f ca="1">IFERROR(__xludf.DUMMYFUNCTION("""COMPUTED_VALUE"""),"AMH")</f>
        <v>AMH</v>
      </c>
      <c r="K361" s="98">
        <f ca="1">IFERROR(__xludf.DUMMYFUNCTION("""COMPUTED_VALUE"""),27)</f>
        <v>27</v>
      </c>
      <c r="L361" s="42" t="str">
        <f ca="1">IFERROR(__xludf.DUMMYFUNCTION("""COMPUTED_VALUE"""),"TRIMESTRE 3")</f>
        <v>TRIMESTRE 3</v>
      </c>
      <c r="M361" s="42" t="str">
        <f ca="1">IFERROR(__xludf.DUMMYFUNCTION("""COMPUTED_VALUE"""),"ADULTO MAYOR HOMBRE")</f>
        <v>ADULTO MAYOR HOMBRE</v>
      </c>
    </row>
    <row r="362" spans="1:13">
      <c r="A362" s="42" t="str">
        <f ca="1">IFERROR(__xludf.DUMMYFUNCTION("""COMPUTED_VALUE"""),"2.1.1.14")</f>
        <v>2.1.1.14</v>
      </c>
      <c r="B362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62" s="42" t="str">
        <f ca="1">IFERROR(__xludf.DUMMYFUNCTION("""COMPUTED_VALUE"""),"3. Operación")</f>
        <v>3. Operación</v>
      </c>
      <c r="D362" s="42" t="str">
        <f ca="1">IFERROR(__xludf.DUMMYFUNCTION("""COMPUTED_VALUE"""),"Guadalajara en Paz")</f>
        <v>Guadalajara en Paz</v>
      </c>
      <c r="E362" s="42" t="str">
        <f ca="1">IFERROR(__xludf.DUMMYFUNCTION("""COMPUTED_VALUE"""),"Desarrollo de Habilidades y Profesionalización")</f>
        <v>Desarrollo de Habilidades y Profesionalización</v>
      </c>
      <c r="F362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62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62" s="42" t="str">
        <f ca="1">IFERROR(__xludf.DUMMYFUNCTION("""COMPUTED_VALUE"""),"NAS Octubre")</f>
        <v>NAS Octubre</v>
      </c>
      <c r="I362" s="42" t="str">
        <f ca="1">IFERROR(__xludf.DUMMYFUNCTION("""COMPUTED_VALUE"""),"Octubre")</f>
        <v>Octubre</v>
      </c>
      <c r="J362" s="42" t="str">
        <f ca="1">IFERROR(__xludf.DUMMYFUNCTION("""COMPUTED_VALUE"""),"NAS")</f>
        <v>NAS</v>
      </c>
      <c r="K362" s="98"/>
      <c r="L362" s="42" t="str">
        <f ca="1">IFERROR(__xludf.DUMMYFUNCTION("""COMPUTED_VALUE"""),"TRIMESTRE 4")</f>
        <v>TRIMESTRE 4</v>
      </c>
      <c r="M362" s="42" t="str">
        <f ca="1">IFERROR(__xludf.DUMMYFUNCTION("""COMPUTED_VALUE"""),"NIÑAS")</f>
        <v>NIÑAS</v>
      </c>
    </row>
    <row r="363" spans="1:13">
      <c r="A363" s="42" t="str">
        <f ca="1">IFERROR(__xludf.DUMMYFUNCTION("""COMPUTED_VALUE"""),"2.1.1.14")</f>
        <v>2.1.1.14</v>
      </c>
      <c r="B363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63" s="42" t="str">
        <f ca="1">IFERROR(__xludf.DUMMYFUNCTION("""COMPUTED_VALUE"""),"3. Operación")</f>
        <v>3. Operación</v>
      </c>
      <c r="D363" s="42" t="str">
        <f ca="1">IFERROR(__xludf.DUMMYFUNCTION("""COMPUTED_VALUE"""),"Guadalajara en Paz")</f>
        <v>Guadalajara en Paz</v>
      </c>
      <c r="E363" s="42" t="str">
        <f ca="1">IFERROR(__xludf.DUMMYFUNCTION("""COMPUTED_VALUE"""),"Desarrollo de Habilidades y Profesionalización")</f>
        <v>Desarrollo de Habilidades y Profesionalización</v>
      </c>
      <c r="F363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63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63" s="42" t="str">
        <f ca="1">IFERROR(__xludf.DUMMYFUNCTION("""COMPUTED_VALUE"""),"NOS Octubre")</f>
        <v>NOS Octubre</v>
      </c>
      <c r="I363" s="42" t="str">
        <f ca="1">IFERROR(__xludf.DUMMYFUNCTION("""COMPUTED_VALUE"""),"Octubre")</f>
        <v>Octubre</v>
      </c>
      <c r="J363" s="42" t="str">
        <f ca="1">IFERROR(__xludf.DUMMYFUNCTION("""COMPUTED_VALUE"""),"NOS")</f>
        <v>NOS</v>
      </c>
      <c r="K363" s="98"/>
      <c r="L363" s="42" t="str">
        <f ca="1">IFERROR(__xludf.DUMMYFUNCTION("""COMPUTED_VALUE"""),"TRIMESTRE 4")</f>
        <v>TRIMESTRE 4</v>
      </c>
      <c r="M363" s="42" t="str">
        <f ca="1">IFERROR(__xludf.DUMMYFUNCTION("""COMPUTED_VALUE"""),"NIÑOS")</f>
        <v>NIÑOS</v>
      </c>
    </row>
    <row r="364" spans="1:13">
      <c r="A364" s="42" t="str">
        <f ca="1">IFERROR(__xludf.DUMMYFUNCTION("""COMPUTED_VALUE"""),"2.1.1.14")</f>
        <v>2.1.1.14</v>
      </c>
      <c r="B364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64" s="42" t="str">
        <f ca="1">IFERROR(__xludf.DUMMYFUNCTION("""COMPUTED_VALUE"""),"3. Operación")</f>
        <v>3. Operación</v>
      </c>
      <c r="D364" s="42" t="str">
        <f ca="1">IFERROR(__xludf.DUMMYFUNCTION("""COMPUTED_VALUE"""),"Guadalajara en Paz")</f>
        <v>Guadalajara en Paz</v>
      </c>
      <c r="E364" s="42" t="str">
        <f ca="1">IFERROR(__xludf.DUMMYFUNCTION("""COMPUTED_VALUE"""),"Desarrollo de Habilidades y Profesionalización")</f>
        <v>Desarrollo de Habilidades y Profesionalización</v>
      </c>
      <c r="F364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64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64" s="42" t="str">
        <f ca="1">IFERROR(__xludf.DUMMYFUNCTION("""COMPUTED_VALUE"""),"AM OCTUBRE")</f>
        <v>AM OCTUBRE</v>
      </c>
      <c r="I364" s="42" t="str">
        <f ca="1">IFERROR(__xludf.DUMMYFUNCTION("""COMPUTED_VALUE"""),"Octubre")</f>
        <v>Octubre</v>
      </c>
      <c r="J364" s="42" t="str">
        <f ca="1">IFERROR(__xludf.DUMMYFUNCTION("""COMPUTED_VALUE"""),"AM")</f>
        <v>AM</v>
      </c>
      <c r="K364" s="98"/>
      <c r="L364" s="42" t="str">
        <f ca="1">IFERROR(__xludf.DUMMYFUNCTION("""COMPUTED_VALUE"""),"TRIMESTRE 4")</f>
        <v>TRIMESTRE 4</v>
      </c>
      <c r="M364" s="42" t="str">
        <f ca="1">IFERROR(__xludf.DUMMYFUNCTION("""COMPUTED_VALUE"""),"ADOLESCENTES MUJERES")</f>
        <v>ADOLESCENTES MUJERES</v>
      </c>
    </row>
    <row r="365" spans="1:13">
      <c r="A365" s="42" t="str">
        <f ca="1">IFERROR(__xludf.DUMMYFUNCTION("""COMPUTED_VALUE"""),"2.1.1.14")</f>
        <v>2.1.1.14</v>
      </c>
      <c r="B365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65" s="42" t="str">
        <f ca="1">IFERROR(__xludf.DUMMYFUNCTION("""COMPUTED_VALUE"""),"3. Operación")</f>
        <v>3. Operación</v>
      </c>
      <c r="D365" s="42" t="str">
        <f ca="1">IFERROR(__xludf.DUMMYFUNCTION("""COMPUTED_VALUE"""),"Guadalajara en Paz")</f>
        <v>Guadalajara en Paz</v>
      </c>
      <c r="E365" s="42" t="str">
        <f ca="1">IFERROR(__xludf.DUMMYFUNCTION("""COMPUTED_VALUE"""),"Desarrollo de Habilidades y Profesionalización")</f>
        <v>Desarrollo de Habilidades y Profesionalización</v>
      </c>
      <c r="F365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65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65" s="42" t="str">
        <f ca="1">IFERROR(__xludf.DUMMYFUNCTION("""COMPUTED_VALUE"""),"AH OCTUBRE")</f>
        <v>AH OCTUBRE</v>
      </c>
      <c r="I365" s="42" t="str">
        <f ca="1">IFERROR(__xludf.DUMMYFUNCTION("""COMPUTED_VALUE"""),"Octubre")</f>
        <v>Octubre</v>
      </c>
      <c r="J365" s="42" t="str">
        <f ca="1">IFERROR(__xludf.DUMMYFUNCTION("""COMPUTED_VALUE"""),"AH")</f>
        <v>AH</v>
      </c>
      <c r="K365" s="98"/>
      <c r="L365" s="42" t="str">
        <f ca="1">IFERROR(__xludf.DUMMYFUNCTION("""COMPUTED_VALUE"""),"TRIMESTRE 4")</f>
        <v>TRIMESTRE 4</v>
      </c>
      <c r="M365" s="42" t="str">
        <f ca="1">IFERROR(__xludf.DUMMYFUNCTION("""COMPUTED_VALUE"""),"ADOLESCENTES HOMBRES")</f>
        <v>ADOLESCENTES HOMBRES</v>
      </c>
    </row>
    <row r="366" spans="1:13">
      <c r="A366" s="42" t="str">
        <f ca="1">IFERROR(__xludf.DUMMYFUNCTION("""COMPUTED_VALUE"""),"2.1.1.14")</f>
        <v>2.1.1.14</v>
      </c>
      <c r="B366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66" s="42" t="str">
        <f ca="1">IFERROR(__xludf.DUMMYFUNCTION("""COMPUTED_VALUE"""),"3. Operación")</f>
        <v>3. Operación</v>
      </c>
      <c r="D366" s="42" t="str">
        <f ca="1">IFERROR(__xludf.DUMMYFUNCTION("""COMPUTED_VALUE"""),"Guadalajara en Paz")</f>
        <v>Guadalajara en Paz</v>
      </c>
      <c r="E366" s="42" t="str">
        <f ca="1">IFERROR(__xludf.DUMMYFUNCTION("""COMPUTED_VALUE"""),"Desarrollo de Habilidades y Profesionalización")</f>
        <v>Desarrollo de Habilidades y Profesionalización</v>
      </c>
      <c r="F366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66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66" s="42" t="str">
        <f ca="1">IFERROR(__xludf.DUMMYFUNCTION("""COMPUTED_VALUE"""),"MUJ Octubre")</f>
        <v>MUJ Octubre</v>
      </c>
      <c r="I366" s="42" t="str">
        <f ca="1">IFERROR(__xludf.DUMMYFUNCTION("""COMPUTED_VALUE"""),"Octubre")</f>
        <v>Octubre</v>
      </c>
      <c r="J366" s="42" t="str">
        <f ca="1">IFERROR(__xludf.DUMMYFUNCTION("""COMPUTED_VALUE"""),"MUJ")</f>
        <v>MUJ</v>
      </c>
      <c r="K366" s="98"/>
      <c r="L366" s="42" t="str">
        <f ca="1">IFERROR(__xludf.DUMMYFUNCTION("""COMPUTED_VALUE"""),"TRIMESTRE 4")</f>
        <v>TRIMESTRE 4</v>
      </c>
      <c r="M366" s="42" t="str">
        <f ca="1">IFERROR(__xludf.DUMMYFUNCTION("""COMPUTED_VALUE"""),"MUJERES ADULTAS")</f>
        <v>MUJERES ADULTAS</v>
      </c>
    </row>
    <row r="367" spans="1:13">
      <c r="A367" s="42" t="str">
        <f ca="1">IFERROR(__xludf.DUMMYFUNCTION("""COMPUTED_VALUE"""),"2.1.1.14")</f>
        <v>2.1.1.14</v>
      </c>
      <c r="B367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67" s="42" t="str">
        <f ca="1">IFERROR(__xludf.DUMMYFUNCTION("""COMPUTED_VALUE"""),"3. Operación")</f>
        <v>3. Operación</v>
      </c>
      <c r="D367" s="42" t="str">
        <f ca="1">IFERROR(__xludf.DUMMYFUNCTION("""COMPUTED_VALUE"""),"Guadalajara en Paz")</f>
        <v>Guadalajara en Paz</v>
      </c>
      <c r="E367" s="42" t="str">
        <f ca="1">IFERROR(__xludf.DUMMYFUNCTION("""COMPUTED_VALUE"""),"Desarrollo de Habilidades y Profesionalización")</f>
        <v>Desarrollo de Habilidades y Profesionalización</v>
      </c>
      <c r="F367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67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67" s="42" t="str">
        <f ca="1">IFERROR(__xludf.DUMMYFUNCTION("""COMPUTED_VALUE"""),"HOM Octubre")</f>
        <v>HOM Octubre</v>
      </c>
      <c r="I367" s="42" t="str">
        <f ca="1">IFERROR(__xludf.DUMMYFUNCTION("""COMPUTED_VALUE"""),"Octubre")</f>
        <v>Octubre</v>
      </c>
      <c r="J367" s="42" t="str">
        <f ca="1">IFERROR(__xludf.DUMMYFUNCTION("""COMPUTED_VALUE"""),"HOM")</f>
        <v>HOM</v>
      </c>
      <c r="K367" s="98"/>
      <c r="L367" s="42" t="str">
        <f ca="1">IFERROR(__xludf.DUMMYFUNCTION("""COMPUTED_VALUE"""),"TRIMESTRE 4")</f>
        <v>TRIMESTRE 4</v>
      </c>
      <c r="M367" s="42" t="str">
        <f ca="1">IFERROR(__xludf.DUMMYFUNCTION("""COMPUTED_VALUE"""),"HOMBRES ADULTOS")</f>
        <v>HOMBRES ADULTOS</v>
      </c>
    </row>
    <row r="368" spans="1:13">
      <c r="A368" s="42" t="str">
        <f ca="1">IFERROR(__xludf.DUMMYFUNCTION("""COMPUTED_VALUE"""),"2.1.1.14")</f>
        <v>2.1.1.14</v>
      </c>
      <c r="B368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68" s="42" t="str">
        <f ca="1">IFERROR(__xludf.DUMMYFUNCTION("""COMPUTED_VALUE"""),"3. Operación")</f>
        <v>3. Operación</v>
      </c>
      <c r="D368" s="42" t="str">
        <f ca="1">IFERROR(__xludf.DUMMYFUNCTION("""COMPUTED_VALUE"""),"Guadalajara en Paz")</f>
        <v>Guadalajara en Paz</v>
      </c>
      <c r="E368" s="42" t="str">
        <f ca="1">IFERROR(__xludf.DUMMYFUNCTION("""COMPUTED_VALUE"""),"Desarrollo de Habilidades y Profesionalización")</f>
        <v>Desarrollo de Habilidades y Profesionalización</v>
      </c>
      <c r="F368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68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68" s="42" t="str">
        <f ca="1">IFERROR(__xludf.DUMMYFUNCTION("""COMPUTED_VALUE"""),"AMM Octubre")</f>
        <v>AMM Octubre</v>
      </c>
      <c r="I368" s="42" t="str">
        <f ca="1">IFERROR(__xludf.DUMMYFUNCTION("""COMPUTED_VALUE"""),"Octubre")</f>
        <v>Octubre</v>
      </c>
      <c r="J368" s="42" t="str">
        <f ca="1">IFERROR(__xludf.DUMMYFUNCTION("""COMPUTED_VALUE"""),"AMM")</f>
        <v>AMM</v>
      </c>
      <c r="K368" s="98"/>
      <c r="L368" s="42" t="str">
        <f ca="1">IFERROR(__xludf.DUMMYFUNCTION("""COMPUTED_VALUE"""),"TRIMESTRE 4")</f>
        <v>TRIMESTRE 4</v>
      </c>
      <c r="M368" s="42" t="str">
        <f ca="1">IFERROR(__xludf.DUMMYFUNCTION("""COMPUTED_VALUE"""),"ADULTA MAYOR MUJER")</f>
        <v>ADULTA MAYOR MUJER</v>
      </c>
    </row>
    <row r="369" spans="1:13">
      <c r="A369" s="42" t="str">
        <f ca="1">IFERROR(__xludf.DUMMYFUNCTION("""COMPUTED_VALUE"""),"2.1.1.14")</f>
        <v>2.1.1.14</v>
      </c>
      <c r="B369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69" s="42" t="str">
        <f ca="1">IFERROR(__xludf.DUMMYFUNCTION("""COMPUTED_VALUE"""),"3. Operación")</f>
        <v>3. Operación</v>
      </c>
      <c r="D369" s="42" t="str">
        <f ca="1">IFERROR(__xludf.DUMMYFUNCTION("""COMPUTED_VALUE"""),"Guadalajara en Paz")</f>
        <v>Guadalajara en Paz</v>
      </c>
      <c r="E369" s="42" t="str">
        <f ca="1">IFERROR(__xludf.DUMMYFUNCTION("""COMPUTED_VALUE"""),"Desarrollo de Habilidades y Profesionalización")</f>
        <v>Desarrollo de Habilidades y Profesionalización</v>
      </c>
      <c r="F369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69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69" s="42" t="str">
        <f ca="1">IFERROR(__xludf.DUMMYFUNCTION("""COMPUTED_VALUE"""),"AMH Octubre")</f>
        <v>AMH Octubre</v>
      </c>
      <c r="I369" s="42" t="str">
        <f ca="1">IFERROR(__xludf.DUMMYFUNCTION("""COMPUTED_VALUE"""),"Octubre")</f>
        <v>Octubre</v>
      </c>
      <c r="J369" s="42" t="str">
        <f ca="1">IFERROR(__xludf.DUMMYFUNCTION("""COMPUTED_VALUE"""),"AMH")</f>
        <v>AMH</v>
      </c>
      <c r="K369" s="98"/>
      <c r="L369" s="42" t="str">
        <f ca="1">IFERROR(__xludf.DUMMYFUNCTION("""COMPUTED_VALUE"""),"TRIMESTRE 4")</f>
        <v>TRIMESTRE 4</v>
      </c>
      <c r="M369" s="42" t="str">
        <f ca="1">IFERROR(__xludf.DUMMYFUNCTION("""COMPUTED_VALUE"""),"ADULTO MAYOR HOMBRE")</f>
        <v>ADULTO MAYOR HOMBRE</v>
      </c>
    </row>
    <row r="370" spans="1:13">
      <c r="A370" s="42" t="str">
        <f ca="1">IFERROR(__xludf.DUMMYFUNCTION("""COMPUTED_VALUE"""),"2.1.1.14")</f>
        <v>2.1.1.14</v>
      </c>
      <c r="B370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70" s="42" t="str">
        <f ca="1">IFERROR(__xludf.DUMMYFUNCTION("""COMPUTED_VALUE"""),"3. Operación")</f>
        <v>3. Operación</v>
      </c>
      <c r="D370" s="42" t="str">
        <f ca="1">IFERROR(__xludf.DUMMYFUNCTION("""COMPUTED_VALUE"""),"Guadalajara en Paz")</f>
        <v>Guadalajara en Paz</v>
      </c>
      <c r="E370" s="42" t="str">
        <f ca="1">IFERROR(__xludf.DUMMYFUNCTION("""COMPUTED_VALUE"""),"Desarrollo de Habilidades y Profesionalización")</f>
        <v>Desarrollo de Habilidades y Profesionalización</v>
      </c>
      <c r="F370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70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70" s="42" t="str">
        <f ca="1">IFERROR(__xludf.DUMMYFUNCTION("""COMPUTED_VALUE"""),"NAS Noviembre")</f>
        <v>NAS Noviembre</v>
      </c>
      <c r="I370" s="42" t="str">
        <f ca="1">IFERROR(__xludf.DUMMYFUNCTION("""COMPUTED_VALUE"""),"Noviembre")</f>
        <v>Noviembre</v>
      </c>
      <c r="J370" s="42" t="str">
        <f ca="1">IFERROR(__xludf.DUMMYFUNCTION("""COMPUTED_VALUE"""),"NAS")</f>
        <v>NAS</v>
      </c>
      <c r="K370" s="98"/>
      <c r="L370" s="42" t="str">
        <f ca="1">IFERROR(__xludf.DUMMYFUNCTION("""COMPUTED_VALUE"""),"TRIMESTRE 4")</f>
        <v>TRIMESTRE 4</v>
      </c>
      <c r="M370" s="42" t="str">
        <f ca="1">IFERROR(__xludf.DUMMYFUNCTION("""COMPUTED_VALUE"""),"NIÑAS")</f>
        <v>NIÑAS</v>
      </c>
    </row>
    <row r="371" spans="1:13">
      <c r="A371" s="42" t="str">
        <f ca="1">IFERROR(__xludf.DUMMYFUNCTION("""COMPUTED_VALUE"""),"2.1.1.14")</f>
        <v>2.1.1.14</v>
      </c>
      <c r="B371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71" s="42" t="str">
        <f ca="1">IFERROR(__xludf.DUMMYFUNCTION("""COMPUTED_VALUE"""),"3. Operación")</f>
        <v>3. Operación</v>
      </c>
      <c r="D371" s="42" t="str">
        <f ca="1">IFERROR(__xludf.DUMMYFUNCTION("""COMPUTED_VALUE"""),"Guadalajara en Paz")</f>
        <v>Guadalajara en Paz</v>
      </c>
      <c r="E371" s="42" t="str">
        <f ca="1">IFERROR(__xludf.DUMMYFUNCTION("""COMPUTED_VALUE"""),"Desarrollo de Habilidades y Profesionalización")</f>
        <v>Desarrollo de Habilidades y Profesionalización</v>
      </c>
      <c r="F371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71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71" s="42" t="str">
        <f ca="1">IFERROR(__xludf.DUMMYFUNCTION("""COMPUTED_VALUE"""),"NOS Noviembre")</f>
        <v>NOS Noviembre</v>
      </c>
      <c r="I371" s="42" t="str">
        <f ca="1">IFERROR(__xludf.DUMMYFUNCTION("""COMPUTED_VALUE"""),"Noviembre")</f>
        <v>Noviembre</v>
      </c>
      <c r="J371" s="42" t="str">
        <f ca="1">IFERROR(__xludf.DUMMYFUNCTION("""COMPUTED_VALUE"""),"NOS")</f>
        <v>NOS</v>
      </c>
      <c r="K371" s="98"/>
      <c r="L371" s="42" t="str">
        <f ca="1">IFERROR(__xludf.DUMMYFUNCTION("""COMPUTED_VALUE"""),"TRIMESTRE 4")</f>
        <v>TRIMESTRE 4</v>
      </c>
      <c r="M371" s="42" t="str">
        <f ca="1">IFERROR(__xludf.DUMMYFUNCTION("""COMPUTED_VALUE"""),"NIÑOS")</f>
        <v>NIÑOS</v>
      </c>
    </row>
    <row r="372" spans="1:13">
      <c r="A372" s="42" t="str">
        <f ca="1">IFERROR(__xludf.DUMMYFUNCTION("""COMPUTED_VALUE"""),"2.1.1.14")</f>
        <v>2.1.1.14</v>
      </c>
      <c r="B372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72" s="42" t="str">
        <f ca="1">IFERROR(__xludf.DUMMYFUNCTION("""COMPUTED_VALUE"""),"3. Operación")</f>
        <v>3. Operación</v>
      </c>
      <c r="D372" s="42" t="str">
        <f ca="1">IFERROR(__xludf.DUMMYFUNCTION("""COMPUTED_VALUE"""),"Guadalajara en Paz")</f>
        <v>Guadalajara en Paz</v>
      </c>
      <c r="E372" s="42" t="str">
        <f ca="1">IFERROR(__xludf.DUMMYFUNCTION("""COMPUTED_VALUE"""),"Desarrollo de Habilidades y Profesionalización")</f>
        <v>Desarrollo de Habilidades y Profesionalización</v>
      </c>
      <c r="F372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72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72" s="42" t="str">
        <f ca="1">IFERROR(__xludf.DUMMYFUNCTION("""COMPUTED_VALUE"""),"AM NOVIEMBRE")</f>
        <v>AM NOVIEMBRE</v>
      </c>
      <c r="I372" s="42" t="str">
        <f ca="1">IFERROR(__xludf.DUMMYFUNCTION("""COMPUTED_VALUE"""),"Noviembre")</f>
        <v>Noviembre</v>
      </c>
      <c r="J372" s="42" t="str">
        <f ca="1">IFERROR(__xludf.DUMMYFUNCTION("""COMPUTED_VALUE"""),"AM")</f>
        <v>AM</v>
      </c>
      <c r="K372" s="98"/>
      <c r="L372" s="42" t="str">
        <f ca="1">IFERROR(__xludf.DUMMYFUNCTION("""COMPUTED_VALUE"""),"TRIMESTRE 4")</f>
        <v>TRIMESTRE 4</v>
      </c>
      <c r="M372" s="42" t="str">
        <f ca="1">IFERROR(__xludf.DUMMYFUNCTION("""COMPUTED_VALUE"""),"ADOLESCENTES MUJERES")</f>
        <v>ADOLESCENTES MUJERES</v>
      </c>
    </row>
    <row r="373" spans="1:13">
      <c r="A373" s="42" t="str">
        <f ca="1">IFERROR(__xludf.DUMMYFUNCTION("""COMPUTED_VALUE"""),"2.1.1.14")</f>
        <v>2.1.1.14</v>
      </c>
      <c r="B373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73" s="42" t="str">
        <f ca="1">IFERROR(__xludf.DUMMYFUNCTION("""COMPUTED_VALUE"""),"3. Operación")</f>
        <v>3. Operación</v>
      </c>
      <c r="D373" s="42" t="str">
        <f ca="1">IFERROR(__xludf.DUMMYFUNCTION("""COMPUTED_VALUE"""),"Guadalajara en Paz")</f>
        <v>Guadalajara en Paz</v>
      </c>
      <c r="E373" s="42" t="str">
        <f ca="1">IFERROR(__xludf.DUMMYFUNCTION("""COMPUTED_VALUE"""),"Desarrollo de Habilidades y Profesionalización")</f>
        <v>Desarrollo de Habilidades y Profesionalización</v>
      </c>
      <c r="F373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73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73" s="42" t="str">
        <f ca="1">IFERROR(__xludf.DUMMYFUNCTION("""COMPUTED_VALUE"""),"AH NOVIEMBRE")</f>
        <v>AH NOVIEMBRE</v>
      </c>
      <c r="I373" s="42" t="str">
        <f ca="1">IFERROR(__xludf.DUMMYFUNCTION("""COMPUTED_VALUE"""),"Noviembre")</f>
        <v>Noviembre</v>
      </c>
      <c r="J373" s="42" t="str">
        <f ca="1">IFERROR(__xludf.DUMMYFUNCTION("""COMPUTED_VALUE"""),"AH")</f>
        <v>AH</v>
      </c>
      <c r="K373" s="98"/>
      <c r="L373" s="42" t="str">
        <f ca="1">IFERROR(__xludf.DUMMYFUNCTION("""COMPUTED_VALUE"""),"TRIMESTRE 4")</f>
        <v>TRIMESTRE 4</v>
      </c>
      <c r="M373" s="42" t="str">
        <f ca="1">IFERROR(__xludf.DUMMYFUNCTION("""COMPUTED_VALUE"""),"ADOLESCENTES HOMBRES")</f>
        <v>ADOLESCENTES HOMBRES</v>
      </c>
    </row>
    <row r="374" spans="1:13">
      <c r="A374" s="42" t="str">
        <f ca="1">IFERROR(__xludf.DUMMYFUNCTION("""COMPUTED_VALUE"""),"2.1.1.14")</f>
        <v>2.1.1.14</v>
      </c>
      <c r="B374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74" s="42" t="str">
        <f ca="1">IFERROR(__xludf.DUMMYFUNCTION("""COMPUTED_VALUE"""),"3. Operación")</f>
        <v>3. Operación</v>
      </c>
      <c r="D374" s="42" t="str">
        <f ca="1">IFERROR(__xludf.DUMMYFUNCTION("""COMPUTED_VALUE"""),"Guadalajara en Paz")</f>
        <v>Guadalajara en Paz</v>
      </c>
      <c r="E374" s="42" t="str">
        <f ca="1">IFERROR(__xludf.DUMMYFUNCTION("""COMPUTED_VALUE"""),"Desarrollo de Habilidades y Profesionalización")</f>
        <v>Desarrollo de Habilidades y Profesionalización</v>
      </c>
      <c r="F374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74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74" s="42" t="str">
        <f ca="1">IFERROR(__xludf.DUMMYFUNCTION("""COMPUTED_VALUE"""),"MUJ Noviembre")</f>
        <v>MUJ Noviembre</v>
      </c>
      <c r="I374" s="42" t="str">
        <f ca="1">IFERROR(__xludf.DUMMYFUNCTION("""COMPUTED_VALUE"""),"Noviembre")</f>
        <v>Noviembre</v>
      </c>
      <c r="J374" s="42" t="str">
        <f ca="1">IFERROR(__xludf.DUMMYFUNCTION("""COMPUTED_VALUE"""),"MUJ")</f>
        <v>MUJ</v>
      </c>
      <c r="K374" s="98"/>
      <c r="L374" s="42" t="str">
        <f ca="1">IFERROR(__xludf.DUMMYFUNCTION("""COMPUTED_VALUE"""),"TRIMESTRE 4")</f>
        <v>TRIMESTRE 4</v>
      </c>
      <c r="M374" s="42" t="str">
        <f ca="1">IFERROR(__xludf.DUMMYFUNCTION("""COMPUTED_VALUE"""),"MUJERES ADULTAS")</f>
        <v>MUJERES ADULTAS</v>
      </c>
    </row>
    <row r="375" spans="1:13">
      <c r="A375" s="42" t="str">
        <f ca="1">IFERROR(__xludf.DUMMYFUNCTION("""COMPUTED_VALUE"""),"2.1.1.14")</f>
        <v>2.1.1.14</v>
      </c>
      <c r="B375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75" s="42" t="str">
        <f ca="1">IFERROR(__xludf.DUMMYFUNCTION("""COMPUTED_VALUE"""),"3. Operación")</f>
        <v>3. Operación</v>
      </c>
      <c r="D375" s="42" t="str">
        <f ca="1">IFERROR(__xludf.DUMMYFUNCTION("""COMPUTED_VALUE"""),"Guadalajara en Paz")</f>
        <v>Guadalajara en Paz</v>
      </c>
      <c r="E375" s="42" t="str">
        <f ca="1">IFERROR(__xludf.DUMMYFUNCTION("""COMPUTED_VALUE"""),"Desarrollo de Habilidades y Profesionalización")</f>
        <v>Desarrollo de Habilidades y Profesionalización</v>
      </c>
      <c r="F375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75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75" s="42" t="str">
        <f ca="1">IFERROR(__xludf.DUMMYFUNCTION("""COMPUTED_VALUE"""),"HOM Noviembre")</f>
        <v>HOM Noviembre</v>
      </c>
      <c r="I375" s="42" t="str">
        <f ca="1">IFERROR(__xludf.DUMMYFUNCTION("""COMPUTED_VALUE"""),"Noviembre")</f>
        <v>Noviembre</v>
      </c>
      <c r="J375" s="42" t="str">
        <f ca="1">IFERROR(__xludf.DUMMYFUNCTION("""COMPUTED_VALUE"""),"HOM")</f>
        <v>HOM</v>
      </c>
      <c r="K375" s="98"/>
      <c r="L375" s="42" t="str">
        <f ca="1">IFERROR(__xludf.DUMMYFUNCTION("""COMPUTED_VALUE"""),"TRIMESTRE 4")</f>
        <v>TRIMESTRE 4</v>
      </c>
      <c r="M375" s="42" t="str">
        <f ca="1">IFERROR(__xludf.DUMMYFUNCTION("""COMPUTED_VALUE"""),"HOMBRES ADULTOS")</f>
        <v>HOMBRES ADULTOS</v>
      </c>
    </row>
    <row r="376" spans="1:13">
      <c r="A376" s="42" t="str">
        <f ca="1">IFERROR(__xludf.DUMMYFUNCTION("""COMPUTED_VALUE"""),"2.1.1.14")</f>
        <v>2.1.1.14</v>
      </c>
      <c r="B376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76" s="42" t="str">
        <f ca="1">IFERROR(__xludf.DUMMYFUNCTION("""COMPUTED_VALUE"""),"3. Operación")</f>
        <v>3. Operación</v>
      </c>
      <c r="D376" s="42" t="str">
        <f ca="1">IFERROR(__xludf.DUMMYFUNCTION("""COMPUTED_VALUE"""),"Guadalajara en Paz")</f>
        <v>Guadalajara en Paz</v>
      </c>
      <c r="E376" s="42" t="str">
        <f ca="1">IFERROR(__xludf.DUMMYFUNCTION("""COMPUTED_VALUE"""),"Desarrollo de Habilidades y Profesionalización")</f>
        <v>Desarrollo de Habilidades y Profesionalización</v>
      </c>
      <c r="F376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76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76" s="42" t="str">
        <f ca="1">IFERROR(__xludf.DUMMYFUNCTION("""COMPUTED_VALUE"""),"AMM Noviembre")</f>
        <v>AMM Noviembre</v>
      </c>
      <c r="I376" s="42" t="str">
        <f ca="1">IFERROR(__xludf.DUMMYFUNCTION("""COMPUTED_VALUE"""),"Noviembre")</f>
        <v>Noviembre</v>
      </c>
      <c r="J376" s="42" t="str">
        <f ca="1">IFERROR(__xludf.DUMMYFUNCTION("""COMPUTED_VALUE"""),"AMM")</f>
        <v>AMM</v>
      </c>
      <c r="K376" s="98"/>
      <c r="L376" s="42" t="str">
        <f ca="1">IFERROR(__xludf.DUMMYFUNCTION("""COMPUTED_VALUE"""),"TRIMESTRE 4")</f>
        <v>TRIMESTRE 4</v>
      </c>
      <c r="M376" s="42" t="str">
        <f ca="1">IFERROR(__xludf.DUMMYFUNCTION("""COMPUTED_VALUE"""),"ADULTA MAYOR MUJER")</f>
        <v>ADULTA MAYOR MUJER</v>
      </c>
    </row>
    <row r="377" spans="1:13">
      <c r="A377" s="42" t="str">
        <f ca="1">IFERROR(__xludf.DUMMYFUNCTION("""COMPUTED_VALUE"""),"2.1.1.14")</f>
        <v>2.1.1.14</v>
      </c>
      <c r="B377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77" s="42" t="str">
        <f ca="1">IFERROR(__xludf.DUMMYFUNCTION("""COMPUTED_VALUE"""),"3. Operación")</f>
        <v>3. Operación</v>
      </c>
      <c r="D377" s="42" t="str">
        <f ca="1">IFERROR(__xludf.DUMMYFUNCTION("""COMPUTED_VALUE"""),"Guadalajara en Paz")</f>
        <v>Guadalajara en Paz</v>
      </c>
      <c r="E377" s="42" t="str">
        <f ca="1">IFERROR(__xludf.DUMMYFUNCTION("""COMPUTED_VALUE"""),"Desarrollo de Habilidades y Profesionalización")</f>
        <v>Desarrollo de Habilidades y Profesionalización</v>
      </c>
      <c r="F377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77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77" s="42" t="str">
        <f ca="1">IFERROR(__xludf.DUMMYFUNCTION("""COMPUTED_VALUE"""),"AMH Noviembre")</f>
        <v>AMH Noviembre</v>
      </c>
      <c r="I377" s="42" t="str">
        <f ca="1">IFERROR(__xludf.DUMMYFUNCTION("""COMPUTED_VALUE"""),"Noviembre")</f>
        <v>Noviembre</v>
      </c>
      <c r="J377" s="42" t="str">
        <f ca="1">IFERROR(__xludf.DUMMYFUNCTION("""COMPUTED_VALUE"""),"AMH")</f>
        <v>AMH</v>
      </c>
      <c r="K377" s="98"/>
      <c r="L377" s="42" t="str">
        <f ca="1">IFERROR(__xludf.DUMMYFUNCTION("""COMPUTED_VALUE"""),"TRIMESTRE 4")</f>
        <v>TRIMESTRE 4</v>
      </c>
      <c r="M377" s="42" t="str">
        <f ca="1">IFERROR(__xludf.DUMMYFUNCTION("""COMPUTED_VALUE"""),"ADULTO MAYOR HOMBRE")</f>
        <v>ADULTO MAYOR HOMBRE</v>
      </c>
    </row>
    <row r="378" spans="1:13">
      <c r="A378" s="42" t="str">
        <f ca="1">IFERROR(__xludf.DUMMYFUNCTION("""COMPUTED_VALUE"""),"2.1.1.14")</f>
        <v>2.1.1.14</v>
      </c>
      <c r="B378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78" s="42" t="str">
        <f ca="1">IFERROR(__xludf.DUMMYFUNCTION("""COMPUTED_VALUE"""),"3. Operación")</f>
        <v>3. Operación</v>
      </c>
      <c r="D378" s="42" t="str">
        <f ca="1">IFERROR(__xludf.DUMMYFUNCTION("""COMPUTED_VALUE"""),"Guadalajara en Paz")</f>
        <v>Guadalajara en Paz</v>
      </c>
      <c r="E378" s="42" t="str">
        <f ca="1">IFERROR(__xludf.DUMMYFUNCTION("""COMPUTED_VALUE"""),"Desarrollo de Habilidades y Profesionalización")</f>
        <v>Desarrollo de Habilidades y Profesionalización</v>
      </c>
      <c r="F378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78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78" s="42" t="str">
        <f ca="1">IFERROR(__xludf.DUMMYFUNCTION("""COMPUTED_VALUE"""),"NAS Diciembre")</f>
        <v>NAS Diciembre</v>
      </c>
      <c r="I378" s="42" t="str">
        <f ca="1">IFERROR(__xludf.DUMMYFUNCTION("""COMPUTED_VALUE"""),"Diciembre")</f>
        <v>Diciembre</v>
      </c>
      <c r="J378" s="42" t="str">
        <f ca="1">IFERROR(__xludf.DUMMYFUNCTION("""COMPUTED_VALUE"""),"NAS")</f>
        <v>NAS</v>
      </c>
      <c r="K378" s="98"/>
      <c r="L378" s="42" t="str">
        <f ca="1">IFERROR(__xludf.DUMMYFUNCTION("""COMPUTED_VALUE"""),"TRIMESTRE 4")</f>
        <v>TRIMESTRE 4</v>
      </c>
      <c r="M378" s="42" t="str">
        <f ca="1">IFERROR(__xludf.DUMMYFUNCTION("""COMPUTED_VALUE"""),"NIÑAS")</f>
        <v>NIÑAS</v>
      </c>
    </row>
    <row r="379" spans="1:13">
      <c r="A379" s="42" t="str">
        <f ca="1">IFERROR(__xludf.DUMMYFUNCTION("""COMPUTED_VALUE"""),"2.1.1.14")</f>
        <v>2.1.1.14</v>
      </c>
      <c r="B379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79" s="42" t="str">
        <f ca="1">IFERROR(__xludf.DUMMYFUNCTION("""COMPUTED_VALUE"""),"3. Operación")</f>
        <v>3. Operación</v>
      </c>
      <c r="D379" s="42" t="str">
        <f ca="1">IFERROR(__xludf.DUMMYFUNCTION("""COMPUTED_VALUE"""),"Guadalajara en Paz")</f>
        <v>Guadalajara en Paz</v>
      </c>
      <c r="E379" s="42" t="str">
        <f ca="1">IFERROR(__xludf.DUMMYFUNCTION("""COMPUTED_VALUE"""),"Desarrollo de Habilidades y Profesionalización")</f>
        <v>Desarrollo de Habilidades y Profesionalización</v>
      </c>
      <c r="F379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79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79" s="42" t="str">
        <f ca="1">IFERROR(__xludf.DUMMYFUNCTION("""COMPUTED_VALUE"""),"NOS Diciembre")</f>
        <v>NOS Diciembre</v>
      </c>
      <c r="I379" s="42" t="str">
        <f ca="1">IFERROR(__xludf.DUMMYFUNCTION("""COMPUTED_VALUE"""),"Diciembre")</f>
        <v>Diciembre</v>
      </c>
      <c r="J379" s="42" t="str">
        <f ca="1">IFERROR(__xludf.DUMMYFUNCTION("""COMPUTED_VALUE"""),"NOS")</f>
        <v>NOS</v>
      </c>
      <c r="K379" s="98"/>
      <c r="L379" s="42" t="str">
        <f ca="1">IFERROR(__xludf.DUMMYFUNCTION("""COMPUTED_VALUE"""),"TRIMESTRE 4")</f>
        <v>TRIMESTRE 4</v>
      </c>
      <c r="M379" s="42" t="str">
        <f ca="1">IFERROR(__xludf.DUMMYFUNCTION("""COMPUTED_VALUE"""),"NIÑOS")</f>
        <v>NIÑOS</v>
      </c>
    </row>
    <row r="380" spans="1:13">
      <c r="A380" s="42" t="str">
        <f ca="1">IFERROR(__xludf.DUMMYFUNCTION("""COMPUTED_VALUE"""),"2.1.1.14")</f>
        <v>2.1.1.14</v>
      </c>
      <c r="B380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80" s="42" t="str">
        <f ca="1">IFERROR(__xludf.DUMMYFUNCTION("""COMPUTED_VALUE"""),"3. Operación")</f>
        <v>3. Operación</v>
      </c>
      <c r="D380" s="42" t="str">
        <f ca="1">IFERROR(__xludf.DUMMYFUNCTION("""COMPUTED_VALUE"""),"Guadalajara en Paz")</f>
        <v>Guadalajara en Paz</v>
      </c>
      <c r="E380" s="42" t="str">
        <f ca="1">IFERROR(__xludf.DUMMYFUNCTION("""COMPUTED_VALUE"""),"Desarrollo de Habilidades y Profesionalización")</f>
        <v>Desarrollo de Habilidades y Profesionalización</v>
      </c>
      <c r="F380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80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80" s="42" t="str">
        <f ca="1">IFERROR(__xludf.DUMMYFUNCTION("""COMPUTED_VALUE"""),"AM DICIEMBRE")</f>
        <v>AM DICIEMBRE</v>
      </c>
      <c r="I380" s="42" t="str">
        <f ca="1">IFERROR(__xludf.DUMMYFUNCTION("""COMPUTED_VALUE"""),"Diciembre")</f>
        <v>Diciembre</v>
      </c>
      <c r="J380" s="42" t="str">
        <f ca="1">IFERROR(__xludf.DUMMYFUNCTION("""COMPUTED_VALUE"""),"AM")</f>
        <v>AM</v>
      </c>
      <c r="K380" s="98"/>
      <c r="L380" s="42" t="str">
        <f ca="1">IFERROR(__xludf.DUMMYFUNCTION("""COMPUTED_VALUE"""),"TRIMESTRE 4")</f>
        <v>TRIMESTRE 4</v>
      </c>
      <c r="M380" s="42" t="str">
        <f ca="1">IFERROR(__xludf.DUMMYFUNCTION("""COMPUTED_VALUE"""),"ADOLESCENTES MUJERES")</f>
        <v>ADOLESCENTES MUJERES</v>
      </c>
    </row>
    <row r="381" spans="1:13">
      <c r="A381" s="42" t="str">
        <f ca="1">IFERROR(__xludf.DUMMYFUNCTION("""COMPUTED_VALUE"""),"2.1.1.14")</f>
        <v>2.1.1.14</v>
      </c>
      <c r="B381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81" s="42" t="str">
        <f ca="1">IFERROR(__xludf.DUMMYFUNCTION("""COMPUTED_VALUE"""),"3. Operación")</f>
        <v>3. Operación</v>
      </c>
      <c r="D381" s="42" t="str">
        <f ca="1">IFERROR(__xludf.DUMMYFUNCTION("""COMPUTED_VALUE"""),"Guadalajara en Paz")</f>
        <v>Guadalajara en Paz</v>
      </c>
      <c r="E381" s="42" t="str">
        <f ca="1">IFERROR(__xludf.DUMMYFUNCTION("""COMPUTED_VALUE"""),"Desarrollo de Habilidades y Profesionalización")</f>
        <v>Desarrollo de Habilidades y Profesionalización</v>
      </c>
      <c r="F381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81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81" s="42" t="str">
        <f ca="1">IFERROR(__xludf.DUMMYFUNCTION("""COMPUTED_VALUE"""),"AH DICIEMBRE")</f>
        <v>AH DICIEMBRE</v>
      </c>
      <c r="I381" s="42" t="str">
        <f ca="1">IFERROR(__xludf.DUMMYFUNCTION("""COMPUTED_VALUE"""),"Diciembre")</f>
        <v>Diciembre</v>
      </c>
      <c r="J381" s="42" t="str">
        <f ca="1">IFERROR(__xludf.DUMMYFUNCTION("""COMPUTED_VALUE"""),"AH")</f>
        <v>AH</v>
      </c>
      <c r="K381" s="98"/>
      <c r="L381" s="42" t="str">
        <f ca="1">IFERROR(__xludf.DUMMYFUNCTION("""COMPUTED_VALUE"""),"TRIMESTRE 4")</f>
        <v>TRIMESTRE 4</v>
      </c>
      <c r="M381" s="42" t="str">
        <f ca="1">IFERROR(__xludf.DUMMYFUNCTION("""COMPUTED_VALUE"""),"ADOLESCENTES HOMBRES")</f>
        <v>ADOLESCENTES HOMBRES</v>
      </c>
    </row>
    <row r="382" spans="1:13">
      <c r="A382" s="42" t="str">
        <f ca="1">IFERROR(__xludf.DUMMYFUNCTION("""COMPUTED_VALUE"""),"2.1.1.14")</f>
        <v>2.1.1.14</v>
      </c>
      <c r="B382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82" s="42" t="str">
        <f ca="1">IFERROR(__xludf.DUMMYFUNCTION("""COMPUTED_VALUE"""),"3. Operación")</f>
        <v>3. Operación</v>
      </c>
      <c r="D382" s="42" t="str">
        <f ca="1">IFERROR(__xludf.DUMMYFUNCTION("""COMPUTED_VALUE"""),"Guadalajara en Paz")</f>
        <v>Guadalajara en Paz</v>
      </c>
      <c r="E382" s="42" t="str">
        <f ca="1">IFERROR(__xludf.DUMMYFUNCTION("""COMPUTED_VALUE"""),"Desarrollo de Habilidades y Profesionalización")</f>
        <v>Desarrollo de Habilidades y Profesionalización</v>
      </c>
      <c r="F382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82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82" s="42" t="str">
        <f ca="1">IFERROR(__xludf.DUMMYFUNCTION("""COMPUTED_VALUE"""),"MUJ Diciembre")</f>
        <v>MUJ Diciembre</v>
      </c>
      <c r="I382" s="42" t="str">
        <f ca="1">IFERROR(__xludf.DUMMYFUNCTION("""COMPUTED_VALUE"""),"Diciembre")</f>
        <v>Diciembre</v>
      </c>
      <c r="J382" s="42" t="str">
        <f ca="1">IFERROR(__xludf.DUMMYFUNCTION("""COMPUTED_VALUE"""),"MUJ")</f>
        <v>MUJ</v>
      </c>
      <c r="K382" s="98"/>
      <c r="L382" s="42" t="str">
        <f ca="1">IFERROR(__xludf.DUMMYFUNCTION("""COMPUTED_VALUE"""),"TRIMESTRE 4")</f>
        <v>TRIMESTRE 4</v>
      </c>
      <c r="M382" s="42" t="str">
        <f ca="1">IFERROR(__xludf.DUMMYFUNCTION("""COMPUTED_VALUE"""),"MUJERES ADULTAS")</f>
        <v>MUJERES ADULTAS</v>
      </c>
    </row>
    <row r="383" spans="1:13">
      <c r="A383" s="42" t="str">
        <f ca="1">IFERROR(__xludf.DUMMYFUNCTION("""COMPUTED_VALUE"""),"2.1.1.14")</f>
        <v>2.1.1.14</v>
      </c>
      <c r="B383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83" s="42" t="str">
        <f ca="1">IFERROR(__xludf.DUMMYFUNCTION("""COMPUTED_VALUE"""),"3. Operación")</f>
        <v>3. Operación</v>
      </c>
      <c r="D383" s="42" t="str">
        <f ca="1">IFERROR(__xludf.DUMMYFUNCTION("""COMPUTED_VALUE"""),"Guadalajara en Paz")</f>
        <v>Guadalajara en Paz</v>
      </c>
      <c r="E383" s="42" t="str">
        <f ca="1">IFERROR(__xludf.DUMMYFUNCTION("""COMPUTED_VALUE"""),"Desarrollo de Habilidades y Profesionalización")</f>
        <v>Desarrollo de Habilidades y Profesionalización</v>
      </c>
      <c r="F383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83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83" s="42" t="str">
        <f ca="1">IFERROR(__xludf.DUMMYFUNCTION("""COMPUTED_VALUE"""),"HOM Diciembre")</f>
        <v>HOM Diciembre</v>
      </c>
      <c r="I383" s="42" t="str">
        <f ca="1">IFERROR(__xludf.DUMMYFUNCTION("""COMPUTED_VALUE"""),"Diciembre")</f>
        <v>Diciembre</v>
      </c>
      <c r="J383" s="42" t="str">
        <f ca="1">IFERROR(__xludf.DUMMYFUNCTION("""COMPUTED_VALUE"""),"HOM")</f>
        <v>HOM</v>
      </c>
      <c r="K383" s="98"/>
      <c r="L383" s="42" t="str">
        <f ca="1">IFERROR(__xludf.DUMMYFUNCTION("""COMPUTED_VALUE"""),"TRIMESTRE 4")</f>
        <v>TRIMESTRE 4</v>
      </c>
      <c r="M383" s="42" t="str">
        <f ca="1">IFERROR(__xludf.DUMMYFUNCTION("""COMPUTED_VALUE"""),"HOMBRES ADULTOS")</f>
        <v>HOMBRES ADULTOS</v>
      </c>
    </row>
    <row r="384" spans="1:13">
      <c r="A384" s="42" t="str">
        <f ca="1">IFERROR(__xludf.DUMMYFUNCTION("""COMPUTED_VALUE"""),"2.1.1.14")</f>
        <v>2.1.1.14</v>
      </c>
      <c r="B384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84" s="42" t="str">
        <f ca="1">IFERROR(__xludf.DUMMYFUNCTION("""COMPUTED_VALUE"""),"3. Operación")</f>
        <v>3. Operación</v>
      </c>
      <c r="D384" s="42" t="str">
        <f ca="1">IFERROR(__xludf.DUMMYFUNCTION("""COMPUTED_VALUE"""),"Guadalajara en Paz")</f>
        <v>Guadalajara en Paz</v>
      </c>
      <c r="E384" s="42" t="str">
        <f ca="1">IFERROR(__xludf.DUMMYFUNCTION("""COMPUTED_VALUE"""),"Desarrollo de Habilidades y Profesionalización")</f>
        <v>Desarrollo de Habilidades y Profesionalización</v>
      </c>
      <c r="F384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84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84" s="42" t="str">
        <f ca="1">IFERROR(__xludf.DUMMYFUNCTION("""COMPUTED_VALUE"""),"AMM Diciembre")</f>
        <v>AMM Diciembre</v>
      </c>
      <c r="I384" s="42" t="str">
        <f ca="1">IFERROR(__xludf.DUMMYFUNCTION("""COMPUTED_VALUE"""),"Diciembre")</f>
        <v>Diciembre</v>
      </c>
      <c r="J384" s="42" t="str">
        <f ca="1">IFERROR(__xludf.DUMMYFUNCTION("""COMPUTED_VALUE"""),"AMM")</f>
        <v>AMM</v>
      </c>
      <c r="K384" s="98"/>
      <c r="L384" s="42" t="str">
        <f ca="1">IFERROR(__xludf.DUMMYFUNCTION("""COMPUTED_VALUE"""),"TRIMESTRE 4")</f>
        <v>TRIMESTRE 4</v>
      </c>
      <c r="M384" s="42" t="str">
        <f ca="1">IFERROR(__xludf.DUMMYFUNCTION("""COMPUTED_VALUE"""),"ADULTA MAYOR MUJER")</f>
        <v>ADULTA MAYOR MUJER</v>
      </c>
    </row>
    <row r="385" spans="1:13">
      <c r="A385" s="42" t="str">
        <f ca="1">IFERROR(__xludf.DUMMYFUNCTION("""COMPUTED_VALUE"""),"2.1.1.14")</f>
        <v>2.1.1.14</v>
      </c>
      <c r="B385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385" s="42" t="str">
        <f ca="1">IFERROR(__xludf.DUMMYFUNCTION("""COMPUTED_VALUE"""),"3. Operación")</f>
        <v>3. Operación</v>
      </c>
      <c r="D385" s="42" t="str">
        <f ca="1">IFERROR(__xludf.DUMMYFUNCTION("""COMPUTED_VALUE"""),"Guadalajara en Paz")</f>
        <v>Guadalajara en Paz</v>
      </c>
      <c r="E385" s="42" t="str">
        <f ca="1">IFERROR(__xludf.DUMMYFUNCTION("""COMPUTED_VALUE"""),"Desarrollo de Habilidades y Profesionalización")</f>
        <v>Desarrollo de Habilidades y Profesionalización</v>
      </c>
      <c r="F385" s="42" t="str">
        <f ca="1">IFERROR(__xludf.DUMMYFUNCTION("""COMPUTED_VALUE"""),"A14C1, Usuarios que asistieron a talleres y cursos realizados en CDC e ICAS mensualmente en 2023")</f>
        <v>A14C1, Usuarios que asistieron a talleres y cursos realizados en CDC e ICAS mensualmente en 2023</v>
      </c>
      <c r="G385" s="42" t="str">
        <f ca="1">IFERROR(__xludf.DUMMYFUNCTION("""COMPUTED_VALUE"""),"Promedio mensual de usuarios que participaron en talleres y cursos realizadas en CDC e ICAS, en 2023")</f>
        <v>Promedio mensual de usuarios que participaron en talleres y cursos realizadas en CDC e ICAS, en 2023</v>
      </c>
      <c r="H385" s="42" t="str">
        <f ca="1">IFERROR(__xludf.DUMMYFUNCTION("""COMPUTED_VALUE"""),"AMH Diciembre")</f>
        <v>AMH Diciembre</v>
      </c>
      <c r="I385" s="42" t="str">
        <f ca="1">IFERROR(__xludf.DUMMYFUNCTION("""COMPUTED_VALUE"""),"Diciembre")</f>
        <v>Diciembre</v>
      </c>
      <c r="J385" s="42" t="str">
        <f ca="1">IFERROR(__xludf.DUMMYFUNCTION("""COMPUTED_VALUE"""),"AMH")</f>
        <v>AMH</v>
      </c>
      <c r="K385" s="98"/>
      <c r="L385" s="42" t="str">
        <f ca="1">IFERROR(__xludf.DUMMYFUNCTION("""COMPUTED_VALUE"""),"TRIMESTRE 4")</f>
        <v>TRIMESTRE 4</v>
      </c>
      <c r="M385" s="42" t="str">
        <f ca="1">IFERROR(__xludf.DUMMYFUNCTION("""COMPUTED_VALUE"""),"ADULTO MAYOR HOMBRE")</f>
        <v>ADULTO MAYOR HOMBRE</v>
      </c>
    </row>
    <row r="386" spans="1:13">
      <c r="A386" s="42" t="str">
        <f ca="1">IFERROR(__xludf.DUMMYFUNCTION("""COMPUTED_VALUE"""),"2.1.1.4")</f>
        <v>2.1.1.4</v>
      </c>
      <c r="B386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386" s="42" t="str">
        <f ca="1">IFERROR(__xludf.DUMMYFUNCTION("""COMPUTED_VALUE"""),"3. Operación")</f>
        <v>3. Operación</v>
      </c>
      <c r="D386" s="42" t="str">
        <f ca="1">IFERROR(__xludf.DUMMYFUNCTION("""COMPUTED_VALUE"""),"Guadalajara en Paz")</f>
        <v>Guadalajara en Paz</v>
      </c>
      <c r="E386" s="42" t="str">
        <f ca="1">IFERROR(__xludf.DUMMYFUNCTION("""COMPUTED_VALUE"""),"Asistencia Alimentaria y Nutrición")</f>
        <v>Asistencia Alimentaria y Nutrición</v>
      </c>
      <c r="F386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386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386" s="42" t="str">
        <f ca="1">IFERROR(__xludf.DUMMYFUNCTION("""COMPUTED_VALUE"""),"NAS enero")</f>
        <v>NAS enero</v>
      </c>
      <c r="I386" s="42" t="str">
        <f ca="1">IFERROR(__xludf.DUMMYFUNCTION("""COMPUTED_VALUE"""),"Enero")</f>
        <v>Enero</v>
      </c>
      <c r="J386" s="42" t="str">
        <f ca="1">IFERROR(__xludf.DUMMYFUNCTION("""COMPUTED_VALUE"""),"NAS")</f>
        <v>NAS</v>
      </c>
      <c r="K386" s="98">
        <f ca="1">IFERROR(__xludf.DUMMYFUNCTION("""COMPUTED_VALUE"""),0)</f>
        <v>0</v>
      </c>
      <c r="L386" s="42" t="str">
        <f ca="1">IFERROR(__xludf.DUMMYFUNCTION("""COMPUTED_VALUE"""),"TRIMESTRE 1")</f>
        <v>TRIMESTRE 1</v>
      </c>
      <c r="M386" s="42" t="str">
        <f ca="1">IFERROR(__xludf.DUMMYFUNCTION("""COMPUTED_VALUE"""),"NIÑAS")</f>
        <v>NIÑAS</v>
      </c>
    </row>
    <row r="387" spans="1:13">
      <c r="A387" s="42" t="str">
        <f ca="1">IFERROR(__xludf.DUMMYFUNCTION("""COMPUTED_VALUE"""),"2.1.1.4")</f>
        <v>2.1.1.4</v>
      </c>
      <c r="B387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387" s="42" t="str">
        <f ca="1">IFERROR(__xludf.DUMMYFUNCTION("""COMPUTED_VALUE"""),"3. Operación")</f>
        <v>3. Operación</v>
      </c>
      <c r="D387" s="42" t="str">
        <f ca="1">IFERROR(__xludf.DUMMYFUNCTION("""COMPUTED_VALUE"""),"Guadalajara en Paz")</f>
        <v>Guadalajara en Paz</v>
      </c>
      <c r="E387" s="42" t="str">
        <f ca="1">IFERROR(__xludf.DUMMYFUNCTION("""COMPUTED_VALUE"""),"Asistencia Alimentaria y Nutrición")</f>
        <v>Asistencia Alimentaria y Nutrición</v>
      </c>
      <c r="F387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387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387" s="42" t="str">
        <f ca="1">IFERROR(__xludf.DUMMYFUNCTION("""COMPUTED_VALUE"""),"NOS enero")</f>
        <v>NOS enero</v>
      </c>
      <c r="I387" s="42" t="str">
        <f ca="1">IFERROR(__xludf.DUMMYFUNCTION("""COMPUTED_VALUE"""),"Enero")</f>
        <v>Enero</v>
      </c>
      <c r="J387" s="42" t="str">
        <f ca="1">IFERROR(__xludf.DUMMYFUNCTION("""COMPUTED_VALUE"""),"NOS")</f>
        <v>NOS</v>
      </c>
      <c r="K387" s="98">
        <f ca="1">IFERROR(__xludf.DUMMYFUNCTION("""COMPUTED_VALUE"""),0)</f>
        <v>0</v>
      </c>
      <c r="L387" s="42" t="str">
        <f ca="1">IFERROR(__xludf.DUMMYFUNCTION("""COMPUTED_VALUE"""),"TRIMESTRE 1")</f>
        <v>TRIMESTRE 1</v>
      </c>
      <c r="M387" s="42" t="str">
        <f ca="1">IFERROR(__xludf.DUMMYFUNCTION("""COMPUTED_VALUE"""),"NIÑOS")</f>
        <v>NIÑOS</v>
      </c>
    </row>
    <row r="388" spans="1:13">
      <c r="A388" s="42" t="str">
        <f ca="1">IFERROR(__xludf.DUMMYFUNCTION("""COMPUTED_VALUE"""),"2.1.1.4")</f>
        <v>2.1.1.4</v>
      </c>
      <c r="B388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388" s="42" t="str">
        <f ca="1">IFERROR(__xludf.DUMMYFUNCTION("""COMPUTED_VALUE"""),"3. Operación")</f>
        <v>3. Operación</v>
      </c>
      <c r="D388" s="42" t="str">
        <f ca="1">IFERROR(__xludf.DUMMYFUNCTION("""COMPUTED_VALUE"""),"Guadalajara en Paz")</f>
        <v>Guadalajara en Paz</v>
      </c>
      <c r="E388" s="42" t="str">
        <f ca="1">IFERROR(__xludf.DUMMYFUNCTION("""COMPUTED_VALUE"""),"Asistencia Alimentaria y Nutrición")</f>
        <v>Asistencia Alimentaria y Nutrición</v>
      </c>
      <c r="F388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388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388" s="42" t="str">
        <f ca="1">IFERROR(__xludf.DUMMYFUNCTION("""COMPUTED_VALUE"""),"AM enero")</f>
        <v>AM enero</v>
      </c>
      <c r="I388" s="42" t="str">
        <f ca="1">IFERROR(__xludf.DUMMYFUNCTION("""COMPUTED_VALUE"""),"Enero")</f>
        <v>Enero</v>
      </c>
      <c r="J388" s="42" t="str">
        <f ca="1">IFERROR(__xludf.DUMMYFUNCTION("""COMPUTED_VALUE"""),"AM")</f>
        <v>AM</v>
      </c>
      <c r="K388" s="98">
        <f ca="1">IFERROR(__xludf.DUMMYFUNCTION("""COMPUTED_VALUE"""),0)</f>
        <v>0</v>
      </c>
      <c r="L388" s="42" t="str">
        <f ca="1">IFERROR(__xludf.DUMMYFUNCTION("""COMPUTED_VALUE"""),"TRIMESTRE 1")</f>
        <v>TRIMESTRE 1</v>
      </c>
      <c r="M388" s="42" t="str">
        <f ca="1">IFERROR(__xludf.DUMMYFUNCTION("""COMPUTED_VALUE"""),"ADOLESCENTES MUJERES")</f>
        <v>ADOLESCENTES MUJERES</v>
      </c>
    </row>
    <row r="389" spans="1:13">
      <c r="A389" s="42" t="str">
        <f ca="1">IFERROR(__xludf.DUMMYFUNCTION("""COMPUTED_VALUE"""),"2.1.1.4")</f>
        <v>2.1.1.4</v>
      </c>
      <c r="B389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389" s="42" t="str">
        <f ca="1">IFERROR(__xludf.DUMMYFUNCTION("""COMPUTED_VALUE"""),"3. Operación")</f>
        <v>3. Operación</v>
      </c>
      <c r="D389" s="42" t="str">
        <f ca="1">IFERROR(__xludf.DUMMYFUNCTION("""COMPUTED_VALUE"""),"Guadalajara en Paz")</f>
        <v>Guadalajara en Paz</v>
      </c>
      <c r="E389" s="42" t="str">
        <f ca="1">IFERROR(__xludf.DUMMYFUNCTION("""COMPUTED_VALUE"""),"Asistencia Alimentaria y Nutrición")</f>
        <v>Asistencia Alimentaria y Nutrición</v>
      </c>
      <c r="F389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389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389" s="42" t="str">
        <f ca="1">IFERROR(__xludf.DUMMYFUNCTION("""COMPUTED_VALUE"""),"AH enero")</f>
        <v>AH enero</v>
      </c>
      <c r="I389" s="42" t="str">
        <f ca="1">IFERROR(__xludf.DUMMYFUNCTION("""COMPUTED_VALUE"""),"Enero")</f>
        <v>Enero</v>
      </c>
      <c r="J389" s="42" t="str">
        <f ca="1">IFERROR(__xludf.DUMMYFUNCTION("""COMPUTED_VALUE"""),"AH")</f>
        <v>AH</v>
      </c>
      <c r="K389" s="98">
        <f ca="1">IFERROR(__xludf.DUMMYFUNCTION("""COMPUTED_VALUE"""),0)</f>
        <v>0</v>
      </c>
      <c r="L389" s="42" t="str">
        <f ca="1">IFERROR(__xludf.DUMMYFUNCTION("""COMPUTED_VALUE"""),"TRIMESTRE 1")</f>
        <v>TRIMESTRE 1</v>
      </c>
      <c r="M389" s="42" t="str">
        <f ca="1">IFERROR(__xludf.DUMMYFUNCTION("""COMPUTED_VALUE"""),"ADOLESCENTES HOMBRES")</f>
        <v>ADOLESCENTES HOMBRES</v>
      </c>
    </row>
    <row r="390" spans="1:13">
      <c r="A390" s="42" t="str">
        <f ca="1">IFERROR(__xludf.DUMMYFUNCTION("""COMPUTED_VALUE"""),"2.1.1.4")</f>
        <v>2.1.1.4</v>
      </c>
      <c r="B390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390" s="42" t="str">
        <f ca="1">IFERROR(__xludf.DUMMYFUNCTION("""COMPUTED_VALUE"""),"3. Operación")</f>
        <v>3. Operación</v>
      </c>
      <c r="D390" s="42" t="str">
        <f ca="1">IFERROR(__xludf.DUMMYFUNCTION("""COMPUTED_VALUE"""),"Guadalajara en Paz")</f>
        <v>Guadalajara en Paz</v>
      </c>
      <c r="E390" s="42" t="str">
        <f ca="1">IFERROR(__xludf.DUMMYFUNCTION("""COMPUTED_VALUE"""),"Asistencia Alimentaria y Nutrición")</f>
        <v>Asistencia Alimentaria y Nutrición</v>
      </c>
      <c r="F390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390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390" s="42" t="str">
        <f ca="1">IFERROR(__xludf.DUMMYFUNCTION("""COMPUTED_VALUE"""),"MUJ enero")</f>
        <v>MUJ enero</v>
      </c>
      <c r="I390" s="42" t="str">
        <f ca="1">IFERROR(__xludf.DUMMYFUNCTION("""COMPUTED_VALUE"""),"Enero")</f>
        <v>Enero</v>
      </c>
      <c r="J390" s="42" t="str">
        <f ca="1">IFERROR(__xludf.DUMMYFUNCTION("""COMPUTED_VALUE"""),"MUJ")</f>
        <v>MUJ</v>
      </c>
      <c r="K390" s="98">
        <f ca="1">IFERROR(__xludf.DUMMYFUNCTION("""COMPUTED_VALUE"""),0)</f>
        <v>0</v>
      </c>
      <c r="L390" s="42" t="str">
        <f ca="1">IFERROR(__xludf.DUMMYFUNCTION("""COMPUTED_VALUE"""),"TRIMESTRE 1")</f>
        <v>TRIMESTRE 1</v>
      </c>
      <c r="M390" s="42" t="str">
        <f ca="1">IFERROR(__xludf.DUMMYFUNCTION("""COMPUTED_VALUE"""),"MUJERES ADULTAS")</f>
        <v>MUJERES ADULTAS</v>
      </c>
    </row>
    <row r="391" spans="1:13">
      <c r="A391" s="42" t="str">
        <f ca="1">IFERROR(__xludf.DUMMYFUNCTION("""COMPUTED_VALUE"""),"2.1.1.4")</f>
        <v>2.1.1.4</v>
      </c>
      <c r="B391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391" s="42" t="str">
        <f ca="1">IFERROR(__xludf.DUMMYFUNCTION("""COMPUTED_VALUE"""),"3. Operación")</f>
        <v>3. Operación</v>
      </c>
      <c r="D391" s="42" t="str">
        <f ca="1">IFERROR(__xludf.DUMMYFUNCTION("""COMPUTED_VALUE"""),"Guadalajara en Paz")</f>
        <v>Guadalajara en Paz</v>
      </c>
      <c r="E391" s="42" t="str">
        <f ca="1">IFERROR(__xludf.DUMMYFUNCTION("""COMPUTED_VALUE"""),"Asistencia Alimentaria y Nutrición")</f>
        <v>Asistencia Alimentaria y Nutrición</v>
      </c>
      <c r="F391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391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391" s="42" t="str">
        <f ca="1">IFERROR(__xludf.DUMMYFUNCTION("""COMPUTED_VALUE"""),"HOM enero")</f>
        <v>HOM enero</v>
      </c>
      <c r="I391" s="42" t="str">
        <f ca="1">IFERROR(__xludf.DUMMYFUNCTION("""COMPUTED_VALUE"""),"Enero")</f>
        <v>Enero</v>
      </c>
      <c r="J391" s="42" t="str">
        <f ca="1">IFERROR(__xludf.DUMMYFUNCTION("""COMPUTED_VALUE"""),"HOM")</f>
        <v>HOM</v>
      </c>
      <c r="K391" s="98">
        <f ca="1">IFERROR(__xludf.DUMMYFUNCTION("""COMPUTED_VALUE"""),0)</f>
        <v>0</v>
      </c>
      <c r="L391" s="42" t="str">
        <f ca="1">IFERROR(__xludf.DUMMYFUNCTION("""COMPUTED_VALUE"""),"TRIMESTRE 1")</f>
        <v>TRIMESTRE 1</v>
      </c>
      <c r="M391" s="42" t="str">
        <f ca="1">IFERROR(__xludf.DUMMYFUNCTION("""COMPUTED_VALUE"""),"HOMBRES ADULTOS")</f>
        <v>HOMBRES ADULTOS</v>
      </c>
    </row>
    <row r="392" spans="1:13">
      <c r="A392" s="42" t="str">
        <f ca="1">IFERROR(__xludf.DUMMYFUNCTION("""COMPUTED_VALUE"""),"2.1.1.4")</f>
        <v>2.1.1.4</v>
      </c>
      <c r="B392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392" s="42" t="str">
        <f ca="1">IFERROR(__xludf.DUMMYFUNCTION("""COMPUTED_VALUE"""),"3. Operación")</f>
        <v>3. Operación</v>
      </c>
      <c r="D392" s="42" t="str">
        <f ca="1">IFERROR(__xludf.DUMMYFUNCTION("""COMPUTED_VALUE"""),"Guadalajara en Paz")</f>
        <v>Guadalajara en Paz</v>
      </c>
      <c r="E392" s="42" t="str">
        <f ca="1">IFERROR(__xludf.DUMMYFUNCTION("""COMPUTED_VALUE"""),"Asistencia Alimentaria y Nutrición")</f>
        <v>Asistencia Alimentaria y Nutrición</v>
      </c>
      <c r="F392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392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392" s="42" t="str">
        <f ca="1">IFERROR(__xludf.DUMMYFUNCTION("""COMPUTED_VALUE"""),"AMM enero")</f>
        <v>AMM enero</v>
      </c>
      <c r="I392" s="42" t="str">
        <f ca="1">IFERROR(__xludf.DUMMYFUNCTION("""COMPUTED_VALUE"""),"Enero")</f>
        <v>Enero</v>
      </c>
      <c r="J392" s="42" t="str">
        <f ca="1">IFERROR(__xludf.DUMMYFUNCTION("""COMPUTED_VALUE"""),"AMM")</f>
        <v>AMM</v>
      </c>
      <c r="K392" s="98">
        <f ca="1">IFERROR(__xludf.DUMMYFUNCTION("""COMPUTED_VALUE"""),0)</f>
        <v>0</v>
      </c>
      <c r="L392" s="42" t="str">
        <f ca="1">IFERROR(__xludf.DUMMYFUNCTION("""COMPUTED_VALUE"""),"TRIMESTRE 1")</f>
        <v>TRIMESTRE 1</v>
      </c>
      <c r="M392" s="42" t="str">
        <f ca="1">IFERROR(__xludf.DUMMYFUNCTION("""COMPUTED_VALUE"""),"ADULTA MAYOR MUJER")</f>
        <v>ADULTA MAYOR MUJER</v>
      </c>
    </row>
    <row r="393" spans="1:13">
      <c r="A393" s="42" t="str">
        <f ca="1">IFERROR(__xludf.DUMMYFUNCTION("""COMPUTED_VALUE"""),"2.1.1.4")</f>
        <v>2.1.1.4</v>
      </c>
      <c r="B393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393" s="42" t="str">
        <f ca="1">IFERROR(__xludf.DUMMYFUNCTION("""COMPUTED_VALUE"""),"3. Operación")</f>
        <v>3. Operación</v>
      </c>
      <c r="D393" s="42" t="str">
        <f ca="1">IFERROR(__xludf.DUMMYFUNCTION("""COMPUTED_VALUE"""),"Guadalajara en Paz")</f>
        <v>Guadalajara en Paz</v>
      </c>
      <c r="E393" s="42" t="str">
        <f ca="1">IFERROR(__xludf.DUMMYFUNCTION("""COMPUTED_VALUE"""),"Asistencia Alimentaria y Nutrición")</f>
        <v>Asistencia Alimentaria y Nutrición</v>
      </c>
      <c r="F393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393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393" s="42" t="str">
        <f ca="1">IFERROR(__xludf.DUMMYFUNCTION("""COMPUTED_VALUE"""),"AMH enero")</f>
        <v>AMH enero</v>
      </c>
      <c r="I393" s="42" t="str">
        <f ca="1">IFERROR(__xludf.DUMMYFUNCTION("""COMPUTED_VALUE"""),"Enero")</f>
        <v>Enero</v>
      </c>
      <c r="J393" s="42" t="str">
        <f ca="1">IFERROR(__xludf.DUMMYFUNCTION("""COMPUTED_VALUE"""),"AMH")</f>
        <v>AMH</v>
      </c>
      <c r="K393" s="98">
        <f ca="1">IFERROR(__xludf.DUMMYFUNCTION("""COMPUTED_VALUE"""),0)</f>
        <v>0</v>
      </c>
      <c r="L393" s="42" t="str">
        <f ca="1">IFERROR(__xludf.DUMMYFUNCTION("""COMPUTED_VALUE"""),"TRIMESTRE 1")</f>
        <v>TRIMESTRE 1</v>
      </c>
      <c r="M393" s="42" t="str">
        <f ca="1">IFERROR(__xludf.DUMMYFUNCTION("""COMPUTED_VALUE"""),"ADULTO MAYOR HOMBRE")</f>
        <v>ADULTO MAYOR HOMBRE</v>
      </c>
    </row>
    <row r="394" spans="1:13">
      <c r="A394" s="42" t="str">
        <f ca="1">IFERROR(__xludf.DUMMYFUNCTION("""COMPUTED_VALUE"""),"2.1.1.5")</f>
        <v>2.1.1.5</v>
      </c>
      <c r="B394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394" s="42" t="str">
        <f ca="1">IFERROR(__xludf.DUMMYFUNCTION("""COMPUTED_VALUE"""),"3. Operación")</f>
        <v>3. Operación</v>
      </c>
      <c r="D394" s="42" t="str">
        <f ca="1">IFERROR(__xludf.DUMMYFUNCTION("""COMPUTED_VALUE"""),"Guadalajara en Paz")</f>
        <v>Guadalajara en Paz</v>
      </c>
      <c r="E394" s="42" t="str">
        <f ca="1">IFERROR(__xludf.DUMMYFUNCTION("""COMPUTED_VALUE"""),"Asistencia Alimentaria y Nutrición")</f>
        <v>Asistencia Alimentaria y Nutrición</v>
      </c>
      <c r="F394" s="42" t="str">
        <f ca="1">IFERROR(__xludf.DUMMYFUNCTION("""COMPUTED_VALUE"""),"A5C1. Apoyos del Programa de Alimentación Escolar entregados en 2023")</f>
        <v>A5C1. Apoyos del Programa de Alimentación Escolar entregados en 2023</v>
      </c>
      <c r="G394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394" s="42" t="str">
        <f ca="1">IFERROR(__xludf.DUMMYFUNCTION("""COMPUTED_VALUE"""),"NAS enero")</f>
        <v>NAS enero</v>
      </c>
      <c r="I394" s="42" t="str">
        <f ca="1">IFERROR(__xludf.DUMMYFUNCTION("""COMPUTED_VALUE"""),"Enero")</f>
        <v>Enero</v>
      </c>
      <c r="J394" s="42" t="str">
        <f ca="1">IFERROR(__xludf.DUMMYFUNCTION("""COMPUTED_VALUE"""),"NAS")</f>
        <v>NAS</v>
      </c>
      <c r="K394" s="98">
        <f ca="1">IFERROR(__xludf.DUMMYFUNCTION("""COMPUTED_VALUE"""),0)</f>
        <v>0</v>
      </c>
      <c r="L394" s="42" t="str">
        <f ca="1">IFERROR(__xludf.DUMMYFUNCTION("""COMPUTED_VALUE"""),"TRIMESTRE 1")</f>
        <v>TRIMESTRE 1</v>
      </c>
      <c r="M394" s="42" t="str">
        <f ca="1">IFERROR(__xludf.DUMMYFUNCTION("""COMPUTED_VALUE"""),"NIÑAS")</f>
        <v>NIÑAS</v>
      </c>
    </row>
    <row r="395" spans="1:13">
      <c r="A395" s="42" t="str">
        <f ca="1">IFERROR(__xludf.DUMMYFUNCTION("""COMPUTED_VALUE"""),"2.1.1.5")</f>
        <v>2.1.1.5</v>
      </c>
      <c r="B395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395" s="42" t="str">
        <f ca="1">IFERROR(__xludf.DUMMYFUNCTION("""COMPUTED_VALUE"""),"3. Operación")</f>
        <v>3. Operación</v>
      </c>
      <c r="D395" s="42" t="str">
        <f ca="1">IFERROR(__xludf.DUMMYFUNCTION("""COMPUTED_VALUE"""),"Guadalajara en Paz")</f>
        <v>Guadalajara en Paz</v>
      </c>
      <c r="E395" s="42" t="str">
        <f ca="1">IFERROR(__xludf.DUMMYFUNCTION("""COMPUTED_VALUE"""),"Asistencia Alimentaria y Nutrición")</f>
        <v>Asistencia Alimentaria y Nutrición</v>
      </c>
      <c r="F395" s="42" t="str">
        <f ca="1">IFERROR(__xludf.DUMMYFUNCTION("""COMPUTED_VALUE"""),"A5C1. Apoyos del Programa de Alimentación Escolar entregados en 2023")</f>
        <v>A5C1. Apoyos del Programa de Alimentación Escolar entregados en 2023</v>
      </c>
      <c r="G395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395" s="42" t="str">
        <f ca="1">IFERROR(__xludf.DUMMYFUNCTION("""COMPUTED_VALUE"""),"NOS enero")</f>
        <v>NOS enero</v>
      </c>
      <c r="I395" s="42" t="str">
        <f ca="1">IFERROR(__xludf.DUMMYFUNCTION("""COMPUTED_VALUE"""),"Enero")</f>
        <v>Enero</v>
      </c>
      <c r="J395" s="42" t="str">
        <f ca="1">IFERROR(__xludf.DUMMYFUNCTION("""COMPUTED_VALUE"""),"NOS")</f>
        <v>NOS</v>
      </c>
      <c r="K395" s="98">
        <f ca="1">IFERROR(__xludf.DUMMYFUNCTION("""COMPUTED_VALUE"""),0)</f>
        <v>0</v>
      </c>
      <c r="L395" s="42" t="str">
        <f ca="1">IFERROR(__xludf.DUMMYFUNCTION("""COMPUTED_VALUE"""),"TRIMESTRE 1")</f>
        <v>TRIMESTRE 1</v>
      </c>
      <c r="M395" s="42" t="str">
        <f ca="1">IFERROR(__xludf.DUMMYFUNCTION("""COMPUTED_VALUE"""),"NIÑOS")</f>
        <v>NIÑOS</v>
      </c>
    </row>
    <row r="396" spans="1:13">
      <c r="A396" s="42" t="str">
        <f ca="1">IFERROR(__xludf.DUMMYFUNCTION("""COMPUTED_VALUE"""),"2.1.1.5")</f>
        <v>2.1.1.5</v>
      </c>
      <c r="B396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396" s="42" t="str">
        <f ca="1">IFERROR(__xludf.DUMMYFUNCTION("""COMPUTED_VALUE"""),"3. Operación")</f>
        <v>3. Operación</v>
      </c>
      <c r="D396" s="42" t="str">
        <f ca="1">IFERROR(__xludf.DUMMYFUNCTION("""COMPUTED_VALUE"""),"Guadalajara en Paz")</f>
        <v>Guadalajara en Paz</v>
      </c>
      <c r="E396" s="42" t="str">
        <f ca="1">IFERROR(__xludf.DUMMYFUNCTION("""COMPUTED_VALUE"""),"Asistencia Alimentaria y Nutrición")</f>
        <v>Asistencia Alimentaria y Nutrición</v>
      </c>
      <c r="F396" s="42" t="str">
        <f ca="1">IFERROR(__xludf.DUMMYFUNCTION("""COMPUTED_VALUE"""),"A5C1. Apoyos del Programa de Alimentación Escolar entregados en 2023")</f>
        <v>A5C1. Apoyos del Programa de Alimentación Escolar entregados en 2023</v>
      </c>
      <c r="G396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396" s="42" t="str">
        <f ca="1">IFERROR(__xludf.DUMMYFUNCTION("""COMPUTED_VALUE"""),"AM enero")</f>
        <v>AM enero</v>
      </c>
      <c r="I396" s="42" t="str">
        <f ca="1">IFERROR(__xludf.DUMMYFUNCTION("""COMPUTED_VALUE"""),"Enero")</f>
        <v>Enero</v>
      </c>
      <c r="J396" s="42" t="str">
        <f ca="1">IFERROR(__xludf.DUMMYFUNCTION("""COMPUTED_VALUE"""),"AM")</f>
        <v>AM</v>
      </c>
      <c r="K396" s="98">
        <f ca="1">IFERROR(__xludf.DUMMYFUNCTION("""COMPUTED_VALUE"""),0)</f>
        <v>0</v>
      </c>
      <c r="L396" s="42" t="str">
        <f ca="1">IFERROR(__xludf.DUMMYFUNCTION("""COMPUTED_VALUE"""),"TRIMESTRE 1")</f>
        <v>TRIMESTRE 1</v>
      </c>
      <c r="M396" s="42" t="str">
        <f ca="1">IFERROR(__xludf.DUMMYFUNCTION("""COMPUTED_VALUE"""),"ADOLESCENTES MUJERES")</f>
        <v>ADOLESCENTES MUJERES</v>
      </c>
    </row>
    <row r="397" spans="1:13">
      <c r="A397" s="42" t="str">
        <f ca="1">IFERROR(__xludf.DUMMYFUNCTION("""COMPUTED_VALUE"""),"2.1.1.5")</f>
        <v>2.1.1.5</v>
      </c>
      <c r="B397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397" s="42" t="str">
        <f ca="1">IFERROR(__xludf.DUMMYFUNCTION("""COMPUTED_VALUE"""),"3. Operación")</f>
        <v>3. Operación</v>
      </c>
      <c r="D397" s="42" t="str">
        <f ca="1">IFERROR(__xludf.DUMMYFUNCTION("""COMPUTED_VALUE"""),"Guadalajara en Paz")</f>
        <v>Guadalajara en Paz</v>
      </c>
      <c r="E397" s="42" t="str">
        <f ca="1">IFERROR(__xludf.DUMMYFUNCTION("""COMPUTED_VALUE"""),"Asistencia Alimentaria y Nutrición")</f>
        <v>Asistencia Alimentaria y Nutrición</v>
      </c>
      <c r="F397" s="42" t="str">
        <f ca="1">IFERROR(__xludf.DUMMYFUNCTION("""COMPUTED_VALUE"""),"A5C1. Apoyos del Programa de Alimentación Escolar entregados en 2023")</f>
        <v>A5C1. Apoyos del Programa de Alimentación Escolar entregados en 2023</v>
      </c>
      <c r="G397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397" s="42" t="str">
        <f ca="1">IFERROR(__xludf.DUMMYFUNCTION("""COMPUTED_VALUE"""),"AH enero")</f>
        <v>AH enero</v>
      </c>
      <c r="I397" s="42" t="str">
        <f ca="1">IFERROR(__xludf.DUMMYFUNCTION("""COMPUTED_VALUE"""),"Enero")</f>
        <v>Enero</v>
      </c>
      <c r="J397" s="42" t="str">
        <f ca="1">IFERROR(__xludf.DUMMYFUNCTION("""COMPUTED_VALUE"""),"AH")</f>
        <v>AH</v>
      </c>
      <c r="K397" s="98">
        <f ca="1">IFERROR(__xludf.DUMMYFUNCTION("""COMPUTED_VALUE"""),0)</f>
        <v>0</v>
      </c>
      <c r="L397" s="42" t="str">
        <f ca="1">IFERROR(__xludf.DUMMYFUNCTION("""COMPUTED_VALUE"""),"TRIMESTRE 1")</f>
        <v>TRIMESTRE 1</v>
      </c>
      <c r="M397" s="42" t="str">
        <f ca="1">IFERROR(__xludf.DUMMYFUNCTION("""COMPUTED_VALUE"""),"ADOLESCENTES HOMBRES")</f>
        <v>ADOLESCENTES HOMBRES</v>
      </c>
    </row>
    <row r="398" spans="1:13">
      <c r="A398" s="42" t="str">
        <f ca="1">IFERROR(__xludf.DUMMYFUNCTION("""COMPUTED_VALUE"""),"2.1.1.5")</f>
        <v>2.1.1.5</v>
      </c>
      <c r="B398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398" s="42" t="str">
        <f ca="1">IFERROR(__xludf.DUMMYFUNCTION("""COMPUTED_VALUE"""),"3. Operación")</f>
        <v>3. Operación</v>
      </c>
      <c r="D398" s="42" t="str">
        <f ca="1">IFERROR(__xludf.DUMMYFUNCTION("""COMPUTED_VALUE"""),"Guadalajara en Paz")</f>
        <v>Guadalajara en Paz</v>
      </c>
      <c r="E398" s="42" t="str">
        <f ca="1">IFERROR(__xludf.DUMMYFUNCTION("""COMPUTED_VALUE"""),"Asistencia Alimentaria y Nutrición")</f>
        <v>Asistencia Alimentaria y Nutrición</v>
      </c>
      <c r="F398" s="42" t="str">
        <f ca="1">IFERROR(__xludf.DUMMYFUNCTION("""COMPUTED_VALUE"""),"A5C1. Apoyos del Programa de Alimentación Escolar entregados en 2023")</f>
        <v>A5C1. Apoyos del Programa de Alimentación Escolar entregados en 2023</v>
      </c>
      <c r="G398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398" s="42" t="str">
        <f ca="1">IFERROR(__xludf.DUMMYFUNCTION("""COMPUTED_VALUE"""),"MUJ enero")</f>
        <v>MUJ enero</v>
      </c>
      <c r="I398" s="42" t="str">
        <f ca="1">IFERROR(__xludf.DUMMYFUNCTION("""COMPUTED_VALUE"""),"Enero")</f>
        <v>Enero</v>
      </c>
      <c r="J398" s="42" t="str">
        <f ca="1">IFERROR(__xludf.DUMMYFUNCTION("""COMPUTED_VALUE"""),"MUJ")</f>
        <v>MUJ</v>
      </c>
      <c r="K398" s="98">
        <f ca="1">IFERROR(__xludf.DUMMYFUNCTION("""COMPUTED_VALUE"""),0)</f>
        <v>0</v>
      </c>
      <c r="L398" s="42" t="str">
        <f ca="1">IFERROR(__xludf.DUMMYFUNCTION("""COMPUTED_VALUE"""),"TRIMESTRE 1")</f>
        <v>TRIMESTRE 1</v>
      </c>
      <c r="M398" s="42" t="str">
        <f ca="1">IFERROR(__xludf.DUMMYFUNCTION("""COMPUTED_VALUE"""),"MUJERES ADULTAS")</f>
        <v>MUJERES ADULTAS</v>
      </c>
    </row>
    <row r="399" spans="1:13">
      <c r="A399" s="42" t="str">
        <f ca="1">IFERROR(__xludf.DUMMYFUNCTION("""COMPUTED_VALUE"""),"2.1.1.5")</f>
        <v>2.1.1.5</v>
      </c>
      <c r="B399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399" s="42" t="str">
        <f ca="1">IFERROR(__xludf.DUMMYFUNCTION("""COMPUTED_VALUE"""),"3. Operación")</f>
        <v>3. Operación</v>
      </c>
      <c r="D399" s="42" t="str">
        <f ca="1">IFERROR(__xludf.DUMMYFUNCTION("""COMPUTED_VALUE"""),"Guadalajara en Paz")</f>
        <v>Guadalajara en Paz</v>
      </c>
      <c r="E399" s="42" t="str">
        <f ca="1">IFERROR(__xludf.DUMMYFUNCTION("""COMPUTED_VALUE"""),"Asistencia Alimentaria y Nutrición")</f>
        <v>Asistencia Alimentaria y Nutrición</v>
      </c>
      <c r="F399" s="42" t="str">
        <f ca="1">IFERROR(__xludf.DUMMYFUNCTION("""COMPUTED_VALUE"""),"A5C1. Apoyos del Programa de Alimentación Escolar entregados en 2023")</f>
        <v>A5C1. Apoyos del Programa de Alimentación Escolar entregados en 2023</v>
      </c>
      <c r="G399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399" s="42" t="str">
        <f ca="1">IFERROR(__xludf.DUMMYFUNCTION("""COMPUTED_VALUE"""),"HOM enero")</f>
        <v>HOM enero</v>
      </c>
      <c r="I399" s="42" t="str">
        <f ca="1">IFERROR(__xludf.DUMMYFUNCTION("""COMPUTED_VALUE"""),"Enero")</f>
        <v>Enero</v>
      </c>
      <c r="J399" s="42" t="str">
        <f ca="1">IFERROR(__xludf.DUMMYFUNCTION("""COMPUTED_VALUE"""),"HOM")</f>
        <v>HOM</v>
      </c>
      <c r="K399" s="98">
        <f ca="1">IFERROR(__xludf.DUMMYFUNCTION("""COMPUTED_VALUE"""),0)</f>
        <v>0</v>
      </c>
      <c r="L399" s="42" t="str">
        <f ca="1">IFERROR(__xludf.DUMMYFUNCTION("""COMPUTED_VALUE"""),"TRIMESTRE 1")</f>
        <v>TRIMESTRE 1</v>
      </c>
      <c r="M399" s="42" t="str">
        <f ca="1">IFERROR(__xludf.DUMMYFUNCTION("""COMPUTED_VALUE"""),"HOMBRES ADULTOS")</f>
        <v>HOMBRES ADULTOS</v>
      </c>
    </row>
    <row r="400" spans="1:13">
      <c r="A400" s="42" t="str">
        <f ca="1">IFERROR(__xludf.DUMMYFUNCTION("""COMPUTED_VALUE"""),"2.1.1.5")</f>
        <v>2.1.1.5</v>
      </c>
      <c r="B400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00" s="42" t="str">
        <f ca="1">IFERROR(__xludf.DUMMYFUNCTION("""COMPUTED_VALUE"""),"3. Operación")</f>
        <v>3. Operación</v>
      </c>
      <c r="D400" s="42" t="str">
        <f ca="1">IFERROR(__xludf.DUMMYFUNCTION("""COMPUTED_VALUE"""),"Guadalajara en Paz")</f>
        <v>Guadalajara en Paz</v>
      </c>
      <c r="E400" s="42" t="str">
        <f ca="1">IFERROR(__xludf.DUMMYFUNCTION("""COMPUTED_VALUE"""),"Asistencia Alimentaria y Nutrición")</f>
        <v>Asistencia Alimentaria y Nutrición</v>
      </c>
      <c r="F400" s="42" t="str">
        <f ca="1">IFERROR(__xludf.DUMMYFUNCTION("""COMPUTED_VALUE"""),"A5C1. Apoyos del Programa de Alimentación Escolar entregados en 2023")</f>
        <v>A5C1. Apoyos del Programa de Alimentación Escolar entregados en 2023</v>
      </c>
      <c r="G400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400" s="42" t="str">
        <f ca="1">IFERROR(__xludf.DUMMYFUNCTION("""COMPUTED_VALUE"""),"AMM enero")</f>
        <v>AMM enero</v>
      </c>
      <c r="I400" s="42" t="str">
        <f ca="1">IFERROR(__xludf.DUMMYFUNCTION("""COMPUTED_VALUE"""),"Enero")</f>
        <v>Enero</v>
      </c>
      <c r="J400" s="42" t="str">
        <f ca="1">IFERROR(__xludf.DUMMYFUNCTION("""COMPUTED_VALUE"""),"AMM")</f>
        <v>AMM</v>
      </c>
      <c r="K400" s="98">
        <f ca="1">IFERROR(__xludf.DUMMYFUNCTION("""COMPUTED_VALUE"""),0)</f>
        <v>0</v>
      </c>
      <c r="L400" s="42" t="str">
        <f ca="1">IFERROR(__xludf.DUMMYFUNCTION("""COMPUTED_VALUE"""),"TRIMESTRE 1")</f>
        <v>TRIMESTRE 1</v>
      </c>
      <c r="M400" s="42" t="str">
        <f ca="1">IFERROR(__xludf.DUMMYFUNCTION("""COMPUTED_VALUE"""),"ADULTA MAYOR MUJER")</f>
        <v>ADULTA MAYOR MUJER</v>
      </c>
    </row>
    <row r="401" spans="1:13">
      <c r="A401" s="42" t="str">
        <f ca="1">IFERROR(__xludf.DUMMYFUNCTION("""COMPUTED_VALUE"""),"2.1.1.5")</f>
        <v>2.1.1.5</v>
      </c>
      <c r="B401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01" s="42" t="str">
        <f ca="1">IFERROR(__xludf.DUMMYFUNCTION("""COMPUTED_VALUE"""),"3. Operación")</f>
        <v>3. Operación</v>
      </c>
      <c r="D401" s="42" t="str">
        <f ca="1">IFERROR(__xludf.DUMMYFUNCTION("""COMPUTED_VALUE"""),"Guadalajara en Paz")</f>
        <v>Guadalajara en Paz</v>
      </c>
      <c r="E401" s="42" t="str">
        <f ca="1">IFERROR(__xludf.DUMMYFUNCTION("""COMPUTED_VALUE"""),"Asistencia Alimentaria y Nutrición")</f>
        <v>Asistencia Alimentaria y Nutrición</v>
      </c>
      <c r="F401" s="42" t="str">
        <f ca="1">IFERROR(__xludf.DUMMYFUNCTION("""COMPUTED_VALUE"""),"A5C1. Apoyos del Programa de Alimentación Escolar entregados en 2023")</f>
        <v>A5C1. Apoyos del Programa de Alimentación Escolar entregados en 2023</v>
      </c>
      <c r="G401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401" s="42" t="str">
        <f ca="1">IFERROR(__xludf.DUMMYFUNCTION("""COMPUTED_VALUE"""),"AMH enero")</f>
        <v>AMH enero</v>
      </c>
      <c r="I401" s="42" t="str">
        <f ca="1">IFERROR(__xludf.DUMMYFUNCTION("""COMPUTED_VALUE"""),"Enero")</f>
        <v>Enero</v>
      </c>
      <c r="J401" s="42" t="str">
        <f ca="1">IFERROR(__xludf.DUMMYFUNCTION("""COMPUTED_VALUE"""),"AMH")</f>
        <v>AMH</v>
      </c>
      <c r="K401" s="98">
        <f ca="1">IFERROR(__xludf.DUMMYFUNCTION("""COMPUTED_VALUE"""),0)</f>
        <v>0</v>
      </c>
      <c r="L401" s="42" t="str">
        <f ca="1">IFERROR(__xludf.DUMMYFUNCTION("""COMPUTED_VALUE"""),"TRIMESTRE 1")</f>
        <v>TRIMESTRE 1</v>
      </c>
      <c r="M401" s="42" t="str">
        <f ca="1">IFERROR(__xludf.DUMMYFUNCTION("""COMPUTED_VALUE"""),"ADULTO MAYOR HOMBRE")</f>
        <v>ADULTO MAYOR HOMBRE</v>
      </c>
    </row>
    <row r="402" spans="1:13">
      <c r="A402" s="42" t="str">
        <f ca="1">IFERROR(__xludf.DUMMYFUNCTION("""COMPUTED_VALUE"""),"2.1.1.6")</f>
        <v>2.1.1.6</v>
      </c>
      <c r="B402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02" s="42" t="str">
        <f ca="1">IFERROR(__xludf.DUMMYFUNCTION("""COMPUTED_VALUE"""),"3. Operación")</f>
        <v>3. Operación</v>
      </c>
      <c r="D402" s="42" t="str">
        <f ca="1">IFERROR(__xludf.DUMMYFUNCTION("""COMPUTED_VALUE"""),"Guadalajara en Paz")</f>
        <v>Guadalajara en Paz</v>
      </c>
      <c r="E402" s="42" t="str">
        <f ca="1">IFERROR(__xludf.DUMMYFUNCTION("""COMPUTED_VALUE"""),"Asistencia Alimentaria y Nutrición")</f>
        <v>Asistencia Alimentaria y Nutrición</v>
      </c>
      <c r="F402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402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402" s="42" t="str">
        <f ca="1">IFERROR(__xludf.DUMMYFUNCTION("""COMPUTED_VALUE"""),"NAS enero")</f>
        <v>NAS enero</v>
      </c>
      <c r="I402" s="42" t="str">
        <f ca="1">IFERROR(__xludf.DUMMYFUNCTION("""COMPUTED_VALUE"""),"Enero")</f>
        <v>Enero</v>
      </c>
      <c r="J402" s="42" t="str">
        <f ca="1">IFERROR(__xludf.DUMMYFUNCTION("""COMPUTED_VALUE"""),"NAS")</f>
        <v>NAS</v>
      </c>
      <c r="K402" s="98">
        <f ca="1">IFERROR(__xludf.DUMMYFUNCTION("""COMPUTED_VALUE"""),0)</f>
        <v>0</v>
      </c>
      <c r="L402" s="42" t="str">
        <f ca="1">IFERROR(__xludf.DUMMYFUNCTION("""COMPUTED_VALUE"""),"TRIMESTRE 1")</f>
        <v>TRIMESTRE 1</v>
      </c>
      <c r="M402" s="42" t="str">
        <f ca="1">IFERROR(__xludf.DUMMYFUNCTION("""COMPUTED_VALUE"""),"NIÑAS")</f>
        <v>NIÑAS</v>
      </c>
    </row>
    <row r="403" spans="1:13">
      <c r="A403" s="42" t="str">
        <f ca="1">IFERROR(__xludf.DUMMYFUNCTION("""COMPUTED_VALUE"""),"2.1.1.6")</f>
        <v>2.1.1.6</v>
      </c>
      <c r="B403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03" s="42" t="str">
        <f ca="1">IFERROR(__xludf.DUMMYFUNCTION("""COMPUTED_VALUE"""),"3. Operación")</f>
        <v>3. Operación</v>
      </c>
      <c r="D403" s="42" t="str">
        <f ca="1">IFERROR(__xludf.DUMMYFUNCTION("""COMPUTED_VALUE"""),"Guadalajara en Paz")</f>
        <v>Guadalajara en Paz</v>
      </c>
      <c r="E403" s="42" t="str">
        <f ca="1">IFERROR(__xludf.DUMMYFUNCTION("""COMPUTED_VALUE"""),"Asistencia Alimentaria y Nutrición")</f>
        <v>Asistencia Alimentaria y Nutrición</v>
      </c>
      <c r="F403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403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403" s="42" t="str">
        <f ca="1">IFERROR(__xludf.DUMMYFUNCTION("""COMPUTED_VALUE"""),"NOS enero")</f>
        <v>NOS enero</v>
      </c>
      <c r="I403" s="42" t="str">
        <f ca="1">IFERROR(__xludf.DUMMYFUNCTION("""COMPUTED_VALUE"""),"Enero")</f>
        <v>Enero</v>
      </c>
      <c r="J403" s="42" t="str">
        <f ca="1">IFERROR(__xludf.DUMMYFUNCTION("""COMPUTED_VALUE"""),"NOS")</f>
        <v>NOS</v>
      </c>
      <c r="K403" s="98">
        <f ca="1">IFERROR(__xludf.DUMMYFUNCTION("""COMPUTED_VALUE"""),0)</f>
        <v>0</v>
      </c>
      <c r="L403" s="42" t="str">
        <f ca="1">IFERROR(__xludf.DUMMYFUNCTION("""COMPUTED_VALUE"""),"TRIMESTRE 1")</f>
        <v>TRIMESTRE 1</v>
      </c>
      <c r="M403" s="42" t="str">
        <f ca="1">IFERROR(__xludf.DUMMYFUNCTION("""COMPUTED_VALUE"""),"NIÑOS")</f>
        <v>NIÑOS</v>
      </c>
    </row>
    <row r="404" spans="1:13">
      <c r="A404" s="42" t="str">
        <f ca="1">IFERROR(__xludf.DUMMYFUNCTION("""COMPUTED_VALUE"""),"2.1.1.6")</f>
        <v>2.1.1.6</v>
      </c>
      <c r="B404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04" s="42" t="str">
        <f ca="1">IFERROR(__xludf.DUMMYFUNCTION("""COMPUTED_VALUE"""),"3. Operación")</f>
        <v>3. Operación</v>
      </c>
      <c r="D404" s="42" t="str">
        <f ca="1">IFERROR(__xludf.DUMMYFUNCTION("""COMPUTED_VALUE"""),"Guadalajara en Paz")</f>
        <v>Guadalajara en Paz</v>
      </c>
      <c r="E404" s="42" t="str">
        <f ca="1">IFERROR(__xludf.DUMMYFUNCTION("""COMPUTED_VALUE"""),"Asistencia Alimentaria y Nutrición")</f>
        <v>Asistencia Alimentaria y Nutrición</v>
      </c>
      <c r="F404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404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404" s="42" t="str">
        <f ca="1">IFERROR(__xludf.DUMMYFUNCTION("""COMPUTED_VALUE"""),"AM enero")</f>
        <v>AM enero</v>
      </c>
      <c r="I404" s="42" t="str">
        <f ca="1">IFERROR(__xludf.DUMMYFUNCTION("""COMPUTED_VALUE"""),"Enero")</f>
        <v>Enero</v>
      </c>
      <c r="J404" s="42" t="str">
        <f ca="1">IFERROR(__xludf.DUMMYFUNCTION("""COMPUTED_VALUE"""),"AM")</f>
        <v>AM</v>
      </c>
      <c r="K404" s="98">
        <f ca="1">IFERROR(__xludf.DUMMYFUNCTION("""COMPUTED_VALUE"""),0)</f>
        <v>0</v>
      </c>
      <c r="L404" s="42" t="str">
        <f ca="1">IFERROR(__xludf.DUMMYFUNCTION("""COMPUTED_VALUE"""),"TRIMESTRE 1")</f>
        <v>TRIMESTRE 1</v>
      </c>
      <c r="M404" s="42" t="str">
        <f ca="1">IFERROR(__xludf.DUMMYFUNCTION("""COMPUTED_VALUE"""),"ADOLESCENTES MUJERES")</f>
        <v>ADOLESCENTES MUJERES</v>
      </c>
    </row>
    <row r="405" spans="1:13">
      <c r="A405" s="42" t="str">
        <f ca="1">IFERROR(__xludf.DUMMYFUNCTION("""COMPUTED_VALUE"""),"2.1.1.6")</f>
        <v>2.1.1.6</v>
      </c>
      <c r="B405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05" s="42" t="str">
        <f ca="1">IFERROR(__xludf.DUMMYFUNCTION("""COMPUTED_VALUE"""),"3. Operación")</f>
        <v>3. Operación</v>
      </c>
      <c r="D405" s="42" t="str">
        <f ca="1">IFERROR(__xludf.DUMMYFUNCTION("""COMPUTED_VALUE"""),"Guadalajara en Paz")</f>
        <v>Guadalajara en Paz</v>
      </c>
      <c r="E405" s="42" t="str">
        <f ca="1">IFERROR(__xludf.DUMMYFUNCTION("""COMPUTED_VALUE"""),"Asistencia Alimentaria y Nutrición")</f>
        <v>Asistencia Alimentaria y Nutrición</v>
      </c>
      <c r="F405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405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405" s="42" t="str">
        <f ca="1">IFERROR(__xludf.DUMMYFUNCTION("""COMPUTED_VALUE"""),"AH enero")</f>
        <v>AH enero</v>
      </c>
      <c r="I405" s="42" t="str">
        <f ca="1">IFERROR(__xludf.DUMMYFUNCTION("""COMPUTED_VALUE"""),"Enero")</f>
        <v>Enero</v>
      </c>
      <c r="J405" s="42" t="str">
        <f ca="1">IFERROR(__xludf.DUMMYFUNCTION("""COMPUTED_VALUE"""),"AH")</f>
        <v>AH</v>
      </c>
      <c r="K405" s="98">
        <f ca="1">IFERROR(__xludf.DUMMYFUNCTION("""COMPUTED_VALUE"""),0)</f>
        <v>0</v>
      </c>
      <c r="L405" s="42" t="str">
        <f ca="1">IFERROR(__xludf.DUMMYFUNCTION("""COMPUTED_VALUE"""),"TRIMESTRE 1")</f>
        <v>TRIMESTRE 1</v>
      </c>
      <c r="M405" s="42" t="str">
        <f ca="1">IFERROR(__xludf.DUMMYFUNCTION("""COMPUTED_VALUE"""),"ADOLESCENTES HOMBRES")</f>
        <v>ADOLESCENTES HOMBRES</v>
      </c>
    </row>
    <row r="406" spans="1:13">
      <c r="A406" s="42" t="str">
        <f ca="1">IFERROR(__xludf.DUMMYFUNCTION("""COMPUTED_VALUE"""),"2.1.1.6")</f>
        <v>2.1.1.6</v>
      </c>
      <c r="B406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06" s="42" t="str">
        <f ca="1">IFERROR(__xludf.DUMMYFUNCTION("""COMPUTED_VALUE"""),"3. Operación")</f>
        <v>3. Operación</v>
      </c>
      <c r="D406" s="42" t="str">
        <f ca="1">IFERROR(__xludf.DUMMYFUNCTION("""COMPUTED_VALUE"""),"Guadalajara en Paz")</f>
        <v>Guadalajara en Paz</v>
      </c>
      <c r="E406" s="42" t="str">
        <f ca="1">IFERROR(__xludf.DUMMYFUNCTION("""COMPUTED_VALUE"""),"Asistencia Alimentaria y Nutrición")</f>
        <v>Asistencia Alimentaria y Nutrición</v>
      </c>
      <c r="F406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406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406" s="42" t="str">
        <f ca="1">IFERROR(__xludf.DUMMYFUNCTION("""COMPUTED_VALUE"""),"MUJ enero")</f>
        <v>MUJ enero</v>
      </c>
      <c r="I406" s="42" t="str">
        <f ca="1">IFERROR(__xludf.DUMMYFUNCTION("""COMPUTED_VALUE"""),"Enero")</f>
        <v>Enero</v>
      </c>
      <c r="J406" s="42" t="str">
        <f ca="1">IFERROR(__xludf.DUMMYFUNCTION("""COMPUTED_VALUE"""),"MUJ")</f>
        <v>MUJ</v>
      </c>
      <c r="K406" s="98">
        <f ca="1">IFERROR(__xludf.DUMMYFUNCTION("""COMPUTED_VALUE"""),0)</f>
        <v>0</v>
      </c>
      <c r="L406" s="42" t="str">
        <f ca="1">IFERROR(__xludf.DUMMYFUNCTION("""COMPUTED_VALUE"""),"TRIMESTRE 1")</f>
        <v>TRIMESTRE 1</v>
      </c>
      <c r="M406" s="42" t="str">
        <f ca="1">IFERROR(__xludf.DUMMYFUNCTION("""COMPUTED_VALUE"""),"MUJERES ADULTAS")</f>
        <v>MUJERES ADULTAS</v>
      </c>
    </row>
    <row r="407" spans="1:13">
      <c r="A407" s="42" t="str">
        <f ca="1">IFERROR(__xludf.DUMMYFUNCTION("""COMPUTED_VALUE"""),"2.1.1.6")</f>
        <v>2.1.1.6</v>
      </c>
      <c r="B407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07" s="42" t="str">
        <f ca="1">IFERROR(__xludf.DUMMYFUNCTION("""COMPUTED_VALUE"""),"3. Operación")</f>
        <v>3. Operación</v>
      </c>
      <c r="D407" s="42" t="str">
        <f ca="1">IFERROR(__xludf.DUMMYFUNCTION("""COMPUTED_VALUE"""),"Guadalajara en Paz")</f>
        <v>Guadalajara en Paz</v>
      </c>
      <c r="E407" s="42" t="str">
        <f ca="1">IFERROR(__xludf.DUMMYFUNCTION("""COMPUTED_VALUE"""),"Asistencia Alimentaria y Nutrición")</f>
        <v>Asistencia Alimentaria y Nutrición</v>
      </c>
      <c r="F407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407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407" s="42" t="str">
        <f ca="1">IFERROR(__xludf.DUMMYFUNCTION("""COMPUTED_VALUE"""),"HOM enero")</f>
        <v>HOM enero</v>
      </c>
      <c r="I407" s="42" t="str">
        <f ca="1">IFERROR(__xludf.DUMMYFUNCTION("""COMPUTED_VALUE"""),"Enero")</f>
        <v>Enero</v>
      </c>
      <c r="J407" s="42" t="str">
        <f ca="1">IFERROR(__xludf.DUMMYFUNCTION("""COMPUTED_VALUE"""),"HOM")</f>
        <v>HOM</v>
      </c>
      <c r="K407" s="98">
        <f ca="1">IFERROR(__xludf.DUMMYFUNCTION("""COMPUTED_VALUE"""),0)</f>
        <v>0</v>
      </c>
      <c r="L407" s="42" t="str">
        <f ca="1">IFERROR(__xludf.DUMMYFUNCTION("""COMPUTED_VALUE"""),"TRIMESTRE 1")</f>
        <v>TRIMESTRE 1</v>
      </c>
      <c r="M407" s="42" t="str">
        <f ca="1">IFERROR(__xludf.DUMMYFUNCTION("""COMPUTED_VALUE"""),"HOMBRES ADULTOS")</f>
        <v>HOMBRES ADULTOS</v>
      </c>
    </row>
    <row r="408" spans="1:13">
      <c r="A408" s="42" t="str">
        <f ca="1">IFERROR(__xludf.DUMMYFUNCTION("""COMPUTED_VALUE"""),"2.1.1.6")</f>
        <v>2.1.1.6</v>
      </c>
      <c r="B408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08" s="42" t="str">
        <f ca="1">IFERROR(__xludf.DUMMYFUNCTION("""COMPUTED_VALUE"""),"3. Operación")</f>
        <v>3. Operación</v>
      </c>
      <c r="D408" s="42" t="str">
        <f ca="1">IFERROR(__xludf.DUMMYFUNCTION("""COMPUTED_VALUE"""),"Guadalajara en Paz")</f>
        <v>Guadalajara en Paz</v>
      </c>
      <c r="E408" s="42" t="str">
        <f ca="1">IFERROR(__xludf.DUMMYFUNCTION("""COMPUTED_VALUE"""),"Asistencia Alimentaria y Nutrición")</f>
        <v>Asistencia Alimentaria y Nutrición</v>
      </c>
      <c r="F408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408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408" s="42" t="str">
        <f ca="1">IFERROR(__xludf.DUMMYFUNCTION("""COMPUTED_VALUE"""),"AMM enero")</f>
        <v>AMM enero</v>
      </c>
      <c r="I408" s="42" t="str">
        <f ca="1">IFERROR(__xludf.DUMMYFUNCTION("""COMPUTED_VALUE"""),"Enero")</f>
        <v>Enero</v>
      </c>
      <c r="J408" s="42" t="str">
        <f ca="1">IFERROR(__xludf.DUMMYFUNCTION("""COMPUTED_VALUE"""),"AMM")</f>
        <v>AMM</v>
      </c>
      <c r="K408" s="98">
        <f ca="1">IFERROR(__xludf.DUMMYFUNCTION("""COMPUTED_VALUE"""),0)</f>
        <v>0</v>
      </c>
      <c r="L408" s="42" t="str">
        <f ca="1">IFERROR(__xludf.DUMMYFUNCTION("""COMPUTED_VALUE"""),"TRIMESTRE 1")</f>
        <v>TRIMESTRE 1</v>
      </c>
      <c r="M408" s="42" t="str">
        <f ca="1">IFERROR(__xludf.DUMMYFUNCTION("""COMPUTED_VALUE"""),"ADULTA MAYOR MUJER")</f>
        <v>ADULTA MAYOR MUJER</v>
      </c>
    </row>
    <row r="409" spans="1:13">
      <c r="A409" s="42" t="str">
        <f ca="1">IFERROR(__xludf.DUMMYFUNCTION("""COMPUTED_VALUE"""),"2.1.1.6")</f>
        <v>2.1.1.6</v>
      </c>
      <c r="B409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09" s="42" t="str">
        <f ca="1">IFERROR(__xludf.DUMMYFUNCTION("""COMPUTED_VALUE"""),"3. Operación")</f>
        <v>3. Operación</v>
      </c>
      <c r="D409" s="42" t="str">
        <f ca="1">IFERROR(__xludf.DUMMYFUNCTION("""COMPUTED_VALUE"""),"Guadalajara en Paz")</f>
        <v>Guadalajara en Paz</v>
      </c>
      <c r="E409" s="42" t="str">
        <f ca="1">IFERROR(__xludf.DUMMYFUNCTION("""COMPUTED_VALUE"""),"Asistencia Alimentaria y Nutrición")</f>
        <v>Asistencia Alimentaria y Nutrición</v>
      </c>
      <c r="F409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409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409" s="42" t="str">
        <f ca="1">IFERROR(__xludf.DUMMYFUNCTION("""COMPUTED_VALUE"""),"AMH enero")</f>
        <v>AMH enero</v>
      </c>
      <c r="I409" s="42" t="str">
        <f ca="1">IFERROR(__xludf.DUMMYFUNCTION("""COMPUTED_VALUE"""),"Enero")</f>
        <v>Enero</v>
      </c>
      <c r="J409" s="42" t="str">
        <f ca="1">IFERROR(__xludf.DUMMYFUNCTION("""COMPUTED_VALUE"""),"AMH")</f>
        <v>AMH</v>
      </c>
      <c r="K409" s="98">
        <f ca="1">IFERROR(__xludf.DUMMYFUNCTION("""COMPUTED_VALUE"""),0)</f>
        <v>0</v>
      </c>
      <c r="L409" s="42" t="str">
        <f ca="1">IFERROR(__xludf.DUMMYFUNCTION("""COMPUTED_VALUE"""),"TRIMESTRE 1")</f>
        <v>TRIMESTRE 1</v>
      </c>
      <c r="M409" s="42" t="str">
        <f ca="1">IFERROR(__xludf.DUMMYFUNCTION("""COMPUTED_VALUE"""),"ADULTO MAYOR HOMBRE")</f>
        <v>ADULTO MAYOR HOMBRE</v>
      </c>
    </row>
    <row r="410" spans="1:13">
      <c r="A410" s="42" t="str">
        <f ca="1">IFERROR(__xludf.DUMMYFUNCTION("""COMPUTED_VALUE"""),"2.1.1.7")</f>
        <v>2.1.1.7</v>
      </c>
      <c r="B410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10" s="42" t="str">
        <f ca="1">IFERROR(__xludf.DUMMYFUNCTION("""COMPUTED_VALUE"""),"3. Operación")</f>
        <v>3. Operación</v>
      </c>
      <c r="D410" s="42" t="str">
        <f ca="1">IFERROR(__xludf.DUMMYFUNCTION("""COMPUTED_VALUE"""),"Guadalajara en Paz")</f>
        <v>Guadalajara en Paz</v>
      </c>
      <c r="E410" s="42" t="str">
        <f ca="1">IFERROR(__xludf.DUMMYFUNCTION("""COMPUTED_VALUE"""),"Asistencia Alimentaria y Nutrición")</f>
        <v>Asistencia Alimentaria y Nutrición</v>
      </c>
      <c r="F410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410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410" s="42" t="str">
        <f ca="1">IFERROR(__xludf.DUMMYFUNCTION("""COMPUTED_VALUE"""),"NAS enero")</f>
        <v>NAS enero</v>
      </c>
      <c r="I410" s="42" t="str">
        <f ca="1">IFERROR(__xludf.DUMMYFUNCTION("""COMPUTED_VALUE"""),"Enero")</f>
        <v>Enero</v>
      </c>
      <c r="J410" s="42" t="str">
        <f ca="1">IFERROR(__xludf.DUMMYFUNCTION("""COMPUTED_VALUE"""),"NAS")</f>
        <v>NAS</v>
      </c>
      <c r="K410" s="98">
        <f ca="1">IFERROR(__xludf.DUMMYFUNCTION("""COMPUTED_VALUE"""),0)</f>
        <v>0</v>
      </c>
      <c r="L410" s="42" t="str">
        <f ca="1">IFERROR(__xludf.DUMMYFUNCTION("""COMPUTED_VALUE"""),"TRIMESTRE 1")</f>
        <v>TRIMESTRE 1</v>
      </c>
      <c r="M410" s="42" t="str">
        <f ca="1">IFERROR(__xludf.DUMMYFUNCTION("""COMPUTED_VALUE"""),"NIÑAS")</f>
        <v>NIÑAS</v>
      </c>
    </row>
    <row r="411" spans="1:13">
      <c r="A411" s="42" t="str">
        <f ca="1">IFERROR(__xludf.DUMMYFUNCTION("""COMPUTED_VALUE"""),"2.1.1.7")</f>
        <v>2.1.1.7</v>
      </c>
      <c r="B411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11" s="42" t="str">
        <f ca="1">IFERROR(__xludf.DUMMYFUNCTION("""COMPUTED_VALUE"""),"3. Operación")</f>
        <v>3. Operación</v>
      </c>
      <c r="D411" s="42" t="str">
        <f ca="1">IFERROR(__xludf.DUMMYFUNCTION("""COMPUTED_VALUE"""),"Guadalajara en Paz")</f>
        <v>Guadalajara en Paz</v>
      </c>
      <c r="E411" s="42" t="str">
        <f ca="1">IFERROR(__xludf.DUMMYFUNCTION("""COMPUTED_VALUE"""),"Asistencia Alimentaria y Nutrición")</f>
        <v>Asistencia Alimentaria y Nutrición</v>
      </c>
      <c r="F411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411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411" s="42" t="str">
        <f ca="1">IFERROR(__xludf.DUMMYFUNCTION("""COMPUTED_VALUE"""),"NOS enero")</f>
        <v>NOS enero</v>
      </c>
      <c r="I411" s="42" t="str">
        <f ca="1">IFERROR(__xludf.DUMMYFUNCTION("""COMPUTED_VALUE"""),"Enero")</f>
        <v>Enero</v>
      </c>
      <c r="J411" s="42" t="str">
        <f ca="1">IFERROR(__xludf.DUMMYFUNCTION("""COMPUTED_VALUE"""),"NOS")</f>
        <v>NOS</v>
      </c>
      <c r="K411" s="98">
        <f ca="1">IFERROR(__xludf.DUMMYFUNCTION("""COMPUTED_VALUE"""),0)</f>
        <v>0</v>
      </c>
      <c r="L411" s="42" t="str">
        <f ca="1">IFERROR(__xludf.DUMMYFUNCTION("""COMPUTED_VALUE"""),"TRIMESTRE 1")</f>
        <v>TRIMESTRE 1</v>
      </c>
      <c r="M411" s="42" t="str">
        <f ca="1">IFERROR(__xludf.DUMMYFUNCTION("""COMPUTED_VALUE"""),"NIÑOS")</f>
        <v>NIÑOS</v>
      </c>
    </row>
    <row r="412" spans="1:13">
      <c r="A412" s="42" t="str">
        <f ca="1">IFERROR(__xludf.DUMMYFUNCTION("""COMPUTED_VALUE"""),"2.1.1.7")</f>
        <v>2.1.1.7</v>
      </c>
      <c r="B412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12" s="42" t="str">
        <f ca="1">IFERROR(__xludf.DUMMYFUNCTION("""COMPUTED_VALUE"""),"3. Operación")</f>
        <v>3. Operación</v>
      </c>
      <c r="D412" s="42" t="str">
        <f ca="1">IFERROR(__xludf.DUMMYFUNCTION("""COMPUTED_VALUE"""),"Guadalajara en Paz")</f>
        <v>Guadalajara en Paz</v>
      </c>
      <c r="E412" s="42" t="str">
        <f ca="1">IFERROR(__xludf.DUMMYFUNCTION("""COMPUTED_VALUE"""),"Asistencia Alimentaria y Nutrición")</f>
        <v>Asistencia Alimentaria y Nutrición</v>
      </c>
      <c r="F412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412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412" s="42" t="str">
        <f ca="1">IFERROR(__xludf.DUMMYFUNCTION("""COMPUTED_VALUE"""),"AM enero")</f>
        <v>AM enero</v>
      </c>
      <c r="I412" s="42" t="str">
        <f ca="1">IFERROR(__xludf.DUMMYFUNCTION("""COMPUTED_VALUE"""),"Enero")</f>
        <v>Enero</v>
      </c>
      <c r="J412" s="42" t="str">
        <f ca="1">IFERROR(__xludf.DUMMYFUNCTION("""COMPUTED_VALUE"""),"AM")</f>
        <v>AM</v>
      </c>
      <c r="K412" s="98">
        <f ca="1">IFERROR(__xludf.DUMMYFUNCTION("""COMPUTED_VALUE"""),0)</f>
        <v>0</v>
      </c>
      <c r="L412" s="42" t="str">
        <f ca="1">IFERROR(__xludf.DUMMYFUNCTION("""COMPUTED_VALUE"""),"TRIMESTRE 1")</f>
        <v>TRIMESTRE 1</v>
      </c>
      <c r="M412" s="42" t="str">
        <f ca="1">IFERROR(__xludf.DUMMYFUNCTION("""COMPUTED_VALUE"""),"ADOLESCENTES MUJERES")</f>
        <v>ADOLESCENTES MUJERES</v>
      </c>
    </row>
    <row r="413" spans="1:13">
      <c r="A413" s="42" t="str">
        <f ca="1">IFERROR(__xludf.DUMMYFUNCTION("""COMPUTED_VALUE"""),"2.1.1.7")</f>
        <v>2.1.1.7</v>
      </c>
      <c r="B413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13" s="42" t="str">
        <f ca="1">IFERROR(__xludf.DUMMYFUNCTION("""COMPUTED_VALUE"""),"3. Operación")</f>
        <v>3. Operación</v>
      </c>
      <c r="D413" s="42" t="str">
        <f ca="1">IFERROR(__xludf.DUMMYFUNCTION("""COMPUTED_VALUE"""),"Guadalajara en Paz")</f>
        <v>Guadalajara en Paz</v>
      </c>
      <c r="E413" s="42" t="str">
        <f ca="1">IFERROR(__xludf.DUMMYFUNCTION("""COMPUTED_VALUE"""),"Asistencia Alimentaria y Nutrición")</f>
        <v>Asistencia Alimentaria y Nutrición</v>
      </c>
      <c r="F413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413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413" s="42" t="str">
        <f ca="1">IFERROR(__xludf.DUMMYFUNCTION("""COMPUTED_VALUE"""),"AH enero")</f>
        <v>AH enero</v>
      </c>
      <c r="I413" s="42" t="str">
        <f ca="1">IFERROR(__xludf.DUMMYFUNCTION("""COMPUTED_VALUE"""),"Enero")</f>
        <v>Enero</v>
      </c>
      <c r="J413" s="42" t="str">
        <f ca="1">IFERROR(__xludf.DUMMYFUNCTION("""COMPUTED_VALUE"""),"AH")</f>
        <v>AH</v>
      </c>
      <c r="K413" s="98">
        <f ca="1">IFERROR(__xludf.DUMMYFUNCTION("""COMPUTED_VALUE"""),0)</f>
        <v>0</v>
      </c>
      <c r="L413" s="42" t="str">
        <f ca="1">IFERROR(__xludf.DUMMYFUNCTION("""COMPUTED_VALUE"""),"TRIMESTRE 1")</f>
        <v>TRIMESTRE 1</v>
      </c>
      <c r="M413" s="42" t="str">
        <f ca="1">IFERROR(__xludf.DUMMYFUNCTION("""COMPUTED_VALUE"""),"ADOLESCENTES HOMBRES")</f>
        <v>ADOLESCENTES HOMBRES</v>
      </c>
    </row>
    <row r="414" spans="1:13">
      <c r="A414" s="42" t="str">
        <f ca="1">IFERROR(__xludf.DUMMYFUNCTION("""COMPUTED_VALUE"""),"2.1.1.7")</f>
        <v>2.1.1.7</v>
      </c>
      <c r="B414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14" s="42" t="str">
        <f ca="1">IFERROR(__xludf.DUMMYFUNCTION("""COMPUTED_VALUE"""),"3. Operación")</f>
        <v>3. Operación</v>
      </c>
      <c r="D414" s="42" t="str">
        <f ca="1">IFERROR(__xludf.DUMMYFUNCTION("""COMPUTED_VALUE"""),"Guadalajara en Paz")</f>
        <v>Guadalajara en Paz</v>
      </c>
      <c r="E414" s="42" t="str">
        <f ca="1">IFERROR(__xludf.DUMMYFUNCTION("""COMPUTED_VALUE"""),"Asistencia Alimentaria y Nutrición")</f>
        <v>Asistencia Alimentaria y Nutrición</v>
      </c>
      <c r="F414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414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414" s="42" t="str">
        <f ca="1">IFERROR(__xludf.DUMMYFUNCTION("""COMPUTED_VALUE"""),"MUJ enero")</f>
        <v>MUJ enero</v>
      </c>
      <c r="I414" s="42" t="str">
        <f ca="1">IFERROR(__xludf.DUMMYFUNCTION("""COMPUTED_VALUE"""),"Enero")</f>
        <v>Enero</v>
      </c>
      <c r="J414" s="42" t="str">
        <f ca="1">IFERROR(__xludf.DUMMYFUNCTION("""COMPUTED_VALUE"""),"MUJ")</f>
        <v>MUJ</v>
      </c>
      <c r="K414" s="98">
        <f ca="1">IFERROR(__xludf.DUMMYFUNCTION("""COMPUTED_VALUE"""),0)</f>
        <v>0</v>
      </c>
      <c r="L414" s="42" t="str">
        <f ca="1">IFERROR(__xludf.DUMMYFUNCTION("""COMPUTED_VALUE"""),"TRIMESTRE 1")</f>
        <v>TRIMESTRE 1</v>
      </c>
      <c r="M414" s="42" t="str">
        <f ca="1">IFERROR(__xludf.DUMMYFUNCTION("""COMPUTED_VALUE"""),"MUJERES ADULTAS")</f>
        <v>MUJERES ADULTAS</v>
      </c>
    </row>
    <row r="415" spans="1:13">
      <c r="A415" s="42" t="str">
        <f ca="1">IFERROR(__xludf.DUMMYFUNCTION("""COMPUTED_VALUE"""),"2.1.1.7")</f>
        <v>2.1.1.7</v>
      </c>
      <c r="B415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15" s="42" t="str">
        <f ca="1">IFERROR(__xludf.DUMMYFUNCTION("""COMPUTED_VALUE"""),"3. Operación")</f>
        <v>3. Operación</v>
      </c>
      <c r="D415" s="42" t="str">
        <f ca="1">IFERROR(__xludf.DUMMYFUNCTION("""COMPUTED_VALUE"""),"Guadalajara en Paz")</f>
        <v>Guadalajara en Paz</v>
      </c>
      <c r="E415" s="42" t="str">
        <f ca="1">IFERROR(__xludf.DUMMYFUNCTION("""COMPUTED_VALUE"""),"Asistencia Alimentaria y Nutrición")</f>
        <v>Asistencia Alimentaria y Nutrición</v>
      </c>
      <c r="F415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415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415" s="42" t="str">
        <f ca="1">IFERROR(__xludf.DUMMYFUNCTION("""COMPUTED_VALUE"""),"HOM enero")</f>
        <v>HOM enero</v>
      </c>
      <c r="I415" s="42" t="str">
        <f ca="1">IFERROR(__xludf.DUMMYFUNCTION("""COMPUTED_VALUE"""),"Enero")</f>
        <v>Enero</v>
      </c>
      <c r="J415" s="42" t="str">
        <f ca="1">IFERROR(__xludf.DUMMYFUNCTION("""COMPUTED_VALUE"""),"HOM")</f>
        <v>HOM</v>
      </c>
      <c r="K415" s="98">
        <f ca="1">IFERROR(__xludf.DUMMYFUNCTION("""COMPUTED_VALUE"""),0)</f>
        <v>0</v>
      </c>
      <c r="L415" s="42" t="str">
        <f ca="1">IFERROR(__xludf.DUMMYFUNCTION("""COMPUTED_VALUE"""),"TRIMESTRE 1")</f>
        <v>TRIMESTRE 1</v>
      </c>
      <c r="M415" s="42" t="str">
        <f ca="1">IFERROR(__xludf.DUMMYFUNCTION("""COMPUTED_VALUE"""),"HOMBRES ADULTOS")</f>
        <v>HOMBRES ADULTOS</v>
      </c>
    </row>
    <row r="416" spans="1:13">
      <c r="A416" s="42" t="str">
        <f ca="1">IFERROR(__xludf.DUMMYFUNCTION("""COMPUTED_VALUE"""),"2.1.1.7")</f>
        <v>2.1.1.7</v>
      </c>
      <c r="B416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16" s="42" t="str">
        <f ca="1">IFERROR(__xludf.DUMMYFUNCTION("""COMPUTED_VALUE"""),"3. Operación")</f>
        <v>3. Operación</v>
      </c>
      <c r="D416" s="42" t="str">
        <f ca="1">IFERROR(__xludf.DUMMYFUNCTION("""COMPUTED_VALUE"""),"Guadalajara en Paz")</f>
        <v>Guadalajara en Paz</v>
      </c>
      <c r="E416" s="42" t="str">
        <f ca="1">IFERROR(__xludf.DUMMYFUNCTION("""COMPUTED_VALUE"""),"Asistencia Alimentaria y Nutrición")</f>
        <v>Asistencia Alimentaria y Nutrición</v>
      </c>
      <c r="F416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416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416" s="42" t="str">
        <f ca="1">IFERROR(__xludf.DUMMYFUNCTION("""COMPUTED_VALUE"""),"AMM enero")</f>
        <v>AMM enero</v>
      </c>
      <c r="I416" s="42" t="str">
        <f ca="1">IFERROR(__xludf.DUMMYFUNCTION("""COMPUTED_VALUE"""),"Enero")</f>
        <v>Enero</v>
      </c>
      <c r="J416" s="42" t="str">
        <f ca="1">IFERROR(__xludf.DUMMYFUNCTION("""COMPUTED_VALUE"""),"AMM")</f>
        <v>AMM</v>
      </c>
      <c r="K416" s="98">
        <f ca="1">IFERROR(__xludf.DUMMYFUNCTION("""COMPUTED_VALUE"""),0)</f>
        <v>0</v>
      </c>
      <c r="L416" s="42" t="str">
        <f ca="1">IFERROR(__xludf.DUMMYFUNCTION("""COMPUTED_VALUE"""),"TRIMESTRE 1")</f>
        <v>TRIMESTRE 1</v>
      </c>
      <c r="M416" s="42" t="str">
        <f ca="1">IFERROR(__xludf.DUMMYFUNCTION("""COMPUTED_VALUE"""),"ADULTA MAYOR MUJER")</f>
        <v>ADULTA MAYOR MUJER</v>
      </c>
    </row>
    <row r="417" spans="1:13">
      <c r="A417" s="42" t="str">
        <f ca="1">IFERROR(__xludf.DUMMYFUNCTION("""COMPUTED_VALUE"""),"2.1.1.7")</f>
        <v>2.1.1.7</v>
      </c>
      <c r="B417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17" s="42" t="str">
        <f ca="1">IFERROR(__xludf.DUMMYFUNCTION("""COMPUTED_VALUE"""),"3. Operación")</f>
        <v>3. Operación</v>
      </c>
      <c r="D417" s="42" t="str">
        <f ca="1">IFERROR(__xludf.DUMMYFUNCTION("""COMPUTED_VALUE"""),"Guadalajara en Paz")</f>
        <v>Guadalajara en Paz</v>
      </c>
      <c r="E417" s="42" t="str">
        <f ca="1">IFERROR(__xludf.DUMMYFUNCTION("""COMPUTED_VALUE"""),"Asistencia Alimentaria y Nutrición")</f>
        <v>Asistencia Alimentaria y Nutrición</v>
      </c>
      <c r="F417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417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417" s="42" t="str">
        <f ca="1">IFERROR(__xludf.DUMMYFUNCTION("""COMPUTED_VALUE"""),"AMH enero")</f>
        <v>AMH enero</v>
      </c>
      <c r="I417" s="42" t="str">
        <f ca="1">IFERROR(__xludf.DUMMYFUNCTION("""COMPUTED_VALUE"""),"Enero")</f>
        <v>Enero</v>
      </c>
      <c r="J417" s="42" t="str">
        <f ca="1">IFERROR(__xludf.DUMMYFUNCTION("""COMPUTED_VALUE"""),"AMH")</f>
        <v>AMH</v>
      </c>
      <c r="K417" s="98">
        <f ca="1">IFERROR(__xludf.DUMMYFUNCTION("""COMPUTED_VALUE"""),0)</f>
        <v>0</v>
      </c>
      <c r="L417" s="42" t="str">
        <f ca="1">IFERROR(__xludf.DUMMYFUNCTION("""COMPUTED_VALUE"""),"TRIMESTRE 1")</f>
        <v>TRIMESTRE 1</v>
      </c>
      <c r="M417" s="42" t="str">
        <f ca="1">IFERROR(__xludf.DUMMYFUNCTION("""COMPUTED_VALUE"""),"ADULTO MAYOR HOMBRE")</f>
        <v>ADULTO MAYOR HOMBRE</v>
      </c>
    </row>
    <row r="418" spans="1:13">
      <c r="A418" s="42" t="str">
        <f ca="1">IFERROR(__xludf.DUMMYFUNCTION("""COMPUTED_VALUE"""),"2.1.1.4")</f>
        <v>2.1.1.4</v>
      </c>
      <c r="B418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18" s="42" t="str">
        <f ca="1">IFERROR(__xludf.DUMMYFUNCTION("""COMPUTED_VALUE"""),"3. Operación")</f>
        <v>3. Operación</v>
      </c>
      <c r="D418" s="42" t="str">
        <f ca="1">IFERROR(__xludf.DUMMYFUNCTION("""COMPUTED_VALUE"""),"Guadalajara en Paz")</f>
        <v>Guadalajara en Paz</v>
      </c>
      <c r="E418" s="42" t="str">
        <f ca="1">IFERROR(__xludf.DUMMYFUNCTION("""COMPUTED_VALUE"""),"Asistencia Alimentaria y Nutrición")</f>
        <v>Asistencia Alimentaria y Nutrición</v>
      </c>
      <c r="F418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418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418" s="42" t="str">
        <f ca="1">IFERROR(__xludf.DUMMYFUNCTION("""COMPUTED_VALUE"""),"NAS Febrero")</f>
        <v>NAS Febrero</v>
      </c>
      <c r="I418" s="42" t="str">
        <f ca="1">IFERROR(__xludf.DUMMYFUNCTION("""COMPUTED_VALUE"""),"Febrero")</f>
        <v>Febrero</v>
      </c>
      <c r="J418" s="42" t="str">
        <f ca="1">IFERROR(__xludf.DUMMYFUNCTION("""COMPUTED_VALUE"""),"NAS")</f>
        <v>NAS</v>
      </c>
      <c r="K418" s="98">
        <f ca="1">IFERROR(__xludf.DUMMYFUNCTION("""COMPUTED_VALUE"""),0)</f>
        <v>0</v>
      </c>
      <c r="L418" s="42" t="str">
        <f ca="1">IFERROR(__xludf.DUMMYFUNCTION("""COMPUTED_VALUE"""),"TRIMESTRE 1")</f>
        <v>TRIMESTRE 1</v>
      </c>
      <c r="M418" s="42" t="str">
        <f ca="1">IFERROR(__xludf.DUMMYFUNCTION("""COMPUTED_VALUE"""),"NIÑAS")</f>
        <v>NIÑAS</v>
      </c>
    </row>
    <row r="419" spans="1:13">
      <c r="A419" s="42" t="str">
        <f ca="1">IFERROR(__xludf.DUMMYFUNCTION("""COMPUTED_VALUE"""),"2.1.1.4")</f>
        <v>2.1.1.4</v>
      </c>
      <c r="B419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19" s="42" t="str">
        <f ca="1">IFERROR(__xludf.DUMMYFUNCTION("""COMPUTED_VALUE"""),"3. Operación")</f>
        <v>3. Operación</v>
      </c>
      <c r="D419" s="42" t="str">
        <f ca="1">IFERROR(__xludf.DUMMYFUNCTION("""COMPUTED_VALUE"""),"Guadalajara en Paz")</f>
        <v>Guadalajara en Paz</v>
      </c>
      <c r="E419" s="42" t="str">
        <f ca="1">IFERROR(__xludf.DUMMYFUNCTION("""COMPUTED_VALUE"""),"Asistencia Alimentaria y Nutrición")</f>
        <v>Asistencia Alimentaria y Nutrición</v>
      </c>
      <c r="F419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419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419" s="42" t="str">
        <f ca="1">IFERROR(__xludf.DUMMYFUNCTION("""COMPUTED_VALUE"""),"NOS Febrero")</f>
        <v>NOS Febrero</v>
      </c>
      <c r="I419" s="42" t="str">
        <f ca="1">IFERROR(__xludf.DUMMYFUNCTION("""COMPUTED_VALUE"""),"Febrero")</f>
        <v>Febrero</v>
      </c>
      <c r="J419" s="42" t="str">
        <f ca="1">IFERROR(__xludf.DUMMYFUNCTION("""COMPUTED_VALUE"""),"NOS")</f>
        <v>NOS</v>
      </c>
      <c r="K419" s="98">
        <f ca="1">IFERROR(__xludf.DUMMYFUNCTION("""COMPUTED_VALUE"""),0)</f>
        <v>0</v>
      </c>
      <c r="L419" s="42" t="str">
        <f ca="1">IFERROR(__xludf.DUMMYFUNCTION("""COMPUTED_VALUE"""),"TRIMESTRE 1")</f>
        <v>TRIMESTRE 1</v>
      </c>
      <c r="M419" s="42" t="str">
        <f ca="1">IFERROR(__xludf.DUMMYFUNCTION("""COMPUTED_VALUE"""),"NIÑOS")</f>
        <v>NIÑOS</v>
      </c>
    </row>
    <row r="420" spans="1:13">
      <c r="A420" s="42" t="str">
        <f ca="1">IFERROR(__xludf.DUMMYFUNCTION("""COMPUTED_VALUE"""),"2.1.1.4")</f>
        <v>2.1.1.4</v>
      </c>
      <c r="B420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20" s="42" t="str">
        <f ca="1">IFERROR(__xludf.DUMMYFUNCTION("""COMPUTED_VALUE"""),"3. Operación")</f>
        <v>3. Operación</v>
      </c>
      <c r="D420" s="42" t="str">
        <f ca="1">IFERROR(__xludf.DUMMYFUNCTION("""COMPUTED_VALUE"""),"Guadalajara en Paz")</f>
        <v>Guadalajara en Paz</v>
      </c>
      <c r="E420" s="42" t="str">
        <f ca="1">IFERROR(__xludf.DUMMYFUNCTION("""COMPUTED_VALUE"""),"Asistencia Alimentaria y Nutrición")</f>
        <v>Asistencia Alimentaria y Nutrición</v>
      </c>
      <c r="F420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420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420" s="42" t="str">
        <f ca="1">IFERROR(__xludf.DUMMYFUNCTION("""COMPUTED_VALUE"""),"AM FEBRERo")</f>
        <v>AM FEBRERo</v>
      </c>
      <c r="I420" s="42" t="str">
        <f ca="1">IFERROR(__xludf.DUMMYFUNCTION("""COMPUTED_VALUE"""),"Febrero")</f>
        <v>Febrero</v>
      </c>
      <c r="J420" s="42" t="str">
        <f ca="1">IFERROR(__xludf.DUMMYFUNCTION("""COMPUTED_VALUE"""),"AM")</f>
        <v>AM</v>
      </c>
      <c r="K420" s="98">
        <f ca="1">IFERROR(__xludf.DUMMYFUNCTION("""COMPUTED_VALUE"""),0)</f>
        <v>0</v>
      </c>
      <c r="L420" s="42" t="str">
        <f ca="1">IFERROR(__xludf.DUMMYFUNCTION("""COMPUTED_VALUE"""),"TRIMESTRE 1")</f>
        <v>TRIMESTRE 1</v>
      </c>
      <c r="M420" s="42" t="str">
        <f ca="1">IFERROR(__xludf.DUMMYFUNCTION("""COMPUTED_VALUE"""),"ADOLESCENTES MUJERES")</f>
        <v>ADOLESCENTES MUJERES</v>
      </c>
    </row>
    <row r="421" spans="1:13">
      <c r="A421" s="42" t="str">
        <f ca="1">IFERROR(__xludf.DUMMYFUNCTION("""COMPUTED_VALUE"""),"2.1.1.4")</f>
        <v>2.1.1.4</v>
      </c>
      <c r="B421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21" s="42" t="str">
        <f ca="1">IFERROR(__xludf.DUMMYFUNCTION("""COMPUTED_VALUE"""),"3. Operación")</f>
        <v>3. Operación</v>
      </c>
      <c r="D421" s="42" t="str">
        <f ca="1">IFERROR(__xludf.DUMMYFUNCTION("""COMPUTED_VALUE"""),"Guadalajara en Paz")</f>
        <v>Guadalajara en Paz</v>
      </c>
      <c r="E421" s="42" t="str">
        <f ca="1">IFERROR(__xludf.DUMMYFUNCTION("""COMPUTED_VALUE"""),"Asistencia Alimentaria y Nutrición")</f>
        <v>Asistencia Alimentaria y Nutrición</v>
      </c>
      <c r="F421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421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421" s="42" t="str">
        <f ca="1">IFERROR(__xludf.DUMMYFUNCTION("""COMPUTED_VALUE"""),"AH FEBRERO")</f>
        <v>AH FEBRERO</v>
      </c>
      <c r="I421" s="42" t="str">
        <f ca="1">IFERROR(__xludf.DUMMYFUNCTION("""COMPUTED_VALUE"""),"Febrero")</f>
        <v>Febrero</v>
      </c>
      <c r="J421" s="42" t="str">
        <f ca="1">IFERROR(__xludf.DUMMYFUNCTION("""COMPUTED_VALUE"""),"AH")</f>
        <v>AH</v>
      </c>
      <c r="K421" s="98">
        <f ca="1">IFERROR(__xludf.DUMMYFUNCTION("""COMPUTED_VALUE"""),0)</f>
        <v>0</v>
      </c>
      <c r="L421" s="42" t="str">
        <f ca="1">IFERROR(__xludf.DUMMYFUNCTION("""COMPUTED_VALUE"""),"TRIMESTRE 1")</f>
        <v>TRIMESTRE 1</v>
      </c>
      <c r="M421" s="42" t="str">
        <f ca="1">IFERROR(__xludf.DUMMYFUNCTION("""COMPUTED_VALUE"""),"ADOLESCENTES HOMBRES")</f>
        <v>ADOLESCENTES HOMBRES</v>
      </c>
    </row>
    <row r="422" spans="1:13">
      <c r="A422" s="42" t="str">
        <f ca="1">IFERROR(__xludf.DUMMYFUNCTION("""COMPUTED_VALUE"""),"2.1.1.4")</f>
        <v>2.1.1.4</v>
      </c>
      <c r="B422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22" s="42" t="str">
        <f ca="1">IFERROR(__xludf.DUMMYFUNCTION("""COMPUTED_VALUE"""),"3. Operación")</f>
        <v>3. Operación</v>
      </c>
      <c r="D422" s="42" t="str">
        <f ca="1">IFERROR(__xludf.DUMMYFUNCTION("""COMPUTED_VALUE"""),"Guadalajara en Paz")</f>
        <v>Guadalajara en Paz</v>
      </c>
      <c r="E422" s="42" t="str">
        <f ca="1">IFERROR(__xludf.DUMMYFUNCTION("""COMPUTED_VALUE"""),"Asistencia Alimentaria y Nutrición")</f>
        <v>Asistencia Alimentaria y Nutrición</v>
      </c>
      <c r="F422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422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422" s="42" t="str">
        <f ca="1">IFERROR(__xludf.DUMMYFUNCTION("""COMPUTED_VALUE"""),"MUJ Febrero")</f>
        <v>MUJ Febrero</v>
      </c>
      <c r="I422" s="42" t="str">
        <f ca="1">IFERROR(__xludf.DUMMYFUNCTION("""COMPUTED_VALUE"""),"Febrero")</f>
        <v>Febrero</v>
      </c>
      <c r="J422" s="42" t="str">
        <f ca="1">IFERROR(__xludf.DUMMYFUNCTION("""COMPUTED_VALUE"""),"MUJ")</f>
        <v>MUJ</v>
      </c>
      <c r="K422" s="98">
        <f ca="1">IFERROR(__xludf.DUMMYFUNCTION("""COMPUTED_VALUE"""),0)</f>
        <v>0</v>
      </c>
      <c r="L422" s="42" t="str">
        <f ca="1">IFERROR(__xludf.DUMMYFUNCTION("""COMPUTED_VALUE"""),"TRIMESTRE 1")</f>
        <v>TRIMESTRE 1</v>
      </c>
      <c r="M422" s="42" t="str">
        <f ca="1">IFERROR(__xludf.DUMMYFUNCTION("""COMPUTED_VALUE"""),"MUJERES ADULTAS")</f>
        <v>MUJERES ADULTAS</v>
      </c>
    </row>
    <row r="423" spans="1:13">
      <c r="A423" s="42" t="str">
        <f ca="1">IFERROR(__xludf.DUMMYFUNCTION("""COMPUTED_VALUE"""),"2.1.1.4")</f>
        <v>2.1.1.4</v>
      </c>
      <c r="B423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23" s="42" t="str">
        <f ca="1">IFERROR(__xludf.DUMMYFUNCTION("""COMPUTED_VALUE"""),"3. Operación")</f>
        <v>3. Operación</v>
      </c>
      <c r="D423" s="42" t="str">
        <f ca="1">IFERROR(__xludf.DUMMYFUNCTION("""COMPUTED_VALUE"""),"Guadalajara en Paz")</f>
        <v>Guadalajara en Paz</v>
      </c>
      <c r="E423" s="42" t="str">
        <f ca="1">IFERROR(__xludf.DUMMYFUNCTION("""COMPUTED_VALUE"""),"Asistencia Alimentaria y Nutrición")</f>
        <v>Asistencia Alimentaria y Nutrición</v>
      </c>
      <c r="F423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423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423" s="42" t="str">
        <f ca="1">IFERROR(__xludf.DUMMYFUNCTION("""COMPUTED_VALUE"""),"HOM Febrero")</f>
        <v>HOM Febrero</v>
      </c>
      <c r="I423" s="42" t="str">
        <f ca="1">IFERROR(__xludf.DUMMYFUNCTION("""COMPUTED_VALUE"""),"Febrero")</f>
        <v>Febrero</v>
      </c>
      <c r="J423" s="42" t="str">
        <f ca="1">IFERROR(__xludf.DUMMYFUNCTION("""COMPUTED_VALUE"""),"HOM")</f>
        <v>HOM</v>
      </c>
      <c r="K423" s="98">
        <f ca="1">IFERROR(__xludf.DUMMYFUNCTION("""COMPUTED_VALUE"""),0)</f>
        <v>0</v>
      </c>
      <c r="L423" s="42" t="str">
        <f ca="1">IFERROR(__xludf.DUMMYFUNCTION("""COMPUTED_VALUE"""),"TRIMESTRE 1")</f>
        <v>TRIMESTRE 1</v>
      </c>
      <c r="M423" s="42" t="str">
        <f ca="1">IFERROR(__xludf.DUMMYFUNCTION("""COMPUTED_VALUE"""),"HOMBRES ADULTOS")</f>
        <v>HOMBRES ADULTOS</v>
      </c>
    </row>
    <row r="424" spans="1:13">
      <c r="A424" s="42" t="str">
        <f ca="1">IFERROR(__xludf.DUMMYFUNCTION("""COMPUTED_VALUE"""),"2.1.1.4")</f>
        <v>2.1.1.4</v>
      </c>
      <c r="B424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24" s="42" t="str">
        <f ca="1">IFERROR(__xludf.DUMMYFUNCTION("""COMPUTED_VALUE"""),"3. Operación")</f>
        <v>3. Operación</v>
      </c>
      <c r="D424" s="42" t="str">
        <f ca="1">IFERROR(__xludf.DUMMYFUNCTION("""COMPUTED_VALUE"""),"Guadalajara en Paz")</f>
        <v>Guadalajara en Paz</v>
      </c>
      <c r="E424" s="42" t="str">
        <f ca="1">IFERROR(__xludf.DUMMYFUNCTION("""COMPUTED_VALUE"""),"Asistencia Alimentaria y Nutrición")</f>
        <v>Asistencia Alimentaria y Nutrición</v>
      </c>
      <c r="F424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424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424" s="42" t="str">
        <f ca="1">IFERROR(__xludf.DUMMYFUNCTION("""COMPUTED_VALUE"""),"AMM Febrero")</f>
        <v>AMM Febrero</v>
      </c>
      <c r="I424" s="42" t="str">
        <f ca="1">IFERROR(__xludf.DUMMYFUNCTION("""COMPUTED_VALUE"""),"Febrero")</f>
        <v>Febrero</v>
      </c>
      <c r="J424" s="42" t="str">
        <f ca="1">IFERROR(__xludf.DUMMYFUNCTION("""COMPUTED_VALUE"""),"AMM")</f>
        <v>AMM</v>
      </c>
      <c r="K424" s="98">
        <f ca="1">IFERROR(__xludf.DUMMYFUNCTION("""COMPUTED_VALUE"""),0)</f>
        <v>0</v>
      </c>
      <c r="L424" s="42" t="str">
        <f ca="1">IFERROR(__xludf.DUMMYFUNCTION("""COMPUTED_VALUE"""),"TRIMESTRE 1")</f>
        <v>TRIMESTRE 1</v>
      </c>
      <c r="M424" s="42" t="str">
        <f ca="1">IFERROR(__xludf.DUMMYFUNCTION("""COMPUTED_VALUE"""),"ADULTA MAYOR MUJER")</f>
        <v>ADULTA MAYOR MUJER</v>
      </c>
    </row>
    <row r="425" spans="1:13">
      <c r="A425" s="42" t="str">
        <f ca="1">IFERROR(__xludf.DUMMYFUNCTION("""COMPUTED_VALUE"""),"2.1.1.4")</f>
        <v>2.1.1.4</v>
      </c>
      <c r="B425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25" s="42" t="str">
        <f ca="1">IFERROR(__xludf.DUMMYFUNCTION("""COMPUTED_VALUE"""),"3. Operación")</f>
        <v>3. Operación</v>
      </c>
      <c r="D425" s="42" t="str">
        <f ca="1">IFERROR(__xludf.DUMMYFUNCTION("""COMPUTED_VALUE"""),"Guadalajara en Paz")</f>
        <v>Guadalajara en Paz</v>
      </c>
      <c r="E425" s="42" t="str">
        <f ca="1">IFERROR(__xludf.DUMMYFUNCTION("""COMPUTED_VALUE"""),"Asistencia Alimentaria y Nutrición")</f>
        <v>Asistencia Alimentaria y Nutrición</v>
      </c>
      <c r="F425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425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425" s="42" t="str">
        <f ca="1">IFERROR(__xludf.DUMMYFUNCTION("""COMPUTED_VALUE"""),"AMH Febrero")</f>
        <v>AMH Febrero</v>
      </c>
      <c r="I425" s="42" t="str">
        <f ca="1">IFERROR(__xludf.DUMMYFUNCTION("""COMPUTED_VALUE"""),"Febrero")</f>
        <v>Febrero</v>
      </c>
      <c r="J425" s="42" t="str">
        <f ca="1">IFERROR(__xludf.DUMMYFUNCTION("""COMPUTED_VALUE"""),"AMH")</f>
        <v>AMH</v>
      </c>
      <c r="K425" s="98">
        <f ca="1">IFERROR(__xludf.DUMMYFUNCTION("""COMPUTED_VALUE"""),0)</f>
        <v>0</v>
      </c>
      <c r="L425" s="42" t="str">
        <f ca="1">IFERROR(__xludf.DUMMYFUNCTION("""COMPUTED_VALUE"""),"TRIMESTRE 1")</f>
        <v>TRIMESTRE 1</v>
      </c>
      <c r="M425" s="42" t="str">
        <f ca="1">IFERROR(__xludf.DUMMYFUNCTION("""COMPUTED_VALUE"""),"ADULTO MAYOR HOMBRE")</f>
        <v>ADULTO MAYOR HOMBRE</v>
      </c>
    </row>
    <row r="426" spans="1:13">
      <c r="A426" s="42" t="str">
        <f ca="1">IFERROR(__xludf.DUMMYFUNCTION("""COMPUTED_VALUE"""),"2.1.1.5")</f>
        <v>2.1.1.5</v>
      </c>
      <c r="B426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26" s="42" t="str">
        <f ca="1">IFERROR(__xludf.DUMMYFUNCTION("""COMPUTED_VALUE"""),"3. Operación")</f>
        <v>3. Operación</v>
      </c>
      <c r="D426" s="42" t="str">
        <f ca="1">IFERROR(__xludf.DUMMYFUNCTION("""COMPUTED_VALUE"""),"Guadalajara en Paz")</f>
        <v>Guadalajara en Paz</v>
      </c>
      <c r="E426" s="42" t="str">
        <f ca="1">IFERROR(__xludf.DUMMYFUNCTION("""COMPUTED_VALUE"""),"Asistencia Alimentaria y Nutrición")</f>
        <v>Asistencia Alimentaria y Nutrición</v>
      </c>
      <c r="F426" s="42" t="str">
        <f ca="1">IFERROR(__xludf.DUMMYFUNCTION("""COMPUTED_VALUE"""),"A5C1. Apoyos del Programa de Alimentación Escolar entregados en 2023")</f>
        <v>A5C1. Apoyos del Programa de Alimentación Escolar entregados en 2023</v>
      </c>
      <c r="G426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426" s="42" t="str">
        <f ca="1">IFERROR(__xludf.DUMMYFUNCTION("""COMPUTED_VALUE"""),"NAS Febrero")</f>
        <v>NAS Febrero</v>
      </c>
      <c r="I426" s="42" t="str">
        <f ca="1">IFERROR(__xludf.DUMMYFUNCTION("""COMPUTED_VALUE"""),"Febrero")</f>
        <v>Febrero</v>
      </c>
      <c r="J426" s="42" t="str">
        <f ca="1">IFERROR(__xludf.DUMMYFUNCTION("""COMPUTED_VALUE"""),"NAS")</f>
        <v>NAS</v>
      </c>
      <c r="K426" s="98">
        <f ca="1">IFERROR(__xludf.DUMMYFUNCTION("""COMPUTED_VALUE"""),0)</f>
        <v>0</v>
      </c>
      <c r="L426" s="42" t="str">
        <f ca="1">IFERROR(__xludf.DUMMYFUNCTION("""COMPUTED_VALUE"""),"TRIMESTRE 1")</f>
        <v>TRIMESTRE 1</v>
      </c>
      <c r="M426" s="42" t="str">
        <f ca="1">IFERROR(__xludf.DUMMYFUNCTION("""COMPUTED_VALUE"""),"NIÑAS")</f>
        <v>NIÑAS</v>
      </c>
    </row>
    <row r="427" spans="1:13">
      <c r="A427" s="42" t="str">
        <f ca="1">IFERROR(__xludf.DUMMYFUNCTION("""COMPUTED_VALUE"""),"2.1.1.5")</f>
        <v>2.1.1.5</v>
      </c>
      <c r="B427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27" s="42" t="str">
        <f ca="1">IFERROR(__xludf.DUMMYFUNCTION("""COMPUTED_VALUE"""),"3. Operación")</f>
        <v>3. Operación</v>
      </c>
      <c r="D427" s="42" t="str">
        <f ca="1">IFERROR(__xludf.DUMMYFUNCTION("""COMPUTED_VALUE"""),"Guadalajara en Paz")</f>
        <v>Guadalajara en Paz</v>
      </c>
      <c r="E427" s="42" t="str">
        <f ca="1">IFERROR(__xludf.DUMMYFUNCTION("""COMPUTED_VALUE"""),"Asistencia Alimentaria y Nutrición")</f>
        <v>Asistencia Alimentaria y Nutrición</v>
      </c>
      <c r="F427" s="42" t="str">
        <f ca="1">IFERROR(__xludf.DUMMYFUNCTION("""COMPUTED_VALUE"""),"A5C1. Apoyos del Programa de Alimentación Escolar entregados en 2023")</f>
        <v>A5C1. Apoyos del Programa de Alimentación Escolar entregados en 2023</v>
      </c>
      <c r="G427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427" s="42" t="str">
        <f ca="1">IFERROR(__xludf.DUMMYFUNCTION("""COMPUTED_VALUE"""),"NOS Febrero")</f>
        <v>NOS Febrero</v>
      </c>
      <c r="I427" s="42" t="str">
        <f ca="1">IFERROR(__xludf.DUMMYFUNCTION("""COMPUTED_VALUE"""),"Febrero")</f>
        <v>Febrero</v>
      </c>
      <c r="J427" s="42" t="str">
        <f ca="1">IFERROR(__xludf.DUMMYFUNCTION("""COMPUTED_VALUE"""),"NOS")</f>
        <v>NOS</v>
      </c>
      <c r="K427" s="98">
        <f ca="1">IFERROR(__xludf.DUMMYFUNCTION("""COMPUTED_VALUE"""),0)</f>
        <v>0</v>
      </c>
      <c r="L427" s="42" t="str">
        <f ca="1">IFERROR(__xludf.DUMMYFUNCTION("""COMPUTED_VALUE"""),"TRIMESTRE 1")</f>
        <v>TRIMESTRE 1</v>
      </c>
      <c r="M427" s="42" t="str">
        <f ca="1">IFERROR(__xludf.DUMMYFUNCTION("""COMPUTED_VALUE"""),"NIÑOS")</f>
        <v>NIÑOS</v>
      </c>
    </row>
    <row r="428" spans="1:13">
      <c r="A428" s="42" t="str">
        <f ca="1">IFERROR(__xludf.DUMMYFUNCTION("""COMPUTED_VALUE"""),"2.1.1.5")</f>
        <v>2.1.1.5</v>
      </c>
      <c r="B428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28" s="42" t="str">
        <f ca="1">IFERROR(__xludf.DUMMYFUNCTION("""COMPUTED_VALUE"""),"3. Operación")</f>
        <v>3. Operación</v>
      </c>
      <c r="D428" s="42" t="str">
        <f ca="1">IFERROR(__xludf.DUMMYFUNCTION("""COMPUTED_VALUE"""),"Guadalajara en Paz")</f>
        <v>Guadalajara en Paz</v>
      </c>
      <c r="E428" s="42" t="str">
        <f ca="1">IFERROR(__xludf.DUMMYFUNCTION("""COMPUTED_VALUE"""),"Asistencia Alimentaria y Nutrición")</f>
        <v>Asistencia Alimentaria y Nutrición</v>
      </c>
      <c r="F428" s="42" t="str">
        <f ca="1">IFERROR(__xludf.DUMMYFUNCTION("""COMPUTED_VALUE"""),"A5C1. Apoyos del Programa de Alimentación Escolar entregados en 2023")</f>
        <v>A5C1. Apoyos del Programa de Alimentación Escolar entregados en 2023</v>
      </c>
      <c r="G428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428" s="42" t="str">
        <f ca="1">IFERROR(__xludf.DUMMYFUNCTION("""COMPUTED_VALUE"""),"AM FEBRERo")</f>
        <v>AM FEBRERo</v>
      </c>
      <c r="I428" s="42" t="str">
        <f ca="1">IFERROR(__xludf.DUMMYFUNCTION("""COMPUTED_VALUE"""),"Febrero")</f>
        <v>Febrero</v>
      </c>
      <c r="J428" s="42" t="str">
        <f ca="1">IFERROR(__xludf.DUMMYFUNCTION("""COMPUTED_VALUE"""),"AM")</f>
        <v>AM</v>
      </c>
      <c r="K428" s="98">
        <f ca="1">IFERROR(__xludf.DUMMYFUNCTION("""COMPUTED_VALUE"""),0)</f>
        <v>0</v>
      </c>
      <c r="L428" s="42" t="str">
        <f ca="1">IFERROR(__xludf.DUMMYFUNCTION("""COMPUTED_VALUE"""),"TRIMESTRE 1")</f>
        <v>TRIMESTRE 1</v>
      </c>
      <c r="M428" s="42" t="str">
        <f ca="1">IFERROR(__xludf.DUMMYFUNCTION("""COMPUTED_VALUE"""),"ADOLESCENTES MUJERES")</f>
        <v>ADOLESCENTES MUJERES</v>
      </c>
    </row>
    <row r="429" spans="1:13">
      <c r="A429" s="42" t="str">
        <f ca="1">IFERROR(__xludf.DUMMYFUNCTION("""COMPUTED_VALUE"""),"2.1.1.5")</f>
        <v>2.1.1.5</v>
      </c>
      <c r="B429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29" s="42" t="str">
        <f ca="1">IFERROR(__xludf.DUMMYFUNCTION("""COMPUTED_VALUE"""),"3. Operación")</f>
        <v>3. Operación</v>
      </c>
      <c r="D429" s="42" t="str">
        <f ca="1">IFERROR(__xludf.DUMMYFUNCTION("""COMPUTED_VALUE"""),"Guadalajara en Paz")</f>
        <v>Guadalajara en Paz</v>
      </c>
      <c r="E429" s="42" t="str">
        <f ca="1">IFERROR(__xludf.DUMMYFUNCTION("""COMPUTED_VALUE"""),"Asistencia Alimentaria y Nutrición")</f>
        <v>Asistencia Alimentaria y Nutrición</v>
      </c>
      <c r="F429" s="42" t="str">
        <f ca="1">IFERROR(__xludf.DUMMYFUNCTION("""COMPUTED_VALUE"""),"A5C1. Apoyos del Programa de Alimentación Escolar entregados en 2023")</f>
        <v>A5C1. Apoyos del Programa de Alimentación Escolar entregados en 2023</v>
      </c>
      <c r="G429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429" s="42" t="str">
        <f ca="1">IFERROR(__xludf.DUMMYFUNCTION("""COMPUTED_VALUE"""),"AH FEBRERO")</f>
        <v>AH FEBRERO</v>
      </c>
      <c r="I429" s="42" t="str">
        <f ca="1">IFERROR(__xludf.DUMMYFUNCTION("""COMPUTED_VALUE"""),"Febrero")</f>
        <v>Febrero</v>
      </c>
      <c r="J429" s="42" t="str">
        <f ca="1">IFERROR(__xludf.DUMMYFUNCTION("""COMPUTED_VALUE"""),"AH")</f>
        <v>AH</v>
      </c>
      <c r="K429" s="98">
        <f ca="1">IFERROR(__xludf.DUMMYFUNCTION("""COMPUTED_VALUE"""),0)</f>
        <v>0</v>
      </c>
      <c r="L429" s="42" t="str">
        <f ca="1">IFERROR(__xludf.DUMMYFUNCTION("""COMPUTED_VALUE"""),"TRIMESTRE 1")</f>
        <v>TRIMESTRE 1</v>
      </c>
      <c r="M429" s="42" t="str">
        <f ca="1">IFERROR(__xludf.DUMMYFUNCTION("""COMPUTED_VALUE"""),"ADOLESCENTES HOMBRES")</f>
        <v>ADOLESCENTES HOMBRES</v>
      </c>
    </row>
    <row r="430" spans="1:13">
      <c r="A430" s="42" t="str">
        <f ca="1">IFERROR(__xludf.DUMMYFUNCTION("""COMPUTED_VALUE"""),"2.1.1.5")</f>
        <v>2.1.1.5</v>
      </c>
      <c r="B430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30" s="42" t="str">
        <f ca="1">IFERROR(__xludf.DUMMYFUNCTION("""COMPUTED_VALUE"""),"3. Operación")</f>
        <v>3. Operación</v>
      </c>
      <c r="D430" s="42" t="str">
        <f ca="1">IFERROR(__xludf.DUMMYFUNCTION("""COMPUTED_VALUE"""),"Guadalajara en Paz")</f>
        <v>Guadalajara en Paz</v>
      </c>
      <c r="E430" s="42" t="str">
        <f ca="1">IFERROR(__xludf.DUMMYFUNCTION("""COMPUTED_VALUE"""),"Asistencia Alimentaria y Nutrición")</f>
        <v>Asistencia Alimentaria y Nutrición</v>
      </c>
      <c r="F430" s="42" t="str">
        <f ca="1">IFERROR(__xludf.DUMMYFUNCTION("""COMPUTED_VALUE"""),"A5C1. Apoyos del Programa de Alimentación Escolar entregados en 2023")</f>
        <v>A5C1. Apoyos del Programa de Alimentación Escolar entregados en 2023</v>
      </c>
      <c r="G430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430" s="42" t="str">
        <f ca="1">IFERROR(__xludf.DUMMYFUNCTION("""COMPUTED_VALUE"""),"MUJ Febrero")</f>
        <v>MUJ Febrero</v>
      </c>
      <c r="I430" s="42" t="str">
        <f ca="1">IFERROR(__xludf.DUMMYFUNCTION("""COMPUTED_VALUE"""),"Febrero")</f>
        <v>Febrero</v>
      </c>
      <c r="J430" s="42" t="str">
        <f ca="1">IFERROR(__xludf.DUMMYFUNCTION("""COMPUTED_VALUE"""),"MUJ")</f>
        <v>MUJ</v>
      </c>
      <c r="K430" s="98">
        <f ca="1">IFERROR(__xludf.DUMMYFUNCTION("""COMPUTED_VALUE"""),0)</f>
        <v>0</v>
      </c>
      <c r="L430" s="42" t="str">
        <f ca="1">IFERROR(__xludf.DUMMYFUNCTION("""COMPUTED_VALUE"""),"TRIMESTRE 1")</f>
        <v>TRIMESTRE 1</v>
      </c>
      <c r="M430" s="42" t="str">
        <f ca="1">IFERROR(__xludf.DUMMYFUNCTION("""COMPUTED_VALUE"""),"MUJERES ADULTAS")</f>
        <v>MUJERES ADULTAS</v>
      </c>
    </row>
    <row r="431" spans="1:13">
      <c r="A431" s="42" t="str">
        <f ca="1">IFERROR(__xludf.DUMMYFUNCTION("""COMPUTED_VALUE"""),"2.1.1.5")</f>
        <v>2.1.1.5</v>
      </c>
      <c r="B431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31" s="42" t="str">
        <f ca="1">IFERROR(__xludf.DUMMYFUNCTION("""COMPUTED_VALUE"""),"3. Operación")</f>
        <v>3. Operación</v>
      </c>
      <c r="D431" s="42" t="str">
        <f ca="1">IFERROR(__xludf.DUMMYFUNCTION("""COMPUTED_VALUE"""),"Guadalajara en Paz")</f>
        <v>Guadalajara en Paz</v>
      </c>
      <c r="E431" s="42" t="str">
        <f ca="1">IFERROR(__xludf.DUMMYFUNCTION("""COMPUTED_VALUE"""),"Asistencia Alimentaria y Nutrición")</f>
        <v>Asistencia Alimentaria y Nutrición</v>
      </c>
      <c r="F431" s="42" t="str">
        <f ca="1">IFERROR(__xludf.DUMMYFUNCTION("""COMPUTED_VALUE"""),"A5C1. Apoyos del Programa de Alimentación Escolar entregados en 2023")</f>
        <v>A5C1. Apoyos del Programa de Alimentación Escolar entregados en 2023</v>
      </c>
      <c r="G431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431" s="42" t="str">
        <f ca="1">IFERROR(__xludf.DUMMYFUNCTION("""COMPUTED_VALUE"""),"HOM Febrero")</f>
        <v>HOM Febrero</v>
      </c>
      <c r="I431" s="42" t="str">
        <f ca="1">IFERROR(__xludf.DUMMYFUNCTION("""COMPUTED_VALUE"""),"Febrero")</f>
        <v>Febrero</v>
      </c>
      <c r="J431" s="42" t="str">
        <f ca="1">IFERROR(__xludf.DUMMYFUNCTION("""COMPUTED_VALUE"""),"HOM")</f>
        <v>HOM</v>
      </c>
      <c r="K431" s="98">
        <f ca="1">IFERROR(__xludf.DUMMYFUNCTION("""COMPUTED_VALUE"""),0)</f>
        <v>0</v>
      </c>
      <c r="L431" s="42" t="str">
        <f ca="1">IFERROR(__xludf.DUMMYFUNCTION("""COMPUTED_VALUE"""),"TRIMESTRE 1")</f>
        <v>TRIMESTRE 1</v>
      </c>
      <c r="M431" s="42" t="str">
        <f ca="1">IFERROR(__xludf.DUMMYFUNCTION("""COMPUTED_VALUE"""),"HOMBRES ADULTOS")</f>
        <v>HOMBRES ADULTOS</v>
      </c>
    </row>
    <row r="432" spans="1:13">
      <c r="A432" s="42" t="str">
        <f ca="1">IFERROR(__xludf.DUMMYFUNCTION("""COMPUTED_VALUE"""),"2.1.1.5")</f>
        <v>2.1.1.5</v>
      </c>
      <c r="B432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32" s="42" t="str">
        <f ca="1">IFERROR(__xludf.DUMMYFUNCTION("""COMPUTED_VALUE"""),"3. Operación")</f>
        <v>3. Operación</v>
      </c>
      <c r="D432" s="42" t="str">
        <f ca="1">IFERROR(__xludf.DUMMYFUNCTION("""COMPUTED_VALUE"""),"Guadalajara en Paz")</f>
        <v>Guadalajara en Paz</v>
      </c>
      <c r="E432" s="42" t="str">
        <f ca="1">IFERROR(__xludf.DUMMYFUNCTION("""COMPUTED_VALUE"""),"Asistencia Alimentaria y Nutrición")</f>
        <v>Asistencia Alimentaria y Nutrición</v>
      </c>
      <c r="F432" s="42" t="str">
        <f ca="1">IFERROR(__xludf.DUMMYFUNCTION("""COMPUTED_VALUE"""),"A5C1. Apoyos del Programa de Alimentación Escolar entregados en 2023")</f>
        <v>A5C1. Apoyos del Programa de Alimentación Escolar entregados en 2023</v>
      </c>
      <c r="G432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432" s="42" t="str">
        <f ca="1">IFERROR(__xludf.DUMMYFUNCTION("""COMPUTED_VALUE"""),"AMM Febrero")</f>
        <v>AMM Febrero</v>
      </c>
      <c r="I432" s="42" t="str">
        <f ca="1">IFERROR(__xludf.DUMMYFUNCTION("""COMPUTED_VALUE"""),"Febrero")</f>
        <v>Febrero</v>
      </c>
      <c r="J432" s="42" t="str">
        <f ca="1">IFERROR(__xludf.DUMMYFUNCTION("""COMPUTED_VALUE"""),"AMM")</f>
        <v>AMM</v>
      </c>
      <c r="K432" s="98">
        <f ca="1">IFERROR(__xludf.DUMMYFUNCTION("""COMPUTED_VALUE"""),0)</f>
        <v>0</v>
      </c>
      <c r="L432" s="42" t="str">
        <f ca="1">IFERROR(__xludf.DUMMYFUNCTION("""COMPUTED_VALUE"""),"TRIMESTRE 1")</f>
        <v>TRIMESTRE 1</v>
      </c>
      <c r="M432" s="42" t="str">
        <f ca="1">IFERROR(__xludf.DUMMYFUNCTION("""COMPUTED_VALUE"""),"ADULTA MAYOR MUJER")</f>
        <v>ADULTA MAYOR MUJER</v>
      </c>
    </row>
    <row r="433" spans="1:13">
      <c r="A433" s="42" t="str">
        <f ca="1">IFERROR(__xludf.DUMMYFUNCTION("""COMPUTED_VALUE"""),"2.1.1.5")</f>
        <v>2.1.1.5</v>
      </c>
      <c r="B433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33" s="42" t="str">
        <f ca="1">IFERROR(__xludf.DUMMYFUNCTION("""COMPUTED_VALUE"""),"3. Operación")</f>
        <v>3. Operación</v>
      </c>
      <c r="D433" s="42" t="str">
        <f ca="1">IFERROR(__xludf.DUMMYFUNCTION("""COMPUTED_VALUE"""),"Guadalajara en Paz")</f>
        <v>Guadalajara en Paz</v>
      </c>
      <c r="E433" s="42" t="str">
        <f ca="1">IFERROR(__xludf.DUMMYFUNCTION("""COMPUTED_VALUE"""),"Asistencia Alimentaria y Nutrición")</f>
        <v>Asistencia Alimentaria y Nutrición</v>
      </c>
      <c r="F433" s="42" t="str">
        <f ca="1">IFERROR(__xludf.DUMMYFUNCTION("""COMPUTED_VALUE"""),"A5C1. Apoyos del Programa de Alimentación Escolar entregados en 2023")</f>
        <v>A5C1. Apoyos del Programa de Alimentación Escolar entregados en 2023</v>
      </c>
      <c r="G433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433" s="42" t="str">
        <f ca="1">IFERROR(__xludf.DUMMYFUNCTION("""COMPUTED_VALUE"""),"AMH Febrero")</f>
        <v>AMH Febrero</v>
      </c>
      <c r="I433" s="42" t="str">
        <f ca="1">IFERROR(__xludf.DUMMYFUNCTION("""COMPUTED_VALUE"""),"Febrero")</f>
        <v>Febrero</v>
      </c>
      <c r="J433" s="42" t="str">
        <f ca="1">IFERROR(__xludf.DUMMYFUNCTION("""COMPUTED_VALUE"""),"AMH")</f>
        <v>AMH</v>
      </c>
      <c r="K433" s="98">
        <f ca="1">IFERROR(__xludf.DUMMYFUNCTION("""COMPUTED_VALUE"""),0)</f>
        <v>0</v>
      </c>
      <c r="L433" s="42" t="str">
        <f ca="1">IFERROR(__xludf.DUMMYFUNCTION("""COMPUTED_VALUE"""),"TRIMESTRE 1")</f>
        <v>TRIMESTRE 1</v>
      </c>
      <c r="M433" s="42" t="str">
        <f ca="1">IFERROR(__xludf.DUMMYFUNCTION("""COMPUTED_VALUE"""),"ADULTO MAYOR HOMBRE")</f>
        <v>ADULTO MAYOR HOMBRE</v>
      </c>
    </row>
    <row r="434" spans="1:13">
      <c r="A434" s="42" t="str">
        <f ca="1">IFERROR(__xludf.DUMMYFUNCTION("""COMPUTED_VALUE"""),"2.1.1.6")</f>
        <v>2.1.1.6</v>
      </c>
      <c r="B434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34" s="42" t="str">
        <f ca="1">IFERROR(__xludf.DUMMYFUNCTION("""COMPUTED_VALUE"""),"3. Operación")</f>
        <v>3. Operación</v>
      </c>
      <c r="D434" s="42" t="str">
        <f ca="1">IFERROR(__xludf.DUMMYFUNCTION("""COMPUTED_VALUE"""),"Guadalajara en Paz")</f>
        <v>Guadalajara en Paz</v>
      </c>
      <c r="E434" s="42" t="str">
        <f ca="1">IFERROR(__xludf.DUMMYFUNCTION("""COMPUTED_VALUE"""),"Asistencia Alimentaria y Nutrición")</f>
        <v>Asistencia Alimentaria y Nutrición</v>
      </c>
      <c r="F434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434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434" s="42" t="str">
        <f ca="1">IFERROR(__xludf.DUMMYFUNCTION("""COMPUTED_VALUE"""),"NAS Febrero")</f>
        <v>NAS Febrero</v>
      </c>
      <c r="I434" s="42" t="str">
        <f ca="1">IFERROR(__xludf.DUMMYFUNCTION("""COMPUTED_VALUE"""),"Febrero")</f>
        <v>Febrero</v>
      </c>
      <c r="J434" s="42" t="str">
        <f ca="1">IFERROR(__xludf.DUMMYFUNCTION("""COMPUTED_VALUE"""),"NAS")</f>
        <v>NAS</v>
      </c>
      <c r="K434" s="98">
        <f ca="1">IFERROR(__xludf.DUMMYFUNCTION("""COMPUTED_VALUE"""),0)</f>
        <v>0</v>
      </c>
      <c r="L434" s="42" t="str">
        <f ca="1">IFERROR(__xludf.DUMMYFUNCTION("""COMPUTED_VALUE"""),"TRIMESTRE 1")</f>
        <v>TRIMESTRE 1</v>
      </c>
      <c r="M434" s="42" t="str">
        <f ca="1">IFERROR(__xludf.DUMMYFUNCTION("""COMPUTED_VALUE"""),"NIÑAS")</f>
        <v>NIÑAS</v>
      </c>
    </row>
    <row r="435" spans="1:13">
      <c r="A435" s="42" t="str">
        <f ca="1">IFERROR(__xludf.DUMMYFUNCTION("""COMPUTED_VALUE"""),"2.1.1.6")</f>
        <v>2.1.1.6</v>
      </c>
      <c r="B435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35" s="42" t="str">
        <f ca="1">IFERROR(__xludf.DUMMYFUNCTION("""COMPUTED_VALUE"""),"3. Operación")</f>
        <v>3. Operación</v>
      </c>
      <c r="D435" s="42" t="str">
        <f ca="1">IFERROR(__xludf.DUMMYFUNCTION("""COMPUTED_VALUE"""),"Guadalajara en Paz")</f>
        <v>Guadalajara en Paz</v>
      </c>
      <c r="E435" s="42" t="str">
        <f ca="1">IFERROR(__xludf.DUMMYFUNCTION("""COMPUTED_VALUE"""),"Asistencia Alimentaria y Nutrición")</f>
        <v>Asistencia Alimentaria y Nutrición</v>
      </c>
      <c r="F435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435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435" s="42" t="str">
        <f ca="1">IFERROR(__xludf.DUMMYFUNCTION("""COMPUTED_VALUE"""),"NOS Febrero")</f>
        <v>NOS Febrero</v>
      </c>
      <c r="I435" s="42" t="str">
        <f ca="1">IFERROR(__xludf.DUMMYFUNCTION("""COMPUTED_VALUE"""),"Febrero")</f>
        <v>Febrero</v>
      </c>
      <c r="J435" s="42" t="str">
        <f ca="1">IFERROR(__xludf.DUMMYFUNCTION("""COMPUTED_VALUE"""),"NOS")</f>
        <v>NOS</v>
      </c>
      <c r="K435" s="98">
        <f ca="1">IFERROR(__xludf.DUMMYFUNCTION("""COMPUTED_VALUE"""),0)</f>
        <v>0</v>
      </c>
      <c r="L435" s="42" t="str">
        <f ca="1">IFERROR(__xludf.DUMMYFUNCTION("""COMPUTED_VALUE"""),"TRIMESTRE 1")</f>
        <v>TRIMESTRE 1</v>
      </c>
      <c r="M435" s="42" t="str">
        <f ca="1">IFERROR(__xludf.DUMMYFUNCTION("""COMPUTED_VALUE"""),"NIÑOS")</f>
        <v>NIÑOS</v>
      </c>
    </row>
    <row r="436" spans="1:13">
      <c r="A436" s="42" t="str">
        <f ca="1">IFERROR(__xludf.DUMMYFUNCTION("""COMPUTED_VALUE"""),"2.1.1.6")</f>
        <v>2.1.1.6</v>
      </c>
      <c r="B436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36" s="42" t="str">
        <f ca="1">IFERROR(__xludf.DUMMYFUNCTION("""COMPUTED_VALUE"""),"3. Operación")</f>
        <v>3. Operación</v>
      </c>
      <c r="D436" s="42" t="str">
        <f ca="1">IFERROR(__xludf.DUMMYFUNCTION("""COMPUTED_VALUE"""),"Guadalajara en Paz")</f>
        <v>Guadalajara en Paz</v>
      </c>
      <c r="E436" s="42" t="str">
        <f ca="1">IFERROR(__xludf.DUMMYFUNCTION("""COMPUTED_VALUE"""),"Asistencia Alimentaria y Nutrición")</f>
        <v>Asistencia Alimentaria y Nutrición</v>
      </c>
      <c r="F436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436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436" s="42" t="str">
        <f ca="1">IFERROR(__xludf.DUMMYFUNCTION("""COMPUTED_VALUE"""),"AM FEBRERo")</f>
        <v>AM FEBRERo</v>
      </c>
      <c r="I436" s="42" t="str">
        <f ca="1">IFERROR(__xludf.DUMMYFUNCTION("""COMPUTED_VALUE"""),"Febrero")</f>
        <v>Febrero</v>
      </c>
      <c r="J436" s="42" t="str">
        <f ca="1">IFERROR(__xludf.DUMMYFUNCTION("""COMPUTED_VALUE"""),"AM")</f>
        <v>AM</v>
      </c>
      <c r="K436" s="98">
        <f ca="1">IFERROR(__xludf.DUMMYFUNCTION("""COMPUTED_VALUE"""),0)</f>
        <v>0</v>
      </c>
      <c r="L436" s="42" t="str">
        <f ca="1">IFERROR(__xludf.DUMMYFUNCTION("""COMPUTED_VALUE"""),"TRIMESTRE 1")</f>
        <v>TRIMESTRE 1</v>
      </c>
      <c r="M436" s="42" t="str">
        <f ca="1">IFERROR(__xludf.DUMMYFUNCTION("""COMPUTED_VALUE"""),"ADOLESCENTES MUJERES")</f>
        <v>ADOLESCENTES MUJERES</v>
      </c>
    </row>
    <row r="437" spans="1:13">
      <c r="A437" s="42" t="str">
        <f ca="1">IFERROR(__xludf.DUMMYFUNCTION("""COMPUTED_VALUE"""),"2.1.1.6")</f>
        <v>2.1.1.6</v>
      </c>
      <c r="B437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37" s="42" t="str">
        <f ca="1">IFERROR(__xludf.DUMMYFUNCTION("""COMPUTED_VALUE"""),"3. Operación")</f>
        <v>3. Operación</v>
      </c>
      <c r="D437" s="42" t="str">
        <f ca="1">IFERROR(__xludf.DUMMYFUNCTION("""COMPUTED_VALUE"""),"Guadalajara en Paz")</f>
        <v>Guadalajara en Paz</v>
      </c>
      <c r="E437" s="42" t="str">
        <f ca="1">IFERROR(__xludf.DUMMYFUNCTION("""COMPUTED_VALUE"""),"Asistencia Alimentaria y Nutrición")</f>
        <v>Asistencia Alimentaria y Nutrición</v>
      </c>
      <c r="F437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437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437" s="42" t="str">
        <f ca="1">IFERROR(__xludf.DUMMYFUNCTION("""COMPUTED_VALUE"""),"AH FEBRERO")</f>
        <v>AH FEBRERO</v>
      </c>
      <c r="I437" s="42" t="str">
        <f ca="1">IFERROR(__xludf.DUMMYFUNCTION("""COMPUTED_VALUE"""),"Febrero")</f>
        <v>Febrero</v>
      </c>
      <c r="J437" s="42" t="str">
        <f ca="1">IFERROR(__xludf.DUMMYFUNCTION("""COMPUTED_VALUE"""),"AH")</f>
        <v>AH</v>
      </c>
      <c r="K437" s="98">
        <f ca="1">IFERROR(__xludf.DUMMYFUNCTION("""COMPUTED_VALUE"""),0)</f>
        <v>0</v>
      </c>
      <c r="L437" s="42" t="str">
        <f ca="1">IFERROR(__xludf.DUMMYFUNCTION("""COMPUTED_VALUE"""),"TRIMESTRE 1")</f>
        <v>TRIMESTRE 1</v>
      </c>
      <c r="M437" s="42" t="str">
        <f ca="1">IFERROR(__xludf.DUMMYFUNCTION("""COMPUTED_VALUE"""),"ADOLESCENTES HOMBRES")</f>
        <v>ADOLESCENTES HOMBRES</v>
      </c>
    </row>
    <row r="438" spans="1:13">
      <c r="A438" s="42" t="str">
        <f ca="1">IFERROR(__xludf.DUMMYFUNCTION("""COMPUTED_VALUE"""),"2.1.1.6")</f>
        <v>2.1.1.6</v>
      </c>
      <c r="B438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38" s="42" t="str">
        <f ca="1">IFERROR(__xludf.DUMMYFUNCTION("""COMPUTED_VALUE"""),"3. Operación")</f>
        <v>3. Operación</v>
      </c>
      <c r="D438" s="42" t="str">
        <f ca="1">IFERROR(__xludf.DUMMYFUNCTION("""COMPUTED_VALUE"""),"Guadalajara en Paz")</f>
        <v>Guadalajara en Paz</v>
      </c>
      <c r="E438" s="42" t="str">
        <f ca="1">IFERROR(__xludf.DUMMYFUNCTION("""COMPUTED_VALUE"""),"Asistencia Alimentaria y Nutrición")</f>
        <v>Asistencia Alimentaria y Nutrición</v>
      </c>
      <c r="F438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438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438" s="42" t="str">
        <f ca="1">IFERROR(__xludf.DUMMYFUNCTION("""COMPUTED_VALUE"""),"MUJ Febrero")</f>
        <v>MUJ Febrero</v>
      </c>
      <c r="I438" s="42" t="str">
        <f ca="1">IFERROR(__xludf.DUMMYFUNCTION("""COMPUTED_VALUE"""),"Febrero")</f>
        <v>Febrero</v>
      </c>
      <c r="J438" s="42" t="str">
        <f ca="1">IFERROR(__xludf.DUMMYFUNCTION("""COMPUTED_VALUE"""),"MUJ")</f>
        <v>MUJ</v>
      </c>
      <c r="K438" s="98">
        <f ca="1">IFERROR(__xludf.DUMMYFUNCTION("""COMPUTED_VALUE"""),0)</f>
        <v>0</v>
      </c>
      <c r="L438" s="42" t="str">
        <f ca="1">IFERROR(__xludf.DUMMYFUNCTION("""COMPUTED_VALUE"""),"TRIMESTRE 1")</f>
        <v>TRIMESTRE 1</v>
      </c>
      <c r="M438" s="42" t="str">
        <f ca="1">IFERROR(__xludf.DUMMYFUNCTION("""COMPUTED_VALUE"""),"MUJERES ADULTAS")</f>
        <v>MUJERES ADULTAS</v>
      </c>
    </row>
    <row r="439" spans="1:13">
      <c r="A439" s="42" t="str">
        <f ca="1">IFERROR(__xludf.DUMMYFUNCTION("""COMPUTED_VALUE"""),"2.1.1.6")</f>
        <v>2.1.1.6</v>
      </c>
      <c r="B439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39" s="42" t="str">
        <f ca="1">IFERROR(__xludf.DUMMYFUNCTION("""COMPUTED_VALUE"""),"3. Operación")</f>
        <v>3. Operación</v>
      </c>
      <c r="D439" s="42" t="str">
        <f ca="1">IFERROR(__xludf.DUMMYFUNCTION("""COMPUTED_VALUE"""),"Guadalajara en Paz")</f>
        <v>Guadalajara en Paz</v>
      </c>
      <c r="E439" s="42" t="str">
        <f ca="1">IFERROR(__xludf.DUMMYFUNCTION("""COMPUTED_VALUE"""),"Asistencia Alimentaria y Nutrición")</f>
        <v>Asistencia Alimentaria y Nutrición</v>
      </c>
      <c r="F439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439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439" s="42" t="str">
        <f ca="1">IFERROR(__xludf.DUMMYFUNCTION("""COMPUTED_VALUE"""),"HOM Febrero")</f>
        <v>HOM Febrero</v>
      </c>
      <c r="I439" s="42" t="str">
        <f ca="1">IFERROR(__xludf.DUMMYFUNCTION("""COMPUTED_VALUE"""),"Febrero")</f>
        <v>Febrero</v>
      </c>
      <c r="J439" s="42" t="str">
        <f ca="1">IFERROR(__xludf.DUMMYFUNCTION("""COMPUTED_VALUE"""),"HOM")</f>
        <v>HOM</v>
      </c>
      <c r="K439" s="98">
        <f ca="1">IFERROR(__xludf.DUMMYFUNCTION("""COMPUTED_VALUE"""),0)</f>
        <v>0</v>
      </c>
      <c r="L439" s="42" t="str">
        <f ca="1">IFERROR(__xludf.DUMMYFUNCTION("""COMPUTED_VALUE"""),"TRIMESTRE 1")</f>
        <v>TRIMESTRE 1</v>
      </c>
      <c r="M439" s="42" t="str">
        <f ca="1">IFERROR(__xludf.DUMMYFUNCTION("""COMPUTED_VALUE"""),"HOMBRES ADULTOS")</f>
        <v>HOMBRES ADULTOS</v>
      </c>
    </row>
    <row r="440" spans="1:13">
      <c r="A440" s="42" t="str">
        <f ca="1">IFERROR(__xludf.DUMMYFUNCTION("""COMPUTED_VALUE"""),"2.1.1.6")</f>
        <v>2.1.1.6</v>
      </c>
      <c r="B440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40" s="42" t="str">
        <f ca="1">IFERROR(__xludf.DUMMYFUNCTION("""COMPUTED_VALUE"""),"3. Operación")</f>
        <v>3. Operación</v>
      </c>
      <c r="D440" s="42" t="str">
        <f ca="1">IFERROR(__xludf.DUMMYFUNCTION("""COMPUTED_VALUE"""),"Guadalajara en Paz")</f>
        <v>Guadalajara en Paz</v>
      </c>
      <c r="E440" s="42" t="str">
        <f ca="1">IFERROR(__xludf.DUMMYFUNCTION("""COMPUTED_VALUE"""),"Asistencia Alimentaria y Nutrición")</f>
        <v>Asistencia Alimentaria y Nutrición</v>
      </c>
      <c r="F440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440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440" s="42" t="str">
        <f ca="1">IFERROR(__xludf.DUMMYFUNCTION("""COMPUTED_VALUE"""),"AMM Febrero")</f>
        <v>AMM Febrero</v>
      </c>
      <c r="I440" s="42" t="str">
        <f ca="1">IFERROR(__xludf.DUMMYFUNCTION("""COMPUTED_VALUE"""),"Febrero")</f>
        <v>Febrero</v>
      </c>
      <c r="J440" s="42" t="str">
        <f ca="1">IFERROR(__xludf.DUMMYFUNCTION("""COMPUTED_VALUE"""),"AMM")</f>
        <v>AMM</v>
      </c>
      <c r="K440" s="98">
        <f ca="1">IFERROR(__xludf.DUMMYFUNCTION("""COMPUTED_VALUE"""),0)</f>
        <v>0</v>
      </c>
      <c r="L440" s="42" t="str">
        <f ca="1">IFERROR(__xludf.DUMMYFUNCTION("""COMPUTED_VALUE"""),"TRIMESTRE 1")</f>
        <v>TRIMESTRE 1</v>
      </c>
      <c r="M440" s="42" t="str">
        <f ca="1">IFERROR(__xludf.DUMMYFUNCTION("""COMPUTED_VALUE"""),"ADULTA MAYOR MUJER")</f>
        <v>ADULTA MAYOR MUJER</v>
      </c>
    </row>
    <row r="441" spans="1:13">
      <c r="A441" s="42" t="str">
        <f ca="1">IFERROR(__xludf.DUMMYFUNCTION("""COMPUTED_VALUE"""),"2.1.1.6")</f>
        <v>2.1.1.6</v>
      </c>
      <c r="B441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41" s="42" t="str">
        <f ca="1">IFERROR(__xludf.DUMMYFUNCTION("""COMPUTED_VALUE"""),"3. Operación")</f>
        <v>3. Operación</v>
      </c>
      <c r="D441" s="42" t="str">
        <f ca="1">IFERROR(__xludf.DUMMYFUNCTION("""COMPUTED_VALUE"""),"Guadalajara en Paz")</f>
        <v>Guadalajara en Paz</v>
      </c>
      <c r="E441" s="42" t="str">
        <f ca="1">IFERROR(__xludf.DUMMYFUNCTION("""COMPUTED_VALUE"""),"Asistencia Alimentaria y Nutrición")</f>
        <v>Asistencia Alimentaria y Nutrición</v>
      </c>
      <c r="F441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441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441" s="42" t="str">
        <f ca="1">IFERROR(__xludf.DUMMYFUNCTION("""COMPUTED_VALUE"""),"AMH Febrero")</f>
        <v>AMH Febrero</v>
      </c>
      <c r="I441" s="42" t="str">
        <f ca="1">IFERROR(__xludf.DUMMYFUNCTION("""COMPUTED_VALUE"""),"Febrero")</f>
        <v>Febrero</v>
      </c>
      <c r="J441" s="42" t="str">
        <f ca="1">IFERROR(__xludf.DUMMYFUNCTION("""COMPUTED_VALUE"""),"AMH")</f>
        <v>AMH</v>
      </c>
      <c r="K441" s="98">
        <f ca="1">IFERROR(__xludf.DUMMYFUNCTION("""COMPUTED_VALUE"""),0)</f>
        <v>0</v>
      </c>
      <c r="L441" s="42" t="str">
        <f ca="1">IFERROR(__xludf.DUMMYFUNCTION("""COMPUTED_VALUE"""),"TRIMESTRE 1")</f>
        <v>TRIMESTRE 1</v>
      </c>
      <c r="M441" s="42" t="str">
        <f ca="1">IFERROR(__xludf.DUMMYFUNCTION("""COMPUTED_VALUE"""),"ADULTO MAYOR HOMBRE")</f>
        <v>ADULTO MAYOR HOMBRE</v>
      </c>
    </row>
    <row r="442" spans="1:13">
      <c r="A442" s="42" t="str">
        <f ca="1">IFERROR(__xludf.DUMMYFUNCTION("""COMPUTED_VALUE"""),"2.1.1.7")</f>
        <v>2.1.1.7</v>
      </c>
      <c r="B442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42" s="42" t="str">
        <f ca="1">IFERROR(__xludf.DUMMYFUNCTION("""COMPUTED_VALUE"""),"3. Operación")</f>
        <v>3. Operación</v>
      </c>
      <c r="D442" s="42" t="str">
        <f ca="1">IFERROR(__xludf.DUMMYFUNCTION("""COMPUTED_VALUE"""),"Guadalajara en Paz")</f>
        <v>Guadalajara en Paz</v>
      </c>
      <c r="E442" s="42" t="str">
        <f ca="1">IFERROR(__xludf.DUMMYFUNCTION("""COMPUTED_VALUE"""),"Asistencia Alimentaria y Nutrición")</f>
        <v>Asistencia Alimentaria y Nutrición</v>
      </c>
      <c r="F442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442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442" s="42" t="str">
        <f ca="1">IFERROR(__xludf.DUMMYFUNCTION("""COMPUTED_VALUE"""),"NAS Febrero")</f>
        <v>NAS Febrero</v>
      </c>
      <c r="I442" s="42" t="str">
        <f ca="1">IFERROR(__xludf.DUMMYFUNCTION("""COMPUTED_VALUE"""),"Febrero")</f>
        <v>Febrero</v>
      </c>
      <c r="J442" s="42" t="str">
        <f ca="1">IFERROR(__xludf.DUMMYFUNCTION("""COMPUTED_VALUE"""),"NAS")</f>
        <v>NAS</v>
      </c>
      <c r="K442" s="98">
        <f ca="1">IFERROR(__xludf.DUMMYFUNCTION("""COMPUTED_VALUE"""),0)</f>
        <v>0</v>
      </c>
      <c r="L442" s="42" t="str">
        <f ca="1">IFERROR(__xludf.DUMMYFUNCTION("""COMPUTED_VALUE"""),"TRIMESTRE 1")</f>
        <v>TRIMESTRE 1</v>
      </c>
      <c r="M442" s="42" t="str">
        <f ca="1">IFERROR(__xludf.DUMMYFUNCTION("""COMPUTED_VALUE"""),"NIÑAS")</f>
        <v>NIÑAS</v>
      </c>
    </row>
    <row r="443" spans="1:13">
      <c r="A443" s="42" t="str">
        <f ca="1">IFERROR(__xludf.DUMMYFUNCTION("""COMPUTED_VALUE"""),"2.1.1.7")</f>
        <v>2.1.1.7</v>
      </c>
      <c r="B443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43" s="42" t="str">
        <f ca="1">IFERROR(__xludf.DUMMYFUNCTION("""COMPUTED_VALUE"""),"3. Operación")</f>
        <v>3. Operación</v>
      </c>
      <c r="D443" s="42" t="str">
        <f ca="1">IFERROR(__xludf.DUMMYFUNCTION("""COMPUTED_VALUE"""),"Guadalajara en Paz")</f>
        <v>Guadalajara en Paz</v>
      </c>
      <c r="E443" s="42" t="str">
        <f ca="1">IFERROR(__xludf.DUMMYFUNCTION("""COMPUTED_VALUE"""),"Asistencia Alimentaria y Nutrición")</f>
        <v>Asistencia Alimentaria y Nutrición</v>
      </c>
      <c r="F443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443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443" s="42" t="str">
        <f ca="1">IFERROR(__xludf.DUMMYFUNCTION("""COMPUTED_VALUE"""),"NOS Febrero")</f>
        <v>NOS Febrero</v>
      </c>
      <c r="I443" s="42" t="str">
        <f ca="1">IFERROR(__xludf.DUMMYFUNCTION("""COMPUTED_VALUE"""),"Febrero")</f>
        <v>Febrero</v>
      </c>
      <c r="J443" s="42" t="str">
        <f ca="1">IFERROR(__xludf.DUMMYFUNCTION("""COMPUTED_VALUE"""),"NOS")</f>
        <v>NOS</v>
      </c>
      <c r="K443" s="98">
        <f ca="1">IFERROR(__xludf.DUMMYFUNCTION("""COMPUTED_VALUE"""),0)</f>
        <v>0</v>
      </c>
      <c r="L443" s="42" t="str">
        <f ca="1">IFERROR(__xludf.DUMMYFUNCTION("""COMPUTED_VALUE"""),"TRIMESTRE 1")</f>
        <v>TRIMESTRE 1</v>
      </c>
      <c r="M443" s="42" t="str">
        <f ca="1">IFERROR(__xludf.DUMMYFUNCTION("""COMPUTED_VALUE"""),"NIÑOS")</f>
        <v>NIÑOS</v>
      </c>
    </row>
    <row r="444" spans="1:13">
      <c r="A444" s="42" t="str">
        <f ca="1">IFERROR(__xludf.DUMMYFUNCTION("""COMPUTED_VALUE"""),"2.1.1.7")</f>
        <v>2.1.1.7</v>
      </c>
      <c r="B444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44" s="42" t="str">
        <f ca="1">IFERROR(__xludf.DUMMYFUNCTION("""COMPUTED_VALUE"""),"3. Operación")</f>
        <v>3. Operación</v>
      </c>
      <c r="D444" s="42" t="str">
        <f ca="1">IFERROR(__xludf.DUMMYFUNCTION("""COMPUTED_VALUE"""),"Guadalajara en Paz")</f>
        <v>Guadalajara en Paz</v>
      </c>
      <c r="E444" s="42" t="str">
        <f ca="1">IFERROR(__xludf.DUMMYFUNCTION("""COMPUTED_VALUE"""),"Asistencia Alimentaria y Nutrición")</f>
        <v>Asistencia Alimentaria y Nutrición</v>
      </c>
      <c r="F444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444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444" s="42" t="str">
        <f ca="1">IFERROR(__xludf.DUMMYFUNCTION("""COMPUTED_VALUE"""),"AM FEBRERo")</f>
        <v>AM FEBRERo</v>
      </c>
      <c r="I444" s="42" t="str">
        <f ca="1">IFERROR(__xludf.DUMMYFUNCTION("""COMPUTED_VALUE"""),"Febrero")</f>
        <v>Febrero</v>
      </c>
      <c r="J444" s="42" t="str">
        <f ca="1">IFERROR(__xludf.DUMMYFUNCTION("""COMPUTED_VALUE"""),"AM")</f>
        <v>AM</v>
      </c>
      <c r="K444" s="98">
        <f ca="1">IFERROR(__xludf.DUMMYFUNCTION("""COMPUTED_VALUE"""),0)</f>
        <v>0</v>
      </c>
      <c r="L444" s="42" t="str">
        <f ca="1">IFERROR(__xludf.DUMMYFUNCTION("""COMPUTED_VALUE"""),"TRIMESTRE 1")</f>
        <v>TRIMESTRE 1</v>
      </c>
      <c r="M444" s="42" t="str">
        <f ca="1">IFERROR(__xludf.DUMMYFUNCTION("""COMPUTED_VALUE"""),"ADOLESCENTES MUJERES")</f>
        <v>ADOLESCENTES MUJERES</v>
      </c>
    </row>
    <row r="445" spans="1:13">
      <c r="A445" s="42" t="str">
        <f ca="1">IFERROR(__xludf.DUMMYFUNCTION("""COMPUTED_VALUE"""),"2.1.1.7")</f>
        <v>2.1.1.7</v>
      </c>
      <c r="B445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45" s="42" t="str">
        <f ca="1">IFERROR(__xludf.DUMMYFUNCTION("""COMPUTED_VALUE"""),"3. Operación")</f>
        <v>3. Operación</v>
      </c>
      <c r="D445" s="42" t="str">
        <f ca="1">IFERROR(__xludf.DUMMYFUNCTION("""COMPUTED_VALUE"""),"Guadalajara en Paz")</f>
        <v>Guadalajara en Paz</v>
      </c>
      <c r="E445" s="42" t="str">
        <f ca="1">IFERROR(__xludf.DUMMYFUNCTION("""COMPUTED_VALUE"""),"Asistencia Alimentaria y Nutrición")</f>
        <v>Asistencia Alimentaria y Nutrición</v>
      </c>
      <c r="F445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445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445" s="42" t="str">
        <f ca="1">IFERROR(__xludf.DUMMYFUNCTION("""COMPUTED_VALUE"""),"AH FEBRERO")</f>
        <v>AH FEBRERO</v>
      </c>
      <c r="I445" s="42" t="str">
        <f ca="1">IFERROR(__xludf.DUMMYFUNCTION("""COMPUTED_VALUE"""),"Febrero")</f>
        <v>Febrero</v>
      </c>
      <c r="J445" s="42" t="str">
        <f ca="1">IFERROR(__xludf.DUMMYFUNCTION("""COMPUTED_VALUE"""),"AH")</f>
        <v>AH</v>
      </c>
      <c r="K445" s="98">
        <f ca="1">IFERROR(__xludf.DUMMYFUNCTION("""COMPUTED_VALUE"""),0)</f>
        <v>0</v>
      </c>
      <c r="L445" s="42" t="str">
        <f ca="1">IFERROR(__xludf.DUMMYFUNCTION("""COMPUTED_VALUE"""),"TRIMESTRE 1")</f>
        <v>TRIMESTRE 1</v>
      </c>
      <c r="M445" s="42" t="str">
        <f ca="1">IFERROR(__xludf.DUMMYFUNCTION("""COMPUTED_VALUE"""),"ADOLESCENTES HOMBRES")</f>
        <v>ADOLESCENTES HOMBRES</v>
      </c>
    </row>
    <row r="446" spans="1:13">
      <c r="A446" s="42" t="str">
        <f ca="1">IFERROR(__xludf.DUMMYFUNCTION("""COMPUTED_VALUE"""),"2.1.1.7")</f>
        <v>2.1.1.7</v>
      </c>
      <c r="B446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46" s="42" t="str">
        <f ca="1">IFERROR(__xludf.DUMMYFUNCTION("""COMPUTED_VALUE"""),"3. Operación")</f>
        <v>3. Operación</v>
      </c>
      <c r="D446" s="42" t="str">
        <f ca="1">IFERROR(__xludf.DUMMYFUNCTION("""COMPUTED_VALUE"""),"Guadalajara en Paz")</f>
        <v>Guadalajara en Paz</v>
      </c>
      <c r="E446" s="42" t="str">
        <f ca="1">IFERROR(__xludf.DUMMYFUNCTION("""COMPUTED_VALUE"""),"Asistencia Alimentaria y Nutrición")</f>
        <v>Asistencia Alimentaria y Nutrición</v>
      </c>
      <c r="F446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446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446" s="42" t="str">
        <f ca="1">IFERROR(__xludf.DUMMYFUNCTION("""COMPUTED_VALUE"""),"MUJ Febrero")</f>
        <v>MUJ Febrero</v>
      </c>
      <c r="I446" s="42" t="str">
        <f ca="1">IFERROR(__xludf.DUMMYFUNCTION("""COMPUTED_VALUE"""),"Febrero")</f>
        <v>Febrero</v>
      </c>
      <c r="J446" s="42" t="str">
        <f ca="1">IFERROR(__xludf.DUMMYFUNCTION("""COMPUTED_VALUE"""),"MUJ")</f>
        <v>MUJ</v>
      </c>
      <c r="K446" s="98">
        <f ca="1">IFERROR(__xludf.DUMMYFUNCTION("""COMPUTED_VALUE"""),0)</f>
        <v>0</v>
      </c>
      <c r="L446" s="42" t="str">
        <f ca="1">IFERROR(__xludf.DUMMYFUNCTION("""COMPUTED_VALUE"""),"TRIMESTRE 1")</f>
        <v>TRIMESTRE 1</v>
      </c>
      <c r="M446" s="42" t="str">
        <f ca="1">IFERROR(__xludf.DUMMYFUNCTION("""COMPUTED_VALUE"""),"MUJERES ADULTAS")</f>
        <v>MUJERES ADULTAS</v>
      </c>
    </row>
    <row r="447" spans="1:13">
      <c r="A447" s="42" t="str">
        <f ca="1">IFERROR(__xludf.DUMMYFUNCTION("""COMPUTED_VALUE"""),"2.1.1.7")</f>
        <v>2.1.1.7</v>
      </c>
      <c r="B447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47" s="42" t="str">
        <f ca="1">IFERROR(__xludf.DUMMYFUNCTION("""COMPUTED_VALUE"""),"3. Operación")</f>
        <v>3. Operación</v>
      </c>
      <c r="D447" s="42" t="str">
        <f ca="1">IFERROR(__xludf.DUMMYFUNCTION("""COMPUTED_VALUE"""),"Guadalajara en Paz")</f>
        <v>Guadalajara en Paz</v>
      </c>
      <c r="E447" s="42" t="str">
        <f ca="1">IFERROR(__xludf.DUMMYFUNCTION("""COMPUTED_VALUE"""),"Asistencia Alimentaria y Nutrición")</f>
        <v>Asistencia Alimentaria y Nutrición</v>
      </c>
      <c r="F447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447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447" s="42" t="str">
        <f ca="1">IFERROR(__xludf.DUMMYFUNCTION("""COMPUTED_VALUE"""),"HOM Febrero")</f>
        <v>HOM Febrero</v>
      </c>
      <c r="I447" s="42" t="str">
        <f ca="1">IFERROR(__xludf.DUMMYFUNCTION("""COMPUTED_VALUE"""),"Febrero")</f>
        <v>Febrero</v>
      </c>
      <c r="J447" s="42" t="str">
        <f ca="1">IFERROR(__xludf.DUMMYFUNCTION("""COMPUTED_VALUE"""),"HOM")</f>
        <v>HOM</v>
      </c>
      <c r="K447" s="98">
        <f ca="1">IFERROR(__xludf.DUMMYFUNCTION("""COMPUTED_VALUE"""),0)</f>
        <v>0</v>
      </c>
      <c r="L447" s="42" t="str">
        <f ca="1">IFERROR(__xludf.DUMMYFUNCTION("""COMPUTED_VALUE"""),"TRIMESTRE 1")</f>
        <v>TRIMESTRE 1</v>
      </c>
      <c r="M447" s="42" t="str">
        <f ca="1">IFERROR(__xludf.DUMMYFUNCTION("""COMPUTED_VALUE"""),"HOMBRES ADULTOS")</f>
        <v>HOMBRES ADULTOS</v>
      </c>
    </row>
    <row r="448" spans="1:13">
      <c r="A448" s="42" t="str">
        <f ca="1">IFERROR(__xludf.DUMMYFUNCTION("""COMPUTED_VALUE"""),"2.1.1.7")</f>
        <v>2.1.1.7</v>
      </c>
      <c r="B448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48" s="42" t="str">
        <f ca="1">IFERROR(__xludf.DUMMYFUNCTION("""COMPUTED_VALUE"""),"3. Operación")</f>
        <v>3. Operación</v>
      </c>
      <c r="D448" s="42" t="str">
        <f ca="1">IFERROR(__xludf.DUMMYFUNCTION("""COMPUTED_VALUE"""),"Guadalajara en Paz")</f>
        <v>Guadalajara en Paz</v>
      </c>
      <c r="E448" s="42" t="str">
        <f ca="1">IFERROR(__xludf.DUMMYFUNCTION("""COMPUTED_VALUE"""),"Asistencia Alimentaria y Nutrición")</f>
        <v>Asistencia Alimentaria y Nutrición</v>
      </c>
      <c r="F448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448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448" s="42" t="str">
        <f ca="1">IFERROR(__xludf.DUMMYFUNCTION("""COMPUTED_VALUE"""),"AMM Febrero")</f>
        <v>AMM Febrero</v>
      </c>
      <c r="I448" s="42" t="str">
        <f ca="1">IFERROR(__xludf.DUMMYFUNCTION("""COMPUTED_VALUE"""),"Febrero")</f>
        <v>Febrero</v>
      </c>
      <c r="J448" s="42" t="str">
        <f ca="1">IFERROR(__xludf.DUMMYFUNCTION("""COMPUTED_VALUE"""),"AMM")</f>
        <v>AMM</v>
      </c>
      <c r="K448" s="98">
        <f ca="1">IFERROR(__xludf.DUMMYFUNCTION("""COMPUTED_VALUE"""),0)</f>
        <v>0</v>
      </c>
      <c r="L448" s="42" t="str">
        <f ca="1">IFERROR(__xludf.DUMMYFUNCTION("""COMPUTED_VALUE"""),"TRIMESTRE 1")</f>
        <v>TRIMESTRE 1</v>
      </c>
      <c r="M448" s="42" t="str">
        <f ca="1">IFERROR(__xludf.DUMMYFUNCTION("""COMPUTED_VALUE"""),"ADULTA MAYOR MUJER")</f>
        <v>ADULTA MAYOR MUJER</v>
      </c>
    </row>
    <row r="449" spans="1:13">
      <c r="A449" s="42" t="str">
        <f ca="1">IFERROR(__xludf.DUMMYFUNCTION("""COMPUTED_VALUE"""),"2.1.1.7")</f>
        <v>2.1.1.7</v>
      </c>
      <c r="B449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49" s="42" t="str">
        <f ca="1">IFERROR(__xludf.DUMMYFUNCTION("""COMPUTED_VALUE"""),"3. Operación")</f>
        <v>3. Operación</v>
      </c>
      <c r="D449" s="42" t="str">
        <f ca="1">IFERROR(__xludf.DUMMYFUNCTION("""COMPUTED_VALUE"""),"Guadalajara en Paz")</f>
        <v>Guadalajara en Paz</v>
      </c>
      <c r="E449" s="42" t="str">
        <f ca="1">IFERROR(__xludf.DUMMYFUNCTION("""COMPUTED_VALUE"""),"Asistencia Alimentaria y Nutrición")</f>
        <v>Asistencia Alimentaria y Nutrición</v>
      </c>
      <c r="F449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449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449" s="42" t="str">
        <f ca="1">IFERROR(__xludf.DUMMYFUNCTION("""COMPUTED_VALUE"""),"AMH Febrero")</f>
        <v>AMH Febrero</v>
      </c>
      <c r="I449" s="42" t="str">
        <f ca="1">IFERROR(__xludf.DUMMYFUNCTION("""COMPUTED_VALUE"""),"Febrero")</f>
        <v>Febrero</v>
      </c>
      <c r="J449" s="42" t="str">
        <f ca="1">IFERROR(__xludf.DUMMYFUNCTION("""COMPUTED_VALUE"""),"AMH")</f>
        <v>AMH</v>
      </c>
      <c r="K449" s="98">
        <f ca="1">IFERROR(__xludf.DUMMYFUNCTION("""COMPUTED_VALUE"""),0)</f>
        <v>0</v>
      </c>
      <c r="L449" s="42" t="str">
        <f ca="1">IFERROR(__xludf.DUMMYFUNCTION("""COMPUTED_VALUE"""),"TRIMESTRE 1")</f>
        <v>TRIMESTRE 1</v>
      </c>
      <c r="M449" s="42" t="str">
        <f ca="1">IFERROR(__xludf.DUMMYFUNCTION("""COMPUTED_VALUE"""),"ADULTO MAYOR HOMBRE")</f>
        <v>ADULTO MAYOR HOMBRE</v>
      </c>
    </row>
    <row r="450" spans="1:13">
      <c r="A450" s="42" t="str">
        <f ca="1">IFERROR(__xludf.DUMMYFUNCTION("""COMPUTED_VALUE"""),"2.1.1.4")</f>
        <v>2.1.1.4</v>
      </c>
      <c r="B450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50" s="42" t="str">
        <f ca="1">IFERROR(__xludf.DUMMYFUNCTION("""COMPUTED_VALUE"""),"3. Operación")</f>
        <v>3. Operación</v>
      </c>
      <c r="D450" s="42" t="str">
        <f ca="1">IFERROR(__xludf.DUMMYFUNCTION("""COMPUTED_VALUE"""),"Guadalajara en Paz")</f>
        <v>Guadalajara en Paz</v>
      </c>
      <c r="E450" s="42" t="str">
        <f ca="1">IFERROR(__xludf.DUMMYFUNCTION("""COMPUTED_VALUE"""),"Asistencia Alimentaria y Nutrición")</f>
        <v>Asistencia Alimentaria y Nutrición</v>
      </c>
      <c r="F450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450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450" s="42" t="str">
        <f ca="1">IFERROR(__xludf.DUMMYFUNCTION("""COMPUTED_VALUE"""),"NAS Marzo")</f>
        <v>NAS Marzo</v>
      </c>
      <c r="I450" s="42" t="str">
        <f ca="1">IFERROR(__xludf.DUMMYFUNCTION("""COMPUTED_VALUE"""),"Marzo")</f>
        <v>Marzo</v>
      </c>
      <c r="J450" s="42" t="str">
        <f ca="1">IFERROR(__xludf.DUMMYFUNCTION("""COMPUTED_VALUE"""),"NAS")</f>
        <v>NAS</v>
      </c>
      <c r="K450" s="98">
        <f ca="1">IFERROR(__xludf.DUMMYFUNCTION("""COMPUTED_VALUE"""),197)</f>
        <v>197</v>
      </c>
      <c r="L450" s="42" t="str">
        <f ca="1">IFERROR(__xludf.DUMMYFUNCTION("""COMPUTED_VALUE"""),"TRIMESTRE 1")</f>
        <v>TRIMESTRE 1</v>
      </c>
      <c r="M450" s="42" t="str">
        <f ca="1">IFERROR(__xludf.DUMMYFUNCTION("""COMPUTED_VALUE"""),"NIÑAS")</f>
        <v>NIÑAS</v>
      </c>
    </row>
    <row r="451" spans="1:13">
      <c r="A451" s="42" t="str">
        <f ca="1">IFERROR(__xludf.DUMMYFUNCTION("""COMPUTED_VALUE"""),"2.1.1.4")</f>
        <v>2.1.1.4</v>
      </c>
      <c r="B451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51" s="42" t="str">
        <f ca="1">IFERROR(__xludf.DUMMYFUNCTION("""COMPUTED_VALUE"""),"3. Operación")</f>
        <v>3. Operación</v>
      </c>
      <c r="D451" s="42" t="str">
        <f ca="1">IFERROR(__xludf.DUMMYFUNCTION("""COMPUTED_VALUE"""),"Guadalajara en Paz")</f>
        <v>Guadalajara en Paz</v>
      </c>
      <c r="E451" s="42" t="str">
        <f ca="1">IFERROR(__xludf.DUMMYFUNCTION("""COMPUTED_VALUE"""),"Asistencia Alimentaria y Nutrición")</f>
        <v>Asistencia Alimentaria y Nutrición</v>
      </c>
      <c r="F451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451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451" s="42" t="str">
        <f ca="1">IFERROR(__xludf.DUMMYFUNCTION("""COMPUTED_VALUE"""),"NOS Marzo")</f>
        <v>NOS Marzo</v>
      </c>
      <c r="I451" s="42" t="str">
        <f ca="1">IFERROR(__xludf.DUMMYFUNCTION("""COMPUTED_VALUE"""),"Marzo")</f>
        <v>Marzo</v>
      </c>
      <c r="J451" s="42" t="str">
        <f ca="1">IFERROR(__xludf.DUMMYFUNCTION("""COMPUTED_VALUE"""),"NOS")</f>
        <v>NOS</v>
      </c>
      <c r="K451" s="98">
        <f ca="1">IFERROR(__xludf.DUMMYFUNCTION("""COMPUTED_VALUE"""),216)</f>
        <v>216</v>
      </c>
      <c r="L451" s="42" t="str">
        <f ca="1">IFERROR(__xludf.DUMMYFUNCTION("""COMPUTED_VALUE"""),"TRIMESTRE 1")</f>
        <v>TRIMESTRE 1</v>
      </c>
      <c r="M451" s="42" t="str">
        <f ca="1">IFERROR(__xludf.DUMMYFUNCTION("""COMPUTED_VALUE"""),"NIÑOS")</f>
        <v>NIÑOS</v>
      </c>
    </row>
    <row r="452" spans="1:13">
      <c r="A452" s="42" t="str">
        <f ca="1">IFERROR(__xludf.DUMMYFUNCTION("""COMPUTED_VALUE"""),"2.1.1.4")</f>
        <v>2.1.1.4</v>
      </c>
      <c r="B452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52" s="42" t="str">
        <f ca="1">IFERROR(__xludf.DUMMYFUNCTION("""COMPUTED_VALUE"""),"3. Operación")</f>
        <v>3. Operación</v>
      </c>
      <c r="D452" s="42" t="str">
        <f ca="1">IFERROR(__xludf.DUMMYFUNCTION("""COMPUTED_VALUE"""),"Guadalajara en Paz")</f>
        <v>Guadalajara en Paz</v>
      </c>
      <c r="E452" s="42" t="str">
        <f ca="1">IFERROR(__xludf.DUMMYFUNCTION("""COMPUTED_VALUE"""),"Asistencia Alimentaria y Nutrición")</f>
        <v>Asistencia Alimentaria y Nutrición</v>
      </c>
      <c r="F452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452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452" s="42" t="str">
        <f ca="1">IFERROR(__xludf.DUMMYFUNCTION("""COMPUTED_VALUE"""),"AM MARZO")</f>
        <v>AM MARZO</v>
      </c>
      <c r="I452" s="42" t="str">
        <f ca="1">IFERROR(__xludf.DUMMYFUNCTION("""COMPUTED_VALUE"""),"Marzo")</f>
        <v>Marzo</v>
      </c>
      <c r="J452" s="42" t="str">
        <f ca="1">IFERROR(__xludf.DUMMYFUNCTION("""COMPUTED_VALUE"""),"AM")</f>
        <v>AM</v>
      </c>
      <c r="K452" s="98">
        <f ca="1">IFERROR(__xludf.DUMMYFUNCTION("""COMPUTED_VALUE"""),7)</f>
        <v>7</v>
      </c>
      <c r="L452" s="42" t="str">
        <f ca="1">IFERROR(__xludf.DUMMYFUNCTION("""COMPUTED_VALUE"""),"TRIMESTRE 1")</f>
        <v>TRIMESTRE 1</v>
      </c>
      <c r="M452" s="42" t="str">
        <f ca="1">IFERROR(__xludf.DUMMYFUNCTION("""COMPUTED_VALUE"""),"ADOLESCENTES MUJERES")</f>
        <v>ADOLESCENTES MUJERES</v>
      </c>
    </row>
    <row r="453" spans="1:13">
      <c r="A453" s="42" t="str">
        <f ca="1">IFERROR(__xludf.DUMMYFUNCTION("""COMPUTED_VALUE"""),"2.1.1.4")</f>
        <v>2.1.1.4</v>
      </c>
      <c r="B453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53" s="42" t="str">
        <f ca="1">IFERROR(__xludf.DUMMYFUNCTION("""COMPUTED_VALUE"""),"3. Operación")</f>
        <v>3. Operación</v>
      </c>
      <c r="D453" s="42" t="str">
        <f ca="1">IFERROR(__xludf.DUMMYFUNCTION("""COMPUTED_VALUE"""),"Guadalajara en Paz")</f>
        <v>Guadalajara en Paz</v>
      </c>
      <c r="E453" s="42" t="str">
        <f ca="1">IFERROR(__xludf.DUMMYFUNCTION("""COMPUTED_VALUE"""),"Asistencia Alimentaria y Nutrición")</f>
        <v>Asistencia Alimentaria y Nutrición</v>
      </c>
      <c r="F453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453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453" s="42" t="str">
        <f ca="1">IFERROR(__xludf.DUMMYFUNCTION("""COMPUTED_VALUE"""),"AH MARZO")</f>
        <v>AH MARZO</v>
      </c>
      <c r="I453" s="42" t="str">
        <f ca="1">IFERROR(__xludf.DUMMYFUNCTION("""COMPUTED_VALUE"""),"Marzo")</f>
        <v>Marzo</v>
      </c>
      <c r="J453" s="42" t="str">
        <f ca="1">IFERROR(__xludf.DUMMYFUNCTION("""COMPUTED_VALUE"""),"AH")</f>
        <v>AH</v>
      </c>
      <c r="K453" s="98">
        <f ca="1">IFERROR(__xludf.DUMMYFUNCTION("""COMPUTED_VALUE"""),11)</f>
        <v>11</v>
      </c>
      <c r="L453" s="42" t="str">
        <f ca="1">IFERROR(__xludf.DUMMYFUNCTION("""COMPUTED_VALUE"""),"TRIMESTRE 1")</f>
        <v>TRIMESTRE 1</v>
      </c>
      <c r="M453" s="42" t="str">
        <f ca="1">IFERROR(__xludf.DUMMYFUNCTION("""COMPUTED_VALUE"""),"ADOLESCENTES HOMBRES")</f>
        <v>ADOLESCENTES HOMBRES</v>
      </c>
    </row>
    <row r="454" spans="1:13">
      <c r="A454" s="42" t="str">
        <f ca="1">IFERROR(__xludf.DUMMYFUNCTION("""COMPUTED_VALUE"""),"2.1.1.4")</f>
        <v>2.1.1.4</v>
      </c>
      <c r="B454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54" s="42" t="str">
        <f ca="1">IFERROR(__xludf.DUMMYFUNCTION("""COMPUTED_VALUE"""),"3. Operación")</f>
        <v>3. Operación</v>
      </c>
      <c r="D454" s="42" t="str">
        <f ca="1">IFERROR(__xludf.DUMMYFUNCTION("""COMPUTED_VALUE"""),"Guadalajara en Paz")</f>
        <v>Guadalajara en Paz</v>
      </c>
      <c r="E454" s="42" t="str">
        <f ca="1">IFERROR(__xludf.DUMMYFUNCTION("""COMPUTED_VALUE"""),"Asistencia Alimentaria y Nutrición")</f>
        <v>Asistencia Alimentaria y Nutrición</v>
      </c>
      <c r="F454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454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454" s="42" t="str">
        <f ca="1">IFERROR(__xludf.DUMMYFUNCTION("""COMPUTED_VALUE"""),"MUJ Marzo")</f>
        <v>MUJ Marzo</v>
      </c>
      <c r="I454" s="42" t="str">
        <f ca="1">IFERROR(__xludf.DUMMYFUNCTION("""COMPUTED_VALUE"""),"Marzo")</f>
        <v>Marzo</v>
      </c>
      <c r="J454" s="42" t="str">
        <f ca="1">IFERROR(__xludf.DUMMYFUNCTION("""COMPUTED_VALUE"""),"MUJ")</f>
        <v>MUJ</v>
      </c>
      <c r="K454" s="98">
        <f ca="1">IFERROR(__xludf.DUMMYFUNCTION("""COMPUTED_VALUE"""),448)</f>
        <v>448</v>
      </c>
      <c r="L454" s="42" t="str">
        <f ca="1">IFERROR(__xludf.DUMMYFUNCTION("""COMPUTED_VALUE"""),"TRIMESTRE 1")</f>
        <v>TRIMESTRE 1</v>
      </c>
      <c r="M454" s="42" t="str">
        <f ca="1">IFERROR(__xludf.DUMMYFUNCTION("""COMPUTED_VALUE"""),"MUJERES ADULTAS")</f>
        <v>MUJERES ADULTAS</v>
      </c>
    </row>
    <row r="455" spans="1:13">
      <c r="A455" s="42" t="str">
        <f ca="1">IFERROR(__xludf.DUMMYFUNCTION("""COMPUTED_VALUE"""),"2.1.1.4")</f>
        <v>2.1.1.4</v>
      </c>
      <c r="B455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55" s="42" t="str">
        <f ca="1">IFERROR(__xludf.DUMMYFUNCTION("""COMPUTED_VALUE"""),"3. Operación")</f>
        <v>3. Operación</v>
      </c>
      <c r="D455" s="42" t="str">
        <f ca="1">IFERROR(__xludf.DUMMYFUNCTION("""COMPUTED_VALUE"""),"Guadalajara en Paz")</f>
        <v>Guadalajara en Paz</v>
      </c>
      <c r="E455" s="42" t="str">
        <f ca="1">IFERROR(__xludf.DUMMYFUNCTION("""COMPUTED_VALUE"""),"Asistencia Alimentaria y Nutrición")</f>
        <v>Asistencia Alimentaria y Nutrición</v>
      </c>
      <c r="F455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455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455" s="42" t="str">
        <f ca="1">IFERROR(__xludf.DUMMYFUNCTION("""COMPUTED_VALUE"""),"HOM Marzo")</f>
        <v>HOM Marzo</v>
      </c>
      <c r="I455" s="42" t="str">
        <f ca="1">IFERROR(__xludf.DUMMYFUNCTION("""COMPUTED_VALUE"""),"Marzo")</f>
        <v>Marzo</v>
      </c>
      <c r="J455" s="42" t="str">
        <f ca="1">IFERROR(__xludf.DUMMYFUNCTION("""COMPUTED_VALUE"""),"HOM")</f>
        <v>HOM</v>
      </c>
      <c r="K455" s="98">
        <f ca="1">IFERROR(__xludf.DUMMYFUNCTION("""COMPUTED_VALUE"""),91)</f>
        <v>91</v>
      </c>
      <c r="L455" s="42" t="str">
        <f ca="1">IFERROR(__xludf.DUMMYFUNCTION("""COMPUTED_VALUE"""),"TRIMESTRE 1")</f>
        <v>TRIMESTRE 1</v>
      </c>
      <c r="M455" s="42" t="str">
        <f ca="1">IFERROR(__xludf.DUMMYFUNCTION("""COMPUTED_VALUE"""),"HOMBRES ADULTOS")</f>
        <v>HOMBRES ADULTOS</v>
      </c>
    </row>
    <row r="456" spans="1:13">
      <c r="A456" s="42" t="str">
        <f ca="1">IFERROR(__xludf.DUMMYFUNCTION("""COMPUTED_VALUE"""),"2.1.1.4")</f>
        <v>2.1.1.4</v>
      </c>
      <c r="B456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56" s="42" t="str">
        <f ca="1">IFERROR(__xludf.DUMMYFUNCTION("""COMPUTED_VALUE"""),"3. Operación")</f>
        <v>3. Operación</v>
      </c>
      <c r="D456" s="42" t="str">
        <f ca="1">IFERROR(__xludf.DUMMYFUNCTION("""COMPUTED_VALUE"""),"Guadalajara en Paz")</f>
        <v>Guadalajara en Paz</v>
      </c>
      <c r="E456" s="42" t="str">
        <f ca="1">IFERROR(__xludf.DUMMYFUNCTION("""COMPUTED_VALUE"""),"Asistencia Alimentaria y Nutrición")</f>
        <v>Asistencia Alimentaria y Nutrición</v>
      </c>
      <c r="F456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456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456" s="42" t="str">
        <f ca="1">IFERROR(__xludf.DUMMYFUNCTION("""COMPUTED_VALUE"""),"AMM Marzo")</f>
        <v>AMM Marzo</v>
      </c>
      <c r="I456" s="42" t="str">
        <f ca="1">IFERROR(__xludf.DUMMYFUNCTION("""COMPUTED_VALUE"""),"Marzo")</f>
        <v>Marzo</v>
      </c>
      <c r="J456" s="42" t="str">
        <f ca="1">IFERROR(__xludf.DUMMYFUNCTION("""COMPUTED_VALUE"""),"AMM")</f>
        <v>AMM</v>
      </c>
      <c r="K456" s="98">
        <f ca="1">IFERROR(__xludf.DUMMYFUNCTION("""COMPUTED_VALUE"""),1238)</f>
        <v>1238</v>
      </c>
      <c r="L456" s="42" t="str">
        <f ca="1">IFERROR(__xludf.DUMMYFUNCTION("""COMPUTED_VALUE"""),"TRIMESTRE 1")</f>
        <v>TRIMESTRE 1</v>
      </c>
      <c r="M456" s="42" t="str">
        <f ca="1">IFERROR(__xludf.DUMMYFUNCTION("""COMPUTED_VALUE"""),"ADULTA MAYOR MUJER")</f>
        <v>ADULTA MAYOR MUJER</v>
      </c>
    </row>
    <row r="457" spans="1:13">
      <c r="A457" s="42" t="str">
        <f ca="1">IFERROR(__xludf.DUMMYFUNCTION("""COMPUTED_VALUE"""),"2.1.1.4")</f>
        <v>2.1.1.4</v>
      </c>
      <c r="B457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57" s="42" t="str">
        <f ca="1">IFERROR(__xludf.DUMMYFUNCTION("""COMPUTED_VALUE"""),"3. Operación")</f>
        <v>3. Operación</v>
      </c>
      <c r="D457" s="42" t="str">
        <f ca="1">IFERROR(__xludf.DUMMYFUNCTION("""COMPUTED_VALUE"""),"Guadalajara en Paz")</f>
        <v>Guadalajara en Paz</v>
      </c>
      <c r="E457" s="42" t="str">
        <f ca="1">IFERROR(__xludf.DUMMYFUNCTION("""COMPUTED_VALUE"""),"Asistencia Alimentaria y Nutrición")</f>
        <v>Asistencia Alimentaria y Nutrición</v>
      </c>
      <c r="F457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457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457" s="42" t="str">
        <f ca="1">IFERROR(__xludf.DUMMYFUNCTION("""COMPUTED_VALUE"""),"AMH Marzo")</f>
        <v>AMH Marzo</v>
      </c>
      <c r="I457" s="42" t="str">
        <f ca="1">IFERROR(__xludf.DUMMYFUNCTION("""COMPUTED_VALUE"""),"Marzo")</f>
        <v>Marzo</v>
      </c>
      <c r="J457" s="42" t="str">
        <f ca="1">IFERROR(__xludf.DUMMYFUNCTION("""COMPUTED_VALUE"""),"AMH")</f>
        <v>AMH</v>
      </c>
      <c r="K457" s="98">
        <f ca="1">IFERROR(__xludf.DUMMYFUNCTION("""COMPUTED_VALUE"""),318)</f>
        <v>318</v>
      </c>
      <c r="L457" s="42" t="str">
        <f ca="1">IFERROR(__xludf.DUMMYFUNCTION("""COMPUTED_VALUE"""),"TRIMESTRE 1")</f>
        <v>TRIMESTRE 1</v>
      </c>
      <c r="M457" s="42" t="str">
        <f ca="1">IFERROR(__xludf.DUMMYFUNCTION("""COMPUTED_VALUE"""),"ADULTO MAYOR HOMBRE")</f>
        <v>ADULTO MAYOR HOMBRE</v>
      </c>
    </row>
    <row r="458" spans="1:13">
      <c r="A458" s="42" t="str">
        <f ca="1">IFERROR(__xludf.DUMMYFUNCTION("""COMPUTED_VALUE"""),"2.1.1.5")</f>
        <v>2.1.1.5</v>
      </c>
      <c r="B458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58" s="42" t="str">
        <f ca="1">IFERROR(__xludf.DUMMYFUNCTION("""COMPUTED_VALUE"""),"3. Operación")</f>
        <v>3. Operación</v>
      </c>
      <c r="D458" s="42" t="str">
        <f ca="1">IFERROR(__xludf.DUMMYFUNCTION("""COMPUTED_VALUE"""),"Guadalajara en Paz")</f>
        <v>Guadalajara en Paz</v>
      </c>
      <c r="E458" s="42" t="str">
        <f ca="1">IFERROR(__xludf.DUMMYFUNCTION("""COMPUTED_VALUE"""),"Asistencia Alimentaria y Nutrición")</f>
        <v>Asistencia Alimentaria y Nutrición</v>
      </c>
      <c r="F458" s="42" t="str">
        <f ca="1">IFERROR(__xludf.DUMMYFUNCTION("""COMPUTED_VALUE"""),"A5C1. Apoyos del Programa de Alimentación Escolar entregados en 2023")</f>
        <v>A5C1. Apoyos del Programa de Alimentación Escolar entregados en 2023</v>
      </c>
      <c r="G458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458" s="42" t="str">
        <f ca="1">IFERROR(__xludf.DUMMYFUNCTION("""COMPUTED_VALUE"""),"NAS Marzo")</f>
        <v>NAS Marzo</v>
      </c>
      <c r="I458" s="42" t="str">
        <f ca="1">IFERROR(__xludf.DUMMYFUNCTION("""COMPUTED_VALUE"""),"Marzo")</f>
        <v>Marzo</v>
      </c>
      <c r="J458" s="42" t="str">
        <f ca="1">IFERROR(__xludf.DUMMYFUNCTION("""COMPUTED_VALUE"""),"NAS")</f>
        <v>NAS</v>
      </c>
      <c r="K458" s="98">
        <f ca="1">IFERROR(__xludf.DUMMYFUNCTION("""COMPUTED_VALUE"""),0)</f>
        <v>0</v>
      </c>
      <c r="L458" s="42" t="str">
        <f ca="1">IFERROR(__xludf.DUMMYFUNCTION("""COMPUTED_VALUE"""),"TRIMESTRE 1")</f>
        <v>TRIMESTRE 1</v>
      </c>
      <c r="M458" s="42" t="str">
        <f ca="1">IFERROR(__xludf.DUMMYFUNCTION("""COMPUTED_VALUE"""),"NIÑAS")</f>
        <v>NIÑAS</v>
      </c>
    </row>
    <row r="459" spans="1:13">
      <c r="A459" s="42" t="str">
        <f ca="1">IFERROR(__xludf.DUMMYFUNCTION("""COMPUTED_VALUE"""),"2.1.1.5")</f>
        <v>2.1.1.5</v>
      </c>
      <c r="B459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59" s="42" t="str">
        <f ca="1">IFERROR(__xludf.DUMMYFUNCTION("""COMPUTED_VALUE"""),"3. Operación")</f>
        <v>3. Operación</v>
      </c>
      <c r="D459" s="42" t="str">
        <f ca="1">IFERROR(__xludf.DUMMYFUNCTION("""COMPUTED_VALUE"""),"Guadalajara en Paz")</f>
        <v>Guadalajara en Paz</v>
      </c>
      <c r="E459" s="42" t="str">
        <f ca="1">IFERROR(__xludf.DUMMYFUNCTION("""COMPUTED_VALUE"""),"Asistencia Alimentaria y Nutrición")</f>
        <v>Asistencia Alimentaria y Nutrición</v>
      </c>
      <c r="F459" s="42" t="str">
        <f ca="1">IFERROR(__xludf.DUMMYFUNCTION("""COMPUTED_VALUE"""),"A5C1. Apoyos del Programa de Alimentación Escolar entregados en 2023")</f>
        <v>A5C1. Apoyos del Programa de Alimentación Escolar entregados en 2023</v>
      </c>
      <c r="G459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459" s="42" t="str">
        <f ca="1">IFERROR(__xludf.DUMMYFUNCTION("""COMPUTED_VALUE"""),"NOS Marzo")</f>
        <v>NOS Marzo</v>
      </c>
      <c r="I459" s="42" t="str">
        <f ca="1">IFERROR(__xludf.DUMMYFUNCTION("""COMPUTED_VALUE"""),"Marzo")</f>
        <v>Marzo</v>
      </c>
      <c r="J459" s="42" t="str">
        <f ca="1">IFERROR(__xludf.DUMMYFUNCTION("""COMPUTED_VALUE"""),"NOS")</f>
        <v>NOS</v>
      </c>
      <c r="K459" s="98">
        <f ca="1">IFERROR(__xludf.DUMMYFUNCTION("""COMPUTED_VALUE"""),0)</f>
        <v>0</v>
      </c>
      <c r="L459" s="42" t="str">
        <f ca="1">IFERROR(__xludf.DUMMYFUNCTION("""COMPUTED_VALUE"""),"TRIMESTRE 1")</f>
        <v>TRIMESTRE 1</v>
      </c>
      <c r="M459" s="42" t="str">
        <f ca="1">IFERROR(__xludf.DUMMYFUNCTION("""COMPUTED_VALUE"""),"NIÑOS")</f>
        <v>NIÑOS</v>
      </c>
    </row>
    <row r="460" spans="1:13">
      <c r="A460" s="42" t="str">
        <f ca="1">IFERROR(__xludf.DUMMYFUNCTION("""COMPUTED_VALUE"""),"2.1.1.5")</f>
        <v>2.1.1.5</v>
      </c>
      <c r="B460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60" s="42" t="str">
        <f ca="1">IFERROR(__xludf.DUMMYFUNCTION("""COMPUTED_VALUE"""),"3. Operación")</f>
        <v>3. Operación</v>
      </c>
      <c r="D460" s="42" t="str">
        <f ca="1">IFERROR(__xludf.DUMMYFUNCTION("""COMPUTED_VALUE"""),"Guadalajara en Paz")</f>
        <v>Guadalajara en Paz</v>
      </c>
      <c r="E460" s="42" t="str">
        <f ca="1">IFERROR(__xludf.DUMMYFUNCTION("""COMPUTED_VALUE"""),"Asistencia Alimentaria y Nutrición")</f>
        <v>Asistencia Alimentaria y Nutrición</v>
      </c>
      <c r="F460" s="42" t="str">
        <f ca="1">IFERROR(__xludf.DUMMYFUNCTION("""COMPUTED_VALUE"""),"A5C1. Apoyos del Programa de Alimentación Escolar entregados en 2023")</f>
        <v>A5C1. Apoyos del Programa de Alimentación Escolar entregados en 2023</v>
      </c>
      <c r="G460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460" s="42" t="str">
        <f ca="1">IFERROR(__xludf.DUMMYFUNCTION("""COMPUTED_VALUE"""),"AM MARZO")</f>
        <v>AM MARZO</v>
      </c>
      <c r="I460" s="42" t="str">
        <f ca="1">IFERROR(__xludf.DUMMYFUNCTION("""COMPUTED_VALUE"""),"Marzo")</f>
        <v>Marzo</v>
      </c>
      <c r="J460" s="42" t="str">
        <f ca="1">IFERROR(__xludf.DUMMYFUNCTION("""COMPUTED_VALUE"""),"AM")</f>
        <v>AM</v>
      </c>
      <c r="K460" s="98">
        <f ca="1">IFERROR(__xludf.DUMMYFUNCTION("""COMPUTED_VALUE"""),0)</f>
        <v>0</v>
      </c>
      <c r="L460" s="42" t="str">
        <f ca="1">IFERROR(__xludf.DUMMYFUNCTION("""COMPUTED_VALUE"""),"TRIMESTRE 1")</f>
        <v>TRIMESTRE 1</v>
      </c>
      <c r="M460" s="42" t="str">
        <f ca="1">IFERROR(__xludf.DUMMYFUNCTION("""COMPUTED_VALUE"""),"ADOLESCENTES MUJERES")</f>
        <v>ADOLESCENTES MUJERES</v>
      </c>
    </row>
    <row r="461" spans="1:13">
      <c r="A461" s="42" t="str">
        <f ca="1">IFERROR(__xludf.DUMMYFUNCTION("""COMPUTED_VALUE"""),"2.1.1.5")</f>
        <v>2.1.1.5</v>
      </c>
      <c r="B461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61" s="42" t="str">
        <f ca="1">IFERROR(__xludf.DUMMYFUNCTION("""COMPUTED_VALUE"""),"3. Operación")</f>
        <v>3. Operación</v>
      </c>
      <c r="D461" s="42" t="str">
        <f ca="1">IFERROR(__xludf.DUMMYFUNCTION("""COMPUTED_VALUE"""),"Guadalajara en Paz")</f>
        <v>Guadalajara en Paz</v>
      </c>
      <c r="E461" s="42" t="str">
        <f ca="1">IFERROR(__xludf.DUMMYFUNCTION("""COMPUTED_VALUE"""),"Asistencia Alimentaria y Nutrición")</f>
        <v>Asistencia Alimentaria y Nutrición</v>
      </c>
      <c r="F461" s="42" t="str">
        <f ca="1">IFERROR(__xludf.DUMMYFUNCTION("""COMPUTED_VALUE"""),"A5C1. Apoyos del Programa de Alimentación Escolar entregados en 2023")</f>
        <v>A5C1. Apoyos del Programa de Alimentación Escolar entregados en 2023</v>
      </c>
      <c r="G461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461" s="42" t="str">
        <f ca="1">IFERROR(__xludf.DUMMYFUNCTION("""COMPUTED_VALUE"""),"AH MARZO")</f>
        <v>AH MARZO</v>
      </c>
      <c r="I461" s="42" t="str">
        <f ca="1">IFERROR(__xludf.DUMMYFUNCTION("""COMPUTED_VALUE"""),"Marzo")</f>
        <v>Marzo</v>
      </c>
      <c r="J461" s="42" t="str">
        <f ca="1">IFERROR(__xludf.DUMMYFUNCTION("""COMPUTED_VALUE"""),"AH")</f>
        <v>AH</v>
      </c>
      <c r="K461" s="98">
        <f ca="1">IFERROR(__xludf.DUMMYFUNCTION("""COMPUTED_VALUE"""),0)</f>
        <v>0</v>
      </c>
      <c r="L461" s="42" t="str">
        <f ca="1">IFERROR(__xludf.DUMMYFUNCTION("""COMPUTED_VALUE"""),"TRIMESTRE 1")</f>
        <v>TRIMESTRE 1</v>
      </c>
      <c r="M461" s="42" t="str">
        <f ca="1">IFERROR(__xludf.DUMMYFUNCTION("""COMPUTED_VALUE"""),"ADOLESCENTES HOMBRES")</f>
        <v>ADOLESCENTES HOMBRES</v>
      </c>
    </row>
    <row r="462" spans="1:13">
      <c r="A462" s="42" t="str">
        <f ca="1">IFERROR(__xludf.DUMMYFUNCTION("""COMPUTED_VALUE"""),"2.1.1.5")</f>
        <v>2.1.1.5</v>
      </c>
      <c r="B462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62" s="42" t="str">
        <f ca="1">IFERROR(__xludf.DUMMYFUNCTION("""COMPUTED_VALUE"""),"3. Operación")</f>
        <v>3. Operación</v>
      </c>
      <c r="D462" s="42" t="str">
        <f ca="1">IFERROR(__xludf.DUMMYFUNCTION("""COMPUTED_VALUE"""),"Guadalajara en Paz")</f>
        <v>Guadalajara en Paz</v>
      </c>
      <c r="E462" s="42" t="str">
        <f ca="1">IFERROR(__xludf.DUMMYFUNCTION("""COMPUTED_VALUE"""),"Asistencia Alimentaria y Nutrición")</f>
        <v>Asistencia Alimentaria y Nutrición</v>
      </c>
      <c r="F462" s="42" t="str">
        <f ca="1">IFERROR(__xludf.DUMMYFUNCTION("""COMPUTED_VALUE"""),"A5C1. Apoyos del Programa de Alimentación Escolar entregados en 2023")</f>
        <v>A5C1. Apoyos del Programa de Alimentación Escolar entregados en 2023</v>
      </c>
      <c r="G462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462" s="42" t="str">
        <f ca="1">IFERROR(__xludf.DUMMYFUNCTION("""COMPUTED_VALUE"""),"MUJ Marzo")</f>
        <v>MUJ Marzo</v>
      </c>
      <c r="I462" s="42" t="str">
        <f ca="1">IFERROR(__xludf.DUMMYFUNCTION("""COMPUTED_VALUE"""),"Marzo")</f>
        <v>Marzo</v>
      </c>
      <c r="J462" s="42" t="str">
        <f ca="1">IFERROR(__xludf.DUMMYFUNCTION("""COMPUTED_VALUE"""),"MUJ")</f>
        <v>MUJ</v>
      </c>
      <c r="K462" s="98">
        <f ca="1">IFERROR(__xludf.DUMMYFUNCTION("""COMPUTED_VALUE"""),0)</f>
        <v>0</v>
      </c>
      <c r="L462" s="42" t="str">
        <f ca="1">IFERROR(__xludf.DUMMYFUNCTION("""COMPUTED_VALUE"""),"TRIMESTRE 1")</f>
        <v>TRIMESTRE 1</v>
      </c>
      <c r="M462" s="42" t="str">
        <f ca="1">IFERROR(__xludf.DUMMYFUNCTION("""COMPUTED_VALUE"""),"MUJERES ADULTAS")</f>
        <v>MUJERES ADULTAS</v>
      </c>
    </row>
    <row r="463" spans="1:13">
      <c r="A463" s="42" t="str">
        <f ca="1">IFERROR(__xludf.DUMMYFUNCTION("""COMPUTED_VALUE"""),"2.1.1.5")</f>
        <v>2.1.1.5</v>
      </c>
      <c r="B463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63" s="42" t="str">
        <f ca="1">IFERROR(__xludf.DUMMYFUNCTION("""COMPUTED_VALUE"""),"3. Operación")</f>
        <v>3. Operación</v>
      </c>
      <c r="D463" s="42" t="str">
        <f ca="1">IFERROR(__xludf.DUMMYFUNCTION("""COMPUTED_VALUE"""),"Guadalajara en Paz")</f>
        <v>Guadalajara en Paz</v>
      </c>
      <c r="E463" s="42" t="str">
        <f ca="1">IFERROR(__xludf.DUMMYFUNCTION("""COMPUTED_VALUE"""),"Asistencia Alimentaria y Nutrición")</f>
        <v>Asistencia Alimentaria y Nutrición</v>
      </c>
      <c r="F463" s="42" t="str">
        <f ca="1">IFERROR(__xludf.DUMMYFUNCTION("""COMPUTED_VALUE"""),"A5C1. Apoyos del Programa de Alimentación Escolar entregados en 2023")</f>
        <v>A5C1. Apoyos del Programa de Alimentación Escolar entregados en 2023</v>
      </c>
      <c r="G463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463" s="42" t="str">
        <f ca="1">IFERROR(__xludf.DUMMYFUNCTION("""COMPUTED_VALUE"""),"HOM Marzo")</f>
        <v>HOM Marzo</v>
      </c>
      <c r="I463" s="42" t="str">
        <f ca="1">IFERROR(__xludf.DUMMYFUNCTION("""COMPUTED_VALUE"""),"Marzo")</f>
        <v>Marzo</v>
      </c>
      <c r="J463" s="42" t="str">
        <f ca="1">IFERROR(__xludf.DUMMYFUNCTION("""COMPUTED_VALUE"""),"HOM")</f>
        <v>HOM</v>
      </c>
      <c r="K463" s="98">
        <f ca="1">IFERROR(__xludf.DUMMYFUNCTION("""COMPUTED_VALUE"""),0)</f>
        <v>0</v>
      </c>
      <c r="L463" s="42" t="str">
        <f ca="1">IFERROR(__xludf.DUMMYFUNCTION("""COMPUTED_VALUE"""),"TRIMESTRE 1")</f>
        <v>TRIMESTRE 1</v>
      </c>
      <c r="M463" s="42" t="str">
        <f ca="1">IFERROR(__xludf.DUMMYFUNCTION("""COMPUTED_VALUE"""),"HOMBRES ADULTOS")</f>
        <v>HOMBRES ADULTOS</v>
      </c>
    </row>
    <row r="464" spans="1:13">
      <c r="A464" s="42" t="str">
        <f ca="1">IFERROR(__xludf.DUMMYFUNCTION("""COMPUTED_VALUE"""),"2.1.1.5")</f>
        <v>2.1.1.5</v>
      </c>
      <c r="B464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64" s="42" t="str">
        <f ca="1">IFERROR(__xludf.DUMMYFUNCTION("""COMPUTED_VALUE"""),"3. Operación")</f>
        <v>3. Operación</v>
      </c>
      <c r="D464" s="42" t="str">
        <f ca="1">IFERROR(__xludf.DUMMYFUNCTION("""COMPUTED_VALUE"""),"Guadalajara en Paz")</f>
        <v>Guadalajara en Paz</v>
      </c>
      <c r="E464" s="42" t="str">
        <f ca="1">IFERROR(__xludf.DUMMYFUNCTION("""COMPUTED_VALUE"""),"Asistencia Alimentaria y Nutrición")</f>
        <v>Asistencia Alimentaria y Nutrición</v>
      </c>
      <c r="F464" s="42" t="str">
        <f ca="1">IFERROR(__xludf.DUMMYFUNCTION("""COMPUTED_VALUE"""),"A5C1. Apoyos del Programa de Alimentación Escolar entregados en 2023")</f>
        <v>A5C1. Apoyos del Programa de Alimentación Escolar entregados en 2023</v>
      </c>
      <c r="G464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464" s="42" t="str">
        <f ca="1">IFERROR(__xludf.DUMMYFUNCTION("""COMPUTED_VALUE"""),"AMM Marzo")</f>
        <v>AMM Marzo</v>
      </c>
      <c r="I464" s="42" t="str">
        <f ca="1">IFERROR(__xludf.DUMMYFUNCTION("""COMPUTED_VALUE"""),"Marzo")</f>
        <v>Marzo</v>
      </c>
      <c r="J464" s="42" t="str">
        <f ca="1">IFERROR(__xludf.DUMMYFUNCTION("""COMPUTED_VALUE"""),"AMM")</f>
        <v>AMM</v>
      </c>
      <c r="K464" s="98">
        <f ca="1">IFERROR(__xludf.DUMMYFUNCTION("""COMPUTED_VALUE"""),0)</f>
        <v>0</v>
      </c>
      <c r="L464" s="42" t="str">
        <f ca="1">IFERROR(__xludf.DUMMYFUNCTION("""COMPUTED_VALUE"""),"TRIMESTRE 1")</f>
        <v>TRIMESTRE 1</v>
      </c>
      <c r="M464" s="42" t="str">
        <f ca="1">IFERROR(__xludf.DUMMYFUNCTION("""COMPUTED_VALUE"""),"ADULTA MAYOR MUJER")</f>
        <v>ADULTA MAYOR MUJER</v>
      </c>
    </row>
    <row r="465" spans="1:13">
      <c r="A465" s="42" t="str">
        <f ca="1">IFERROR(__xludf.DUMMYFUNCTION("""COMPUTED_VALUE"""),"2.1.1.5")</f>
        <v>2.1.1.5</v>
      </c>
      <c r="B465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65" s="42" t="str">
        <f ca="1">IFERROR(__xludf.DUMMYFUNCTION("""COMPUTED_VALUE"""),"3. Operación")</f>
        <v>3. Operación</v>
      </c>
      <c r="D465" s="42" t="str">
        <f ca="1">IFERROR(__xludf.DUMMYFUNCTION("""COMPUTED_VALUE"""),"Guadalajara en Paz")</f>
        <v>Guadalajara en Paz</v>
      </c>
      <c r="E465" s="42" t="str">
        <f ca="1">IFERROR(__xludf.DUMMYFUNCTION("""COMPUTED_VALUE"""),"Asistencia Alimentaria y Nutrición")</f>
        <v>Asistencia Alimentaria y Nutrición</v>
      </c>
      <c r="F465" s="42" t="str">
        <f ca="1">IFERROR(__xludf.DUMMYFUNCTION("""COMPUTED_VALUE"""),"A5C1. Apoyos del Programa de Alimentación Escolar entregados en 2023")</f>
        <v>A5C1. Apoyos del Programa de Alimentación Escolar entregados en 2023</v>
      </c>
      <c r="G465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465" s="42" t="str">
        <f ca="1">IFERROR(__xludf.DUMMYFUNCTION("""COMPUTED_VALUE"""),"AMH Marzo")</f>
        <v>AMH Marzo</v>
      </c>
      <c r="I465" s="42" t="str">
        <f ca="1">IFERROR(__xludf.DUMMYFUNCTION("""COMPUTED_VALUE"""),"Marzo")</f>
        <v>Marzo</v>
      </c>
      <c r="J465" s="42" t="str">
        <f ca="1">IFERROR(__xludf.DUMMYFUNCTION("""COMPUTED_VALUE"""),"AMH")</f>
        <v>AMH</v>
      </c>
      <c r="K465" s="98">
        <f ca="1">IFERROR(__xludf.DUMMYFUNCTION("""COMPUTED_VALUE"""),0)</f>
        <v>0</v>
      </c>
      <c r="L465" s="42" t="str">
        <f ca="1">IFERROR(__xludf.DUMMYFUNCTION("""COMPUTED_VALUE"""),"TRIMESTRE 1")</f>
        <v>TRIMESTRE 1</v>
      </c>
      <c r="M465" s="42" t="str">
        <f ca="1">IFERROR(__xludf.DUMMYFUNCTION("""COMPUTED_VALUE"""),"ADULTO MAYOR HOMBRE")</f>
        <v>ADULTO MAYOR HOMBRE</v>
      </c>
    </row>
    <row r="466" spans="1:13">
      <c r="A466" s="42" t="str">
        <f ca="1">IFERROR(__xludf.DUMMYFUNCTION("""COMPUTED_VALUE"""),"2.1.1.6")</f>
        <v>2.1.1.6</v>
      </c>
      <c r="B466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66" s="42" t="str">
        <f ca="1">IFERROR(__xludf.DUMMYFUNCTION("""COMPUTED_VALUE"""),"3. Operación")</f>
        <v>3. Operación</v>
      </c>
      <c r="D466" s="42" t="str">
        <f ca="1">IFERROR(__xludf.DUMMYFUNCTION("""COMPUTED_VALUE"""),"Guadalajara en Paz")</f>
        <v>Guadalajara en Paz</v>
      </c>
      <c r="E466" s="42" t="str">
        <f ca="1">IFERROR(__xludf.DUMMYFUNCTION("""COMPUTED_VALUE"""),"Asistencia Alimentaria y Nutrición")</f>
        <v>Asistencia Alimentaria y Nutrición</v>
      </c>
      <c r="F466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466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466" s="42" t="str">
        <f ca="1">IFERROR(__xludf.DUMMYFUNCTION("""COMPUTED_VALUE"""),"NAS Marzo")</f>
        <v>NAS Marzo</v>
      </c>
      <c r="I466" s="42" t="str">
        <f ca="1">IFERROR(__xludf.DUMMYFUNCTION("""COMPUTED_VALUE"""),"Marzo")</f>
        <v>Marzo</v>
      </c>
      <c r="J466" s="42" t="str">
        <f ca="1">IFERROR(__xludf.DUMMYFUNCTION("""COMPUTED_VALUE"""),"NAS")</f>
        <v>NAS</v>
      </c>
      <c r="K466" s="98">
        <f ca="1">IFERROR(__xludf.DUMMYFUNCTION("""COMPUTED_VALUE"""),399)</f>
        <v>399</v>
      </c>
      <c r="L466" s="42" t="str">
        <f ca="1">IFERROR(__xludf.DUMMYFUNCTION("""COMPUTED_VALUE"""),"TRIMESTRE 1")</f>
        <v>TRIMESTRE 1</v>
      </c>
      <c r="M466" s="42" t="str">
        <f ca="1">IFERROR(__xludf.DUMMYFUNCTION("""COMPUTED_VALUE"""),"NIÑAS")</f>
        <v>NIÑAS</v>
      </c>
    </row>
    <row r="467" spans="1:13">
      <c r="A467" s="42" t="str">
        <f ca="1">IFERROR(__xludf.DUMMYFUNCTION("""COMPUTED_VALUE"""),"2.1.1.6")</f>
        <v>2.1.1.6</v>
      </c>
      <c r="B467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67" s="42" t="str">
        <f ca="1">IFERROR(__xludf.DUMMYFUNCTION("""COMPUTED_VALUE"""),"3. Operación")</f>
        <v>3. Operación</v>
      </c>
      <c r="D467" s="42" t="str">
        <f ca="1">IFERROR(__xludf.DUMMYFUNCTION("""COMPUTED_VALUE"""),"Guadalajara en Paz")</f>
        <v>Guadalajara en Paz</v>
      </c>
      <c r="E467" s="42" t="str">
        <f ca="1">IFERROR(__xludf.DUMMYFUNCTION("""COMPUTED_VALUE"""),"Asistencia Alimentaria y Nutrición")</f>
        <v>Asistencia Alimentaria y Nutrición</v>
      </c>
      <c r="F467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467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467" s="42" t="str">
        <f ca="1">IFERROR(__xludf.DUMMYFUNCTION("""COMPUTED_VALUE"""),"NOS Marzo")</f>
        <v>NOS Marzo</v>
      </c>
      <c r="I467" s="42" t="str">
        <f ca="1">IFERROR(__xludf.DUMMYFUNCTION("""COMPUTED_VALUE"""),"Marzo")</f>
        <v>Marzo</v>
      </c>
      <c r="J467" s="42" t="str">
        <f ca="1">IFERROR(__xludf.DUMMYFUNCTION("""COMPUTED_VALUE"""),"NOS")</f>
        <v>NOS</v>
      </c>
      <c r="K467" s="98">
        <f ca="1">IFERROR(__xludf.DUMMYFUNCTION("""COMPUTED_VALUE"""),465)</f>
        <v>465</v>
      </c>
      <c r="L467" s="42" t="str">
        <f ca="1">IFERROR(__xludf.DUMMYFUNCTION("""COMPUTED_VALUE"""),"TRIMESTRE 1")</f>
        <v>TRIMESTRE 1</v>
      </c>
      <c r="M467" s="42" t="str">
        <f ca="1">IFERROR(__xludf.DUMMYFUNCTION("""COMPUTED_VALUE"""),"NIÑOS")</f>
        <v>NIÑOS</v>
      </c>
    </row>
    <row r="468" spans="1:13">
      <c r="A468" s="42" t="str">
        <f ca="1">IFERROR(__xludf.DUMMYFUNCTION("""COMPUTED_VALUE"""),"2.1.1.6")</f>
        <v>2.1.1.6</v>
      </c>
      <c r="B468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68" s="42" t="str">
        <f ca="1">IFERROR(__xludf.DUMMYFUNCTION("""COMPUTED_VALUE"""),"3. Operación")</f>
        <v>3. Operación</v>
      </c>
      <c r="D468" s="42" t="str">
        <f ca="1">IFERROR(__xludf.DUMMYFUNCTION("""COMPUTED_VALUE"""),"Guadalajara en Paz")</f>
        <v>Guadalajara en Paz</v>
      </c>
      <c r="E468" s="42" t="str">
        <f ca="1">IFERROR(__xludf.DUMMYFUNCTION("""COMPUTED_VALUE"""),"Asistencia Alimentaria y Nutrición")</f>
        <v>Asistencia Alimentaria y Nutrición</v>
      </c>
      <c r="F468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468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468" s="42" t="str">
        <f ca="1">IFERROR(__xludf.DUMMYFUNCTION("""COMPUTED_VALUE"""),"AM MARZO")</f>
        <v>AM MARZO</v>
      </c>
      <c r="I468" s="42" t="str">
        <f ca="1">IFERROR(__xludf.DUMMYFUNCTION("""COMPUTED_VALUE"""),"Marzo")</f>
        <v>Marzo</v>
      </c>
      <c r="J468" s="42" t="str">
        <f ca="1">IFERROR(__xludf.DUMMYFUNCTION("""COMPUTED_VALUE"""),"AM")</f>
        <v>AM</v>
      </c>
      <c r="K468" s="98">
        <f ca="1">IFERROR(__xludf.DUMMYFUNCTION("""COMPUTED_VALUE"""),21)</f>
        <v>21</v>
      </c>
      <c r="L468" s="42" t="str">
        <f ca="1">IFERROR(__xludf.DUMMYFUNCTION("""COMPUTED_VALUE"""),"TRIMESTRE 1")</f>
        <v>TRIMESTRE 1</v>
      </c>
      <c r="M468" s="42" t="str">
        <f ca="1">IFERROR(__xludf.DUMMYFUNCTION("""COMPUTED_VALUE"""),"ADOLESCENTES MUJERES")</f>
        <v>ADOLESCENTES MUJERES</v>
      </c>
    </row>
    <row r="469" spans="1:13">
      <c r="A469" s="42" t="str">
        <f ca="1">IFERROR(__xludf.DUMMYFUNCTION("""COMPUTED_VALUE"""),"2.1.1.6")</f>
        <v>2.1.1.6</v>
      </c>
      <c r="B469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69" s="42" t="str">
        <f ca="1">IFERROR(__xludf.DUMMYFUNCTION("""COMPUTED_VALUE"""),"3. Operación")</f>
        <v>3. Operación</v>
      </c>
      <c r="D469" s="42" t="str">
        <f ca="1">IFERROR(__xludf.DUMMYFUNCTION("""COMPUTED_VALUE"""),"Guadalajara en Paz")</f>
        <v>Guadalajara en Paz</v>
      </c>
      <c r="E469" s="42" t="str">
        <f ca="1">IFERROR(__xludf.DUMMYFUNCTION("""COMPUTED_VALUE"""),"Asistencia Alimentaria y Nutrición")</f>
        <v>Asistencia Alimentaria y Nutrición</v>
      </c>
      <c r="F469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469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469" s="42" t="str">
        <f ca="1">IFERROR(__xludf.DUMMYFUNCTION("""COMPUTED_VALUE"""),"AH MARZO")</f>
        <v>AH MARZO</v>
      </c>
      <c r="I469" s="42" t="str">
        <f ca="1">IFERROR(__xludf.DUMMYFUNCTION("""COMPUTED_VALUE"""),"Marzo")</f>
        <v>Marzo</v>
      </c>
      <c r="J469" s="42" t="str">
        <f ca="1">IFERROR(__xludf.DUMMYFUNCTION("""COMPUTED_VALUE"""),"AH")</f>
        <v>AH</v>
      </c>
      <c r="K469" s="98">
        <f ca="1">IFERROR(__xludf.DUMMYFUNCTION("""COMPUTED_VALUE"""),33)</f>
        <v>33</v>
      </c>
      <c r="L469" s="42" t="str">
        <f ca="1">IFERROR(__xludf.DUMMYFUNCTION("""COMPUTED_VALUE"""),"TRIMESTRE 1")</f>
        <v>TRIMESTRE 1</v>
      </c>
      <c r="M469" s="42" t="str">
        <f ca="1">IFERROR(__xludf.DUMMYFUNCTION("""COMPUTED_VALUE"""),"ADOLESCENTES HOMBRES")</f>
        <v>ADOLESCENTES HOMBRES</v>
      </c>
    </row>
    <row r="470" spans="1:13">
      <c r="A470" s="42" t="str">
        <f ca="1">IFERROR(__xludf.DUMMYFUNCTION("""COMPUTED_VALUE"""),"2.1.1.6")</f>
        <v>2.1.1.6</v>
      </c>
      <c r="B470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70" s="42" t="str">
        <f ca="1">IFERROR(__xludf.DUMMYFUNCTION("""COMPUTED_VALUE"""),"3. Operación")</f>
        <v>3. Operación</v>
      </c>
      <c r="D470" s="42" t="str">
        <f ca="1">IFERROR(__xludf.DUMMYFUNCTION("""COMPUTED_VALUE"""),"Guadalajara en Paz")</f>
        <v>Guadalajara en Paz</v>
      </c>
      <c r="E470" s="42" t="str">
        <f ca="1">IFERROR(__xludf.DUMMYFUNCTION("""COMPUTED_VALUE"""),"Asistencia Alimentaria y Nutrición")</f>
        <v>Asistencia Alimentaria y Nutrición</v>
      </c>
      <c r="F470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470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470" s="42" t="str">
        <f ca="1">IFERROR(__xludf.DUMMYFUNCTION("""COMPUTED_VALUE"""),"MUJ Marzo")</f>
        <v>MUJ Marzo</v>
      </c>
      <c r="I470" s="42" t="str">
        <f ca="1">IFERROR(__xludf.DUMMYFUNCTION("""COMPUTED_VALUE"""),"Marzo")</f>
        <v>Marzo</v>
      </c>
      <c r="J470" s="42" t="str">
        <f ca="1">IFERROR(__xludf.DUMMYFUNCTION("""COMPUTED_VALUE"""),"MUJ")</f>
        <v>MUJ</v>
      </c>
      <c r="K470" s="98">
        <f ca="1">IFERROR(__xludf.DUMMYFUNCTION("""COMPUTED_VALUE"""),714)</f>
        <v>714</v>
      </c>
      <c r="L470" s="42" t="str">
        <f ca="1">IFERROR(__xludf.DUMMYFUNCTION("""COMPUTED_VALUE"""),"TRIMESTRE 1")</f>
        <v>TRIMESTRE 1</v>
      </c>
      <c r="M470" s="42" t="str">
        <f ca="1">IFERROR(__xludf.DUMMYFUNCTION("""COMPUTED_VALUE"""),"MUJERES ADULTAS")</f>
        <v>MUJERES ADULTAS</v>
      </c>
    </row>
    <row r="471" spans="1:13">
      <c r="A471" s="42" t="str">
        <f ca="1">IFERROR(__xludf.DUMMYFUNCTION("""COMPUTED_VALUE"""),"2.1.1.6")</f>
        <v>2.1.1.6</v>
      </c>
      <c r="B471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71" s="42" t="str">
        <f ca="1">IFERROR(__xludf.DUMMYFUNCTION("""COMPUTED_VALUE"""),"3. Operación")</f>
        <v>3. Operación</v>
      </c>
      <c r="D471" s="42" t="str">
        <f ca="1">IFERROR(__xludf.DUMMYFUNCTION("""COMPUTED_VALUE"""),"Guadalajara en Paz")</f>
        <v>Guadalajara en Paz</v>
      </c>
      <c r="E471" s="42" t="str">
        <f ca="1">IFERROR(__xludf.DUMMYFUNCTION("""COMPUTED_VALUE"""),"Asistencia Alimentaria y Nutrición")</f>
        <v>Asistencia Alimentaria y Nutrición</v>
      </c>
      <c r="F471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471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471" s="42" t="str">
        <f ca="1">IFERROR(__xludf.DUMMYFUNCTION("""COMPUTED_VALUE"""),"HOM Marzo")</f>
        <v>HOM Marzo</v>
      </c>
      <c r="I471" s="42" t="str">
        <f ca="1">IFERROR(__xludf.DUMMYFUNCTION("""COMPUTED_VALUE"""),"Marzo")</f>
        <v>Marzo</v>
      </c>
      <c r="J471" s="42" t="str">
        <f ca="1">IFERROR(__xludf.DUMMYFUNCTION("""COMPUTED_VALUE"""),"HOM")</f>
        <v>HOM</v>
      </c>
      <c r="K471" s="98">
        <f ca="1">IFERROR(__xludf.DUMMYFUNCTION("""COMPUTED_VALUE"""),273)</f>
        <v>273</v>
      </c>
      <c r="L471" s="42" t="str">
        <f ca="1">IFERROR(__xludf.DUMMYFUNCTION("""COMPUTED_VALUE"""),"TRIMESTRE 1")</f>
        <v>TRIMESTRE 1</v>
      </c>
      <c r="M471" s="42" t="str">
        <f ca="1">IFERROR(__xludf.DUMMYFUNCTION("""COMPUTED_VALUE"""),"HOMBRES ADULTOS")</f>
        <v>HOMBRES ADULTOS</v>
      </c>
    </row>
    <row r="472" spans="1:13">
      <c r="A472" s="42" t="str">
        <f ca="1">IFERROR(__xludf.DUMMYFUNCTION("""COMPUTED_VALUE"""),"2.1.1.6")</f>
        <v>2.1.1.6</v>
      </c>
      <c r="B472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72" s="42" t="str">
        <f ca="1">IFERROR(__xludf.DUMMYFUNCTION("""COMPUTED_VALUE"""),"3. Operación")</f>
        <v>3. Operación</v>
      </c>
      <c r="D472" s="42" t="str">
        <f ca="1">IFERROR(__xludf.DUMMYFUNCTION("""COMPUTED_VALUE"""),"Guadalajara en Paz")</f>
        <v>Guadalajara en Paz</v>
      </c>
      <c r="E472" s="42" t="str">
        <f ca="1">IFERROR(__xludf.DUMMYFUNCTION("""COMPUTED_VALUE"""),"Asistencia Alimentaria y Nutrición")</f>
        <v>Asistencia Alimentaria y Nutrición</v>
      </c>
      <c r="F472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472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472" s="42" t="str">
        <f ca="1">IFERROR(__xludf.DUMMYFUNCTION("""COMPUTED_VALUE"""),"AMM Marzo")</f>
        <v>AMM Marzo</v>
      </c>
      <c r="I472" s="42" t="str">
        <f ca="1">IFERROR(__xludf.DUMMYFUNCTION("""COMPUTED_VALUE"""),"Marzo")</f>
        <v>Marzo</v>
      </c>
      <c r="J472" s="42" t="str">
        <f ca="1">IFERROR(__xludf.DUMMYFUNCTION("""COMPUTED_VALUE"""),"AMM")</f>
        <v>AMM</v>
      </c>
      <c r="K472" s="98">
        <f ca="1">IFERROR(__xludf.DUMMYFUNCTION("""COMPUTED_VALUE"""),3714)</f>
        <v>3714</v>
      </c>
      <c r="L472" s="42" t="str">
        <f ca="1">IFERROR(__xludf.DUMMYFUNCTION("""COMPUTED_VALUE"""),"TRIMESTRE 1")</f>
        <v>TRIMESTRE 1</v>
      </c>
      <c r="M472" s="42" t="str">
        <f ca="1">IFERROR(__xludf.DUMMYFUNCTION("""COMPUTED_VALUE"""),"ADULTA MAYOR MUJER")</f>
        <v>ADULTA MAYOR MUJER</v>
      </c>
    </row>
    <row r="473" spans="1:13">
      <c r="A473" s="42" t="str">
        <f ca="1">IFERROR(__xludf.DUMMYFUNCTION("""COMPUTED_VALUE"""),"2.1.1.6")</f>
        <v>2.1.1.6</v>
      </c>
      <c r="B473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73" s="42" t="str">
        <f ca="1">IFERROR(__xludf.DUMMYFUNCTION("""COMPUTED_VALUE"""),"3. Operación")</f>
        <v>3. Operación</v>
      </c>
      <c r="D473" s="42" t="str">
        <f ca="1">IFERROR(__xludf.DUMMYFUNCTION("""COMPUTED_VALUE"""),"Guadalajara en Paz")</f>
        <v>Guadalajara en Paz</v>
      </c>
      <c r="E473" s="42" t="str">
        <f ca="1">IFERROR(__xludf.DUMMYFUNCTION("""COMPUTED_VALUE"""),"Asistencia Alimentaria y Nutrición")</f>
        <v>Asistencia Alimentaria y Nutrición</v>
      </c>
      <c r="F473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473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473" s="42" t="str">
        <f ca="1">IFERROR(__xludf.DUMMYFUNCTION("""COMPUTED_VALUE"""),"AMH Marzo")</f>
        <v>AMH Marzo</v>
      </c>
      <c r="I473" s="42" t="str">
        <f ca="1">IFERROR(__xludf.DUMMYFUNCTION("""COMPUTED_VALUE"""),"Marzo")</f>
        <v>Marzo</v>
      </c>
      <c r="J473" s="42" t="str">
        <f ca="1">IFERROR(__xludf.DUMMYFUNCTION("""COMPUTED_VALUE"""),"AMH")</f>
        <v>AMH</v>
      </c>
      <c r="K473" s="98">
        <f ca="1">IFERROR(__xludf.DUMMYFUNCTION("""COMPUTED_VALUE"""),954)</f>
        <v>954</v>
      </c>
      <c r="L473" s="42" t="str">
        <f ca="1">IFERROR(__xludf.DUMMYFUNCTION("""COMPUTED_VALUE"""),"TRIMESTRE 1")</f>
        <v>TRIMESTRE 1</v>
      </c>
      <c r="M473" s="42" t="str">
        <f ca="1">IFERROR(__xludf.DUMMYFUNCTION("""COMPUTED_VALUE"""),"ADULTO MAYOR HOMBRE")</f>
        <v>ADULTO MAYOR HOMBRE</v>
      </c>
    </row>
    <row r="474" spans="1:13">
      <c r="A474" s="42" t="str">
        <f ca="1">IFERROR(__xludf.DUMMYFUNCTION("""COMPUTED_VALUE"""),"2.1.1.7")</f>
        <v>2.1.1.7</v>
      </c>
      <c r="B474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74" s="42" t="str">
        <f ca="1">IFERROR(__xludf.DUMMYFUNCTION("""COMPUTED_VALUE"""),"3. Operación")</f>
        <v>3. Operación</v>
      </c>
      <c r="D474" s="42" t="str">
        <f ca="1">IFERROR(__xludf.DUMMYFUNCTION("""COMPUTED_VALUE"""),"Guadalajara en Paz")</f>
        <v>Guadalajara en Paz</v>
      </c>
      <c r="E474" s="42" t="str">
        <f ca="1">IFERROR(__xludf.DUMMYFUNCTION("""COMPUTED_VALUE"""),"Asistencia Alimentaria y Nutrición")</f>
        <v>Asistencia Alimentaria y Nutrición</v>
      </c>
      <c r="F474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474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474" s="42" t="str">
        <f ca="1">IFERROR(__xludf.DUMMYFUNCTION("""COMPUTED_VALUE"""),"NAS Marzo")</f>
        <v>NAS Marzo</v>
      </c>
      <c r="I474" s="42" t="str">
        <f ca="1">IFERROR(__xludf.DUMMYFUNCTION("""COMPUTED_VALUE"""),"Marzo")</f>
        <v>Marzo</v>
      </c>
      <c r="J474" s="42" t="str">
        <f ca="1">IFERROR(__xludf.DUMMYFUNCTION("""COMPUTED_VALUE"""),"NAS")</f>
        <v>NAS</v>
      </c>
      <c r="K474" s="98">
        <f ca="1">IFERROR(__xludf.DUMMYFUNCTION("""COMPUTED_VALUE"""),192)</f>
        <v>192</v>
      </c>
      <c r="L474" s="42" t="str">
        <f ca="1">IFERROR(__xludf.DUMMYFUNCTION("""COMPUTED_VALUE"""),"TRIMESTRE 1")</f>
        <v>TRIMESTRE 1</v>
      </c>
      <c r="M474" s="42" t="str">
        <f ca="1">IFERROR(__xludf.DUMMYFUNCTION("""COMPUTED_VALUE"""),"NIÑAS")</f>
        <v>NIÑAS</v>
      </c>
    </row>
    <row r="475" spans="1:13">
      <c r="A475" s="42" t="str">
        <f ca="1">IFERROR(__xludf.DUMMYFUNCTION("""COMPUTED_VALUE"""),"2.1.1.7")</f>
        <v>2.1.1.7</v>
      </c>
      <c r="B475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75" s="42" t="str">
        <f ca="1">IFERROR(__xludf.DUMMYFUNCTION("""COMPUTED_VALUE"""),"3. Operación")</f>
        <v>3. Operación</v>
      </c>
      <c r="D475" s="42" t="str">
        <f ca="1">IFERROR(__xludf.DUMMYFUNCTION("""COMPUTED_VALUE"""),"Guadalajara en Paz")</f>
        <v>Guadalajara en Paz</v>
      </c>
      <c r="E475" s="42" t="str">
        <f ca="1">IFERROR(__xludf.DUMMYFUNCTION("""COMPUTED_VALUE"""),"Asistencia Alimentaria y Nutrición")</f>
        <v>Asistencia Alimentaria y Nutrición</v>
      </c>
      <c r="F475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475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475" s="42" t="str">
        <f ca="1">IFERROR(__xludf.DUMMYFUNCTION("""COMPUTED_VALUE"""),"NOS Marzo")</f>
        <v>NOS Marzo</v>
      </c>
      <c r="I475" s="42" t="str">
        <f ca="1">IFERROR(__xludf.DUMMYFUNCTION("""COMPUTED_VALUE"""),"Marzo")</f>
        <v>Marzo</v>
      </c>
      <c r="J475" s="42" t="str">
        <f ca="1">IFERROR(__xludf.DUMMYFUNCTION("""COMPUTED_VALUE"""),"NOS")</f>
        <v>NOS</v>
      </c>
      <c r="K475" s="98">
        <f ca="1">IFERROR(__xludf.DUMMYFUNCTION("""COMPUTED_VALUE"""),183)</f>
        <v>183</v>
      </c>
      <c r="L475" s="42" t="str">
        <f ca="1">IFERROR(__xludf.DUMMYFUNCTION("""COMPUTED_VALUE"""),"TRIMESTRE 1")</f>
        <v>TRIMESTRE 1</v>
      </c>
      <c r="M475" s="42" t="str">
        <f ca="1">IFERROR(__xludf.DUMMYFUNCTION("""COMPUTED_VALUE"""),"NIÑOS")</f>
        <v>NIÑOS</v>
      </c>
    </row>
    <row r="476" spans="1:13">
      <c r="A476" s="42" t="str">
        <f ca="1">IFERROR(__xludf.DUMMYFUNCTION("""COMPUTED_VALUE"""),"2.1.1.7")</f>
        <v>2.1.1.7</v>
      </c>
      <c r="B476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76" s="42" t="str">
        <f ca="1">IFERROR(__xludf.DUMMYFUNCTION("""COMPUTED_VALUE"""),"3. Operación")</f>
        <v>3. Operación</v>
      </c>
      <c r="D476" s="42" t="str">
        <f ca="1">IFERROR(__xludf.DUMMYFUNCTION("""COMPUTED_VALUE"""),"Guadalajara en Paz")</f>
        <v>Guadalajara en Paz</v>
      </c>
      <c r="E476" s="42" t="str">
        <f ca="1">IFERROR(__xludf.DUMMYFUNCTION("""COMPUTED_VALUE"""),"Asistencia Alimentaria y Nutrición")</f>
        <v>Asistencia Alimentaria y Nutrición</v>
      </c>
      <c r="F476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476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476" s="42" t="str">
        <f ca="1">IFERROR(__xludf.DUMMYFUNCTION("""COMPUTED_VALUE"""),"AM MARZO")</f>
        <v>AM MARZO</v>
      </c>
      <c r="I476" s="42" t="str">
        <f ca="1">IFERROR(__xludf.DUMMYFUNCTION("""COMPUTED_VALUE"""),"Marzo")</f>
        <v>Marzo</v>
      </c>
      <c r="J476" s="42" t="str">
        <f ca="1">IFERROR(__xludf.DUMMYFUNCTION("""COMPUTED_VALUE"""),"AM")</f>
        <v>AM</v>
      </c>
      <c r="K476" s="98">
        <f ca="1">IFERROR(__xludf.DUMMYFUNCTION("""COMPUTED_VALUE"""),0)</f>
        <v>0</v>
      </c>
      <c r="L476" s="42" t="str">
        <f ca="1">IFERROR(__xludf.DUMMYFUNCTION("""COMPUTED_VALUE"""),"TRIMESTRE 1")</f>
        <v>TRIMESTRE 1</v>
      </c>
      <c r="M476" s="42" t="str">
        <f ca="1">IFERROR(__xludf.DUMMYFUNCTION("""COMPUTED_VALUE"""),"ADOLESCENTES MUJERES")</f>
        <v>ADOLESCENTES MUJERES</v>
      </c>
    </row>
    <row r="477" spans="1:13">
      <c r="A477" s="42" t="str">
        <f ca="1">IFERROR(__xludf.DUMMYFUNCTION("""COMPUTED_VALUE"""),"2.1.1.7")</f>
        <v>2.1.1.7</v>
      </c>
      <c r="B477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77" s="42" t="str">
        <f ca="1">IFERROR(__xludf.DUMMYFUNCTION("""COMPUTED_VALUE"""),"3. Operación")</f>
        <v>3. Operación</v>
      </c>
      <c r="D477" s="42" t="str">
        <f ca="1">IFERROR(__xludf.DUMMYFUNCTION("""COMPUTED_VALUE"""),"Guadalajara en Paz")</f>
        <v>Guadalajara en Paz</v>
      </c>
      <c r="E477" s="42" t="str">
        <f ca="1">IFERROR(__xludf.DUMMYFUNCTION("""COMPUTED_VALUE"""),"Asistencia Alimentaria y Nutrición")</f>
        <v>Asistencia Alimentaria y Nutrición</v>
      </c>
      <c r="F477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477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477" s="42" t="str">
        <f ca="1">IFERROR(__xludf.DUMMYFUNCTION("""COMPUTED_VALUE"""),"AH MARZO")</f>
        <v>AH MARZO</v>
      </c>
      <c r="I477" s="42" t="str">
        <f ca="1">IFERROR(__xludf.DUMMYFUNCTION("""COMPUTED_VALUE"""),"Marzo")</f>
        <v>Marzo</v>
      </c>
      <c r="J477" s="42" t="str">
        <f ca="1">IFERROR(__xludf.DUMMYFUNCTION("""COMPUTED_VALUE"""),"AH")</f>
        <v>AH</v>
      </c>
      <c r="K477" s="98">
        <f ca="1">IFERROR(__xludf.DUMMYFUNCTION("""COMPUTED_VALUE"""),0)</f>
        <v>0</v>
      </c>
      <c r="L477" s="42" t="str">
        <f ca="1">IFERROR(__xludf.DUMMYFUNCTION("""COMPUTED_VALUE"""),"TRIMESTRE 1")</f>
        <v>TRIMESTRE 1</v>
      </c>
      <c r="M477" s="42" t="str">
        <f ca="1">IFERROR(__xludf.DUMMYFUNCTION("""COMPUTED_VALUE"""),"ADOLESCENTES HOMBRES")</f>
        <v>ADOLESCENTES HOMBRES</v>
      </c>
    </row>
    <row r="478" spans="1:13">
      <c r="A478" s="42" t="str">
        <f ca="1">IFERROR(__xludf.DUMMYFUNCTION("""COMPUTED_VALUE"""),"2.1.1.7")</f>
        <v>2.1.1.7</v>
      </c>
      <c r="B478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78" s="42" t="str">
        <f ca="1">IFERROR(__xludf.DUMMYFUNCTION("""COMPUTED_VALUE"""),"3. Operación")</f>
        <v>3. Operación</v>
      </c>
      <c r="D478" s="42" t="str">
        <f ca="1">IFERROR(__xludf.DUMMYFUNCTION("""COMPUTED_VALUE"""),"Guadalajara en Paz")</f>
        <v>Guadalajara en Paz</v>
      </c>
      <c r="E478" s="42" t="str">
        <f ca="1">IFERROR(__xludf.DUMMYFUNCTION("""COMPUTED_VALUE"""),"Asistencia Alimentaria y Nutrición")</f>
        <v>Asistencia Alimentaria y Nutrición</v>
      </c>
      <c r="F478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478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478" s="42" t="str">
        <f ca="1">IFERROR(__xludf.DUMMYFUNCTION("""COMPUTED_VALUE"""),"MUJ Marzo")</f>
        <v>MUJ Marzo</v>
      </c>
      <c r="I478" s="42" t="str">
        <f ca="1">IFERROR(__xludf.DUMMYFUNCTION("""COMPUTED_VALUE"""),"Marzo")</f>
        <v>Marzo</v>
      </c>
      <c r="J478" s="42" t="str">
        <f ca="1">IFERROR(__xludf.DUMMYFUNCTION("""COMPUTED_VALUE"""),"MUJ")</f>
        <v>MUJ</v>
      </c>
      <c r="K478" s="98">
        <f ca="1">IFERROR(__xludf.DUMMYFUNCTION("""COMPUTED_VALUE"""),630)</f>
        <v>630</v>
      </c>
      <c r="L478" s="42" t="str">
        <f ca="1">IFERROR(__xludf.DUMMYFUNCTION("""COMPUTED_VALUE"""),"TRIMESTRE 1")</f>
        <v>TRIMESTRE 1</v>
      </c>
      <c r="M478" s="42" t="str">
        <f ca="1">IFERROR(__xludf.DUMMYFUNCTION("""COMPUTED_VALUE"""),"MUJERES ADULTAS")</f>
        <v>MUJERES ADULTAS</v>
      </c>
    </row>
    <row r="479" spans="1:13">
      <c r="A479" s="42" t="str">
        <f ca="1">IFERROR(__xludf.DUMMYFUNCTION("""COMPUTED_VALUE"""),"2.1.1.7")</f>
        <v>2.1.1.7</v>
      </c>
      <c r="B479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79" s="42" t="str">
        <f ca="1">IFERROR(__xludf.DUMMYFUNCTION("""COMPUTED_VALUE"""),"3. Operación")</f>
        <v>3. Operación</v>
      </c>
      <c r="D479" s="42" t="str">
        <f ca="1">IFERROR(__xludf.DUMMYFUNCTION("""COMPUTED_VALUE"""),"Guadalajara en Paz")</f>
        <v>Guadalajara en Paz</v>
      </c>
      <c r="E479" s="42" t="str">
        <f ca="1">IFERROR(__xludf.DUMMYFUNCTION("""COMPUTED_VALUE"""),"Asistencia Alimentaria y Nutrición")</f>
        <v>Asistencia Alimentaria y Nutrición</v>
      </c>
      <c r="F479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479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479" s="42" t="str">
        <f ca="1">IFERROR(__xludf.DUMMYFUNCTION("""COMPUTED_VALUE"""),"HOM Marzo")</f>
        <v>HOM Marzo</v>
      </c>
      <c r="I479" s="42" t="str">
        <f ca="1">IFERROR(__xludf.DUMMYFUNCTION("""COMPUTED_VALUE"""),"Marzo")</f>
        <v>Marzo</v>
      </c>
      <c r="J479" s="42" t="str">
        <f ca="1">IFERROR(__xludf.DUMMYFUNCTION("""COMPUTED_VALUE"""),"HOM")</f>
        <v>HOM</v>
      </c>
      <c r="K479" s="98">
        <f ca="1">IFERROR(__xludf.DUMMYFUNCTION("""COMPUTED_VALUE"""),0)</f>
        <v>0</v>
      </c>
      <c r="L479" s="42" t="str">
        <f ca="1">IFERROR(__xludf.DUMMYFUNCTION("""COMPUTED_VALUE"""),"TRIMESTRE 1")</f>
        <v>TRIMESTRE 1</v>
      </c>
      <c r="M479" s="42" t="str">
        <f ca="1">IFERROR(__xludf.DUMMYFUNCTION("""COMPUTED_VALUE"""),"HOMBRES ADULTOS")</f>
        <v>HOMBRES ADULTOS</v>
      </c>
    </row>
    <row r="480" spans="1:13">
      <c r="A480" s="42" t="str">
        <f ca="1">IFERROR(__xludf.DUMMYFUNCTION("""COMPUTED_VALUE"""),"2.1.1.7")</f>
        <v>2.1.1.7</v>
      </c>
      <c r="B480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80" s="42" t="str">
        <f ca="1">IFERROR(__xludf.DUMMYFUNCTION("""COMPUTED_VALUE"""),"3. Operación")</f>
        <v>3. Operación</v>
      </c>
      <c r="D480" s="42" t="str">
        <f ca="1">IFERROR(__xludf.DUMMYFUNCTION("""COMPUTED_VALUE"""),"Guadalajara en Paz")</f>
        <v>Guadalajara en Paz</v>
      </c>
      <c r="E480" s="42" t="str">
        <f ca="1">IFERROR(__xludf.DUMMYFUNCTION("""COMPUTED_VALUE"""),"Asistencia Alimentaria y Nutrición")</f>
        <v>Asistencia Alimentaria y Nutrición</v>
      </c>
      <c r="F480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480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480" s="42" t="str">
        <f ca="1">IFERROR(__xludf.DUMMYFUNCTION("""COMPUTED_VALUE"""),"AMM Marzo")</f>
        <v>AMM Marzo</v>
      </c>
      <c r="I480" s="42" t="str">
        <f ca="1">IFERROR(__xludf.DUMMYFUNCTION("""COMPUTED_VALUE"""),"Marzo")</f>
        <v>Marzo</v>
      </c>
      <c r="J480" s="42" t="str">
        <f ca="1">IFERROR(__xludf.DUMMYFUNCTION("""COMPUTED_VALUE"""),"AMM")</f>
        <v>AMM</v>
      </c>
      <c r="K480" s="98">
        <f ca="1">IFERROR(__xludf.DUMMYFUNCTION("""COMPUTED_VALUE"""),0)</f>
        <v>0</v>
      </c>
      <c r="L480" s="42" t="str">
        <f ca="1">IFERROR(__xludf.DUMMYFUNCTION("""COMPUTED_VALUE"""),"TRIMESTRE 1")</f>
        <v>TRIMESTRE 1</v>
      </c>
      <c r="M480" s="42" t="str">
        <f ca="1">IFERROR(__xludf.DUMMYFUNCTION("""COMPUTED_VALUE"""),"ADULTA MAYOR MUJER")</f>
        <v>ADULTA MAYOR MUJER</v>
      </c>
    </row>
    <row r="481" spans="1:13">
      <c r="A481" s="42" t="str">
        <f ca="1">IFERROR(__xludf.DUMMYFUNCTION("""COMPUTED_VALUE"""),"2.1.1.7")</f>
        <v>2.1.1.7</v>
      </c>
      <c r="B481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81" s="42" t="str">
        <f ca="1">IFERROR(__xludf.DUMMYFUNCTION("""COMPUTED_VALUE"""),"3. Operación")</f>
        <v>3. Operación</v>
      </c>
      <c r="D481" s="42" t="str">
        <f ca="1">IFERROR(__xludf.DUMMYFUNCTION("""COMPUTED_VALUE"""),"Guadalajara en Paz")</f>
        <v>Guadalajara en Paz</v>
      </c>
      <c r="E481" s="42" t="str">
        <f ca="1">IFERROR(__xludf.DUMMYFUNCTION("""COMPUTED_VALUE"""),"Asistencia Alimentaria y Nutrición")</f>
        <v>Asistencia Alimentaria y Nutrición</v>
      </c>
      <c r="F481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481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481" s="42" t="str">
        <f ca="1">IFERROR(__xludf.DUMMYFUNCTION("""COMPUTED_VALUE"""),"AMH Marzo")</f>
        <v>AMH Marzo</v>
      </c>
      <c r="I481" s="42" t="str">
        <f ca="1">IFERROR(__xludf.DUMMYFUNCTION("""COMPUTED_VALUE"""),"Marzo")</f>
        <v>Marzo</v>
      </c>
      <c r="J481" s="42" t="str">
        <f ca="1">IFERROR(__xludf.DUMMYFUNCTION("""COMPUTED_VALUE"""),"AMH")</f>
        <v>AMH</v>
      </c>
      <c r="K481" s="98">
        <f ca="1">IFERROR(__xludf.DUMMYFUNCTION("""COMPUTED_VALUE"""),0)</f>
        <v>0</v>
      </c>
      <c r="L481" s="42" t="str">
        <f ca="1">IFERROR(__xludf.DUMMYFUNCTION("""COMPUTED_VALUE"""),"TRIMESTRE 1")</f>
        <v>TRIMESTRE 1</v>
      </c>
      <c r="M481" s="42" t="str">
        <f ca="1">IFERROR(__xludf.DUMMYFUNCTION("""COMPUTED_VALUE"""),"ADULTO MAYOR HOMBRE")</f>
        <v>ADULTO MAYOR HOMBRE</v>
      </c>
    </row>
    <row r="482" spans="1:13">
      <c r="A482" s="42" t="str">
        <f ca="1">IFERROR(__xludf.DUMMYFUNCTION("""COMPUTED_VALUE"""),"2.1.1.4")</f>
        <v>2.1.1.4</v>
      </c>
      <c r="B482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82" s="42" t="str">
        <f ca="1">IFERROR(__xludf.DUMMYFUNCTION("""COMPUTED_VALUE"""),"3. Operación")</f>
        <v>3. Operación</v>
      </c>
      <c r="D482" s="42" t="str">
        <f ca="1">IFERROR(__xludf.DUMMYFUNCTION("""COMPUTED_VALUE"""),"Guadalajara en Paz")</f>
        <v>Guadalajara en Paz</v>
      </c>
      <c r="E482" s="42" t="str">
        <f ca="1">IFERROR(__xludf.DUMMYFUNCTION("""COMPUTED_VALUE"""),"Asistencia Alimentaria y Nutrición")</f>
        <v>Asistencia Alimentaria y Nutrición</v>
      </c>
      <c r="F482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482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482" s="42" t="str">
        <f ca="1">IFERROR(__xludf.DUMMYFUNCTION("""COMPUTED_VALUE"""),"NAS Abril")</f>
        <v>NAS Abril</v>
      </c>
      <c r="I482" s="42" t="str">
        <f ca="1">IFERROR(__xludf.DUMMYFUNCTION("""COMPUTED_VALUE"""),"Abril")</f>
        <v>Abril</v>
      </c>
      <c r="J482" s="42" t="str">
        <f ca="1">IFERROR(__xludf.DUMMYFUNCTION("""COMPUTED_VALUE"""),"NAS")</f>
        <v>NAS</v>
      </c>
      <c r="K482" s="98">
        <f ca="1">IFERROR(__xludf.DUMMYFUNCTION("""COMPUTED_VALUE"""),2776)</f>
        <v>2776</v>
      </c>
      <c r="L482" s="42" t="str">
        <f ca="1">IFERROR(__xludf.DUMMYFUNCTION("""COMPUTED_VALUE"""),"TRIMESTRE 2")</f>
        <v>TRIMESTRE 2</v>
      </c>
      <c r="M482" s="42" t="str">
        <f ca="1">IFERROR(__xludf.DUMMYFUNCTION("""COMPUTED_VALUE"""),"NIÑAS")</f>
        <v>NIÑAS</v>
      </c>
    </row>
    <row r="483" spans="1:13">
      <c r="A483" s="42" t="str">
        <f ca="1">IFERROR(__xludf.DUMMYFUNCTION("""COMPUTED_VALUE"""),"2.1.1.4")</f>
        <v>2.1.1.4</v>
      </c>
      <c r="B483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83" s="42" t="str">
        <f ca="1">IFERROR(__xludf.DUMMYFUNCTION("""COMPUTED_VALUE"""),"3. Operación")</f>
        <v>3. Operación</v>
      </c>
      <c r="D483" s="42" t="str">
        <f ca="1">IFERROR(__xludf.DUMMYFUNCTION("""COMPUTED_VALUE"""),"Guadalajara en Paz")</f>
        <v>Guadalajara en Paz</v>
      </c>
      <c r="E483" s="42" t="str">
        <f ca="1">IFERROR(__xludf.DUMMYFUNCTION("""COMPUTED_VALUE"""),"Asistencia Alimentaria y Nutrición")</f>
        <v>Asistencia Alimentaria y Nutrición</v>
      </c>
      <c r="F483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483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483" s="42" t="str">
        <f ca="1">IFERROR(__xludf.DUMMYFUNCTION("""COMPUTED_VALUE"""),"NOS Abril")</f>
        <v>NOS Abril</v>
      </c>
      <c r="I483" s="42" t="str">
        <f ca="1">IFERROR(__xludf.DUMMYFUNCTION("""COMPUTED_VALUE"""),"Abril")</f>
        <v>Abril</v>
      </c>
      <c r="J483" s="42" t="str">
        <f ca="1">IFERROR(__xludf.DUMMYFUNCTION("""COMPUTED_VALUE"""),"NOS")</f>
        <v>NOS</v>
      </c>
      <c r="K483" s="98">
        <f ca="1">IFERROR(__xludf.DUMMYFUNCTION("""COMPUTED_VALUE"""),2869)</f>
        <v>2869</v>
      </c>
      <c r="L483" s="42" t="str">
        <f ca="1">IFERROR(__xludf.DUMMYFUNCTION("""COMPUTED_VALUE"""),"TRIMESTRE 2")</f>
        <v>TRIMESTRE 2</v>
      </c>
      <c r="M483" s="42" t="str">
        <f ca="1">IFERROR(__xludf.DUMMYFUNCTION("""COMPUTED_VALUE"""),"NIÑOS")</f>
        <v>NIÑOS</v>
      </c>
    </row>
    <row r="484" spans="1:13">
      <c r="A484" s="42" t="str">
        <f ca="1">IFERROR(__xludf.DUMMYFUNCTION("""COMPUTED_VALUE"""),"2.1.1.4")</f>
        <v>2.1.1.4</v>
      </c>
      <c r="B484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84" s="42" t="str">
        <f ca="1">IFERROR(__xludf.DUMMYFUNCTION("""COMPUTED_VALUE"""),"3. Operación")</f>
        <v>3. Operación</v>
      </c>
      <c r="D484" s="42" t="str">
        <f ca="1">IFERROR(__xludf.DUMMYFUNCTION("""COMPUTED_VALUE"""),"Guadalajara en Paz")</f>
        <v>Guadalajara en Paz</v>
      </c>
      <c r="E484" s="42" t="str">
        <f ca="1">IFERROR(__xludf.DUMMYFUNCTION("""COMPUTED_VALUE"""),"Asistencia Alimentaria y Nutrición")</f>
        <v>Asistencia Alimentaria y Nutrición</v>
      </c>
      <c r="F484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484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484" s="42" t="str">
        <f ca="1">IFERROR(__xludf.DUMMYFUNCTION("""COMPUTED_VALUE"""),"AM ABRIL")</f>
        <v>AM ABRIL</v>
      </c>
      <c r="I484" s="42" t="str">
        <f ca="1">IFERROR(__xludf.DUMMYFUNCTION("""COMPUTED_VALUE"""),"Abril")</f>
        <v>Abril</v>
      </c>
      <c r="J484" s="42" t="str">
        <f ca="1">IFERROR(__xludf.DUMMYFUNCTION("""COMPUTED_VALUE"""),"AM")</f>
        <v>AM</v>
      </c>
      <c r="K484" s="98">
        <f ca="1">IFERROR(__xludf.DUMMYFUNCTION("""COMPUTED_VALUE"""),315)</f>
        <v>315</v>
      </c>
      <c r="L484" s="42" t="str">
        <f ca="1">IFERROR(__xludf.DUMMYFUNCTION("""COMPUTED_VALUE"""),"TRIMESTRE 2")</f>
        <v>TRIMESTRE 2</v>
      </c>
      <c r="M484" s="42" t="str">
        <f ca="1">IFERROR(__xludf.DUMMYFUNCTION("""COMPUTED_VALUE"""),"ADOLESCENTES MUJERES")</f>
        <v>ADOLESCENTES MUJERES</v>
      </c>
    </row>
    <row r="485" spans="1:13">
      <c r="A485" s="42" t="str">
        <f ca="1">IFERROR(__xludf.DUMMYFUNCTION("""COMPUTED_VALUE"""),"2.1.1.4")</f>
        <v>2.1.1.4</v>
      </c>
      <c r="B485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85" s="42" t="str">
        <f ca="1">IFERROR(__xludf.DUMMYFUNCTION("""COMPUTED_VALUE"""),"3. Operación")</f>
        <v>3. Operación</v>
      </c>
      <c r="D485" s="42" t="str">
        <f ca="1">IFERROR(__xludf.DUMMYFUNCTION("""COMPUTED_VALUE"""),"Guadalajara en Paz")</f>
        <v>Guadalajara en Paz</v>
      </c>
      <c r="E485" s="42" t="str">
        <f ca="1">IFERROR(__xludf.DUMMYFUNCTION("""COMPUTED_VALUE"""),"Asistencia Alimentaria y Nutrición")</f>
        <v>Asistencia Alimentaria y Nutrición</v>
      </c>
      <c r="F485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485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485" s="42" t="str">
        <f ca="1">IFERROR(__xludf.DUMMYFUNCTION("""COMPUTED_VALUE"""),"AH ABRIL")</f>
        <v>AH ABRIL</v>
      </c>
      <c r="I485" s="42" t="str">
        <f ca="1">IFERROR(__xludf.DUMMYFUNCTION("""COMPUTED_VALUE"""),"Abril")</f>
        <v>Abril</v>
      </c>
      <c r="J485" s="42" t="str">
        <f ca="1">IFERROR(__xludf.DUMMYFUNCTION("""COMPUTED_VALUE"""),"AH")</f>
        <v>AH</v>
      </c>
      <c r="K485" s="98">
        <f ca="1">IFERROR(__xludf.DUMMYFUNCTION("""COMPUTED_VALUE"""),305)</f>
        <v>305</v>
      </c>
      <c r="L485" s="42" t="str">
        <f ca="1">IFERROR(__xludf.DUMMYFUNCTION("""COMPUTED_VALUE"""),"TRIMESTRE 2")</f>
        <v>TRIMESTRE 2</v>
      </c>
      <c r="M485" s="42" t="str">
        <f ca="1">IFERROR(__xludf.DUMMYFUNCTION("""COMPUTED_VALUE"""),"ADOLESCENTES HOMBRES")</f>
        <v>ADOLESCENTES HOMBRES</v>
      </c>
    </row>
    <row r="486" spans="1:13">
      <c r="A486" s="42" t="str">
        <f ca="1">IFERROR(__xludf.DUMMYFUNCTION("""COMPUTED_VALUE"""),"2.1.1.4")</f>
        <v>2.1.1.4</v>
      </c>
      <c r="B486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86" s="42" t="str">
        <f ca="1">IFERROR(__xludf.DUMMYFUNCTION("""COMPUTED_VALUE"""),"3. Operación")</f>
        <v>3. Operación</v>
      </c>
      <c r="D486" s="42" t="str">
        <f ca="1">IFERROR(__xludf.DUMMYFUNCTION("""COMPUTED_VALUE"""),"Guadalajara en Paz")</f>
        <v>Guadalajara en Paz</v>
      </c>
      <c r="E486" s="42" t="str">
        <f ca="1">IFERROR(__xludf.DUMMYFUNCTION("""COMPUTED_VALUE"""),"Asistencia Alimentaria y Nutrición")</f>
        <v>Asistencia Alimentaria y Nutrición</v>
      </c>
      <c r="F486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486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486" s="42" t="str">
        <f ca="1">IFERROR(__xludf.DUMMYFUNCTION("""COMPUTED_VALUE"""),"MUJ Abril")</f>
        <v>MUJ Abril</v>
      </c>
      <c r="I486" s="42" t="str">
        <f ca="1">IFERROR(__xludf.DUMMYFUNCTION("""COMPUTED_VALUE"""),"Abril")</f>
        <v>Abril</v>
      </c>
      <c r="J486" s="42" t="str">
        <f ca="1">IFERROR(__xludf.DUMMYFUNCTION("""COMPUTED_VALUE"""),"MUJ")</f>
        <v>MUJ</v>
      </c>
      <c r="K486" s="98">
        <f ca="1">IFERROR(__xludf.DUMMYFUNCTION("""COMPUTED_VALUE"""),0)</f>
        <v>0</v>
      </c>
      <c r="L486" s="42" t="str">
        <f ca="1">IFERROR(__xludf.DUMMYFUNCTION("""COMPUTED_VALUE"""),"TRIMESTRE 2")</f>
        <v>TRIMESTRE 2</v>
      </c>
      <c r="M486" s="42" t="str">
        <f ca="1">IFERROR(__xludf.DUMMYFUNCTION("""COMPUTED_VALUE"""),"MUJERES ADULTAS")</f>
        <v>MUJERES ADULTAS</v>
      </c>
    </row>
    <row r="487" spans="1:13">
      <c r="A487" s="42" t="str">
        <f ca="1">IFERROR(__xludf.DUMMYFUNCTION("""COMPUTED_VALUE"""),"2.1.1.4")</f>
        <v>2.1.1.4</v>
      </c>
      <c r="B487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87" s="42" t="str">
        <f ca="1">IFERROR(__xludf.DUMMYFUNCTION("""COMPUTED_VALUE"""),"3. Operación")</f>
        <v>3. Operación</v>
      </c>
      <c r="D487" s="42" t="str">
        <f ca="1">IFERROR(__xludf.DUMMYFUNCTION("""COMPUTED_VALUE"""),"Guadalajara en Paz")</f>
        <v>Guadalajara en Paz</v>
      </c>
      <c r="E487" s="42" t="str">
        <f ca="1">IFERROR(__xludf.DUMMYFUNCTION("""COMPUTED_VALUE"""),"Asistencia Alimentaria y Nutrición")</f>
        <v>Asistencia Alimentaria y Nutrición</v>
      </c>
      <c r="F487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487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487" s="42" t="str">
        <f ca="1">IFERROR(__xludf.DUMMYFUNCTION("""COMPUTED_VALUE"""),"HOM Abril")</f>
        <v>HOM Abril</v>
      </c>
      <c r="I487" s="42" t="str">
        <f ca="1">IFERROR(__xludf.DUMMYFUNCTION("""COMPUTED_VALUE"""),"Abril")</f>
        <v>Abril</v>
      </c>
      <c r="J487" s="42" t="str">
        <f ca="1">IFERROR(__xludf.DUMMYFUNCTION("""COMPUTED_VALUE"""),"HOM")</f>
        <v>HOM</v>
      </c>
      <c r="K487" s="98">
        <f ca="1">IFERROR(__xludf.DUMMYFUNCTION("""COMPUTED_VALUE"""),0)</f>
        <v>0</v>
      </c>
      <c r="L487" s="42" t="str">
        <f ca="1">IFERROR(__xludf.DUMMYFUNCTION("""COMPUTED_VALUE"""),"TRIMESTRE 2")</f>
        <v>TRIMESTRE 2</v>
      </c>
      <c r="M487" s="42" t="str">
        <f ca="1">IFERROR(__xludf.DUMMYFUNCTION("""COMPUTED_VALUE"""),"HOMBRES ADULTOS")</f>
        <v>HOMBRES ADULTOS</v>
      </c>
    </row>
    <row r="488" spans="1:13">
      <c r="A488" s="42" t="str">
        <f ca="1">IFERROR(__xludf.DUMMYFUNCTION("""COMPUTED_VALUE"""),"2.1.1.4")</f>
        <v>2.1.1.4</v>
      </c>
      <c r="B488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88" s="42" t="str">
        <f ca="1">IFERROR(__xludf.DUMMYFUNCTION("""COMPUTED_VALUE"""),"3. Operación")</f>
        <v>3. Operación</v>
      </c>
      <c r="D488" s="42" t="str">
        <f ca="1">IFERROR(__xludf.DUMMYFUNCTION("""COMPUTED_VALUE"""),"Guadalajara en Paz")</f>
        <v>Guadalajara en Paz</v>
      </c>
      <c r="E488" s="42" t="str">
        <f ca="1">IFERROR(__xludf.DUMMYFUNCTION("""COMPUTED_VALUE"""),"Asistencia Alimentaria y Nutrición")</f>
        <v>Asistencia Alimentaria y Nutrición</v>
      </c>
      <c r="F488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488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488" s="42" t="str">
        <f ca="1">IFERROR(__xludf.DUMMYFUNCTION("""COMPUTED_VALUE"""),"AMM Abril")</f>
        <v>AMM Abril</v>
      </c>
      <c r="I488" s="42" t="str">
        <f ca="1">IFERROR(__xludf.DUMMYFUNCTION("""COMPUTED_VALUE"""),"Abril")</f>
        <v>Abril</v>
      </c>
      <c r="J488" s="42" t="str">
        <f ca="1">IFERROR(__xludf.DUMMYFUNCTION("""COMPUTED_VALUE"""),"AMM")</f>
        <v>AMM</v>
      </c>
      <c r="K488" s="98">
        <f ca="1">IFERROR(__xludf.DUMMYFUNCTION("""COMPUTED_VALUE"""),0)</f>
        <v>0</v>
      </c>
      <c r="L488" s="42" t="str">
        <f ca="1">IFERROR(__xludf.DUMMYFUNCTION("""COMPUTED_VALUE"""),"TRIMESTRE 2")</f>
        <v>TRIMESTRE 2</v>
      </c>
      <c r="M488" s="42" t="str">
        <f ca="1">IFERROR(__xludf.DUMMYFUNCTION("""COMPUTED_VALUE"""),"ADULTA MAYOR MUJER")</f>
        <v>ADULTA MAYOR MUJER</v>
      </c>
    </row>
    <row r="489" spans="1:13">
      <c r="A489" s="42" t="str">
        <f ca="1">IFERROR(__xludf.DUMMYFUNCTION("""COMPUTED_VALUE"""),"2.1.1.4")</f>
        <v>2.1.1.4</v>
      </c>
      <c r="B489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89" s="42" t="str">
        <f ca="1">IFERROR(__xludf.DUMMYFUNCTION("""COMPUTED_VALUE"""),"3. Operación")</f>
        <v>3. Operación</v>
      </c>
      <c r="D489" s="42" t="str">
        <f ca="1">IFERROR(__xludf.DUMMYFUNCTION("""COMPUTED_VALUE"""),"Guadalajara en Paz")</f>
        <v>Guadalajara en Paz</v>
      </c>
      <c r="E489" s="42" t="str">
        <f ca="1">IFERROR(__xludf.DUMMYFUNCTION("""COMPUTED_VALUE"""),"Asistencia Alimentaria y Nutrición")</f>
        <v>Asistencia Alimentaria y Nutrición</v>
      </c>
      <c r="F489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489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489" s="42" t="str">
        <f ca="1">IFERROR(__xludf.DUMMYFUNCTION("""COMPUTED_VALUE"""),"AMH Abril")</f>
        <v>AMH Abril</v>
      </c>
      <c r="I489" s="42" t="str">
        <f ca="1">IFERROR(__xludf.DUMMYFUNCTION("""COMPUTED_VALUE"""),"Abril")</f>
        <v>Abril</v>
      </c>
      <c r="J489" s="42" t="str">
        <f ca="1">IFERROR(__xludf.DUMMYFUNCTION("""COMPUTED_VALUE"""),"AMH")</f>
        <v>AMH</v>
      </c>
      <c r="K489" s="98">
        <f ca="1">IFERROR(__xludf.DUMMYFUNCTION("""COMPUTED_VALUE"""),0)</f>
        <v>0</v>
      </c>
      <c r="L489" s="42" t="str">
        <f ca="1">IFERROR(__xludf.DUMMYFUNCTION("""COMPUTED_VALUE"""),"TRIMESTRE 2")</f>
        <v>TRIMESTRE 2</v>
      </c>
      <c r="M489" s="42" t="str">
        <f ca="1">IFERROR(__xludf.DUMMYFUNCTION("""COMPUTED_VALUE"""),"ADULTO MAYOR HOMBRE")</f>
        <v>ADULTO MAYOR HOMBRE</v>
      </c>
    </row>
    <row r="490" spans="1:13">
      <c r="A490" s="42" t="str">
        <f ca="1">IFERROR(__xludf.DUMMYFUNCTION("""COMPUTED_VALUE"""),"2.1.1.5")</f>
        <v>2.1.1.5</v>
      </c>
      <c r="B490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90" s="42" t="str">
        <f ca="1">IFERROR(__xludf.DUMMYFUNCTION("""COMPUTED_VALUE"""),"3. Operación")</f>
        <v>3. Operación</v>
      </c>
      <c r="D490" s="42" t="str">
        <f ca="1">IFERROR(__xludf.DUMMYFUNCTION("""COMPUTED_VALUE"""),"Guadalajara en Paz")</f>
        <v>Guadalajara en Paz</v>
      </c>
      <c r="E490" s="42" t="str">
        <f ca="1">IFERROR(__xludf.DUMMYFUNCTION("""COMPUTED_VALUE"""),"Asistencia Alimentaria y Nutrición")</f>
        <v>Asistencia Alimentaria y Nutrición</v>
      </c>
      <c r="F490" s="42" t="str">
        <f ca="1">IFERROR(__xludf.DUMMYFUNCTION("""COMPUTED_VALUE"""),"A5C1. Apoyos del Programa de Alimentación Escolar entregados en 2023")</f>
        <v>A5C1. Apoyos del Programa de Alimentación Escolar entregados en 2023</v>
      </c>
      <c r="G490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490" s="42" t="str">
        <f ca="1">IFERROR(__xludf.DUMMYFUNCTION("""COMPUTED_VALUE"""),"NAS Abril")</f>
        <v>NAS Abril</v>
      </c>
      <c r="I490" s="42" t="str">
        <f ca="1">IFERROR(__xludf.DUMMYFUNCTION("""COMPUTED_VALUE"""),"Abril")</f>
        <v>Abril</v>
      </c>
      <c r="J490" s="42" t="str">
        <f ca="1">IFERROR(__xludf.DUMMYFUNCTION("""COMPUTED_VALUE"""),"NAS")</f>
        <v>NAS</v>
      </c>
      <c r="K490" s="98">
        <f ca="1">IFERROR(__xludf.DUMMYFUNCTION("""COMPUTED_VALUE"""),149904)</f>
        <v>149904</v>
      </c>
      <c r="L490" s="42" t="str">
        <f ca="1">IFERROR(__xludf.DUMMYFUNCTION("""COMPUTED_VALUE"""),"TRIMESTRE 2")</f>
        <v>TRIMESTRE 2</v>
      </c>
      <c r="M490" s="42" t="str">
        <f ca="1">IFERROR(__xludf.DUMMYFUNCTION("""COMPUTED_VALUE"""),"NIÑAS")</f>
        <v>NIÑAS</v>
      </c>
    </row>
    <row r="491" spans="1:13">
      <c r="A491" s="42" t="str">
        <f ca="1">IFERROR(__xludf.DUMMYFUNCTION("""COMPUTED_VALUE"""),"2.1.1.5")</f>
        <v>2.1.1.5</v>
      </c>
      <c r="B491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91" s="42" t="str">
        <f ca="1">IFERROR(__xludf.DUMMYFUNCTION("""COMPUTED_VALUE"""),"3. Operación")</f>
        <v>3. Operación</v>
      </c>
      <c r="D491" s="42" t="str">
        <f ca="1">IFERROR(__xludf.DUMMYFUNCTION("""COMPUTED_VALUE"""),"Guadalajara en Paz")</f>
        <v>Guadalajara en Paz</v>
      </c>
      <c r="E491" s="42" t="str">
        <f ca="1">IFERROR(__xludf.DUMMYFUNCTION("""COMPUTED_VALUE"""),"Asistencia Alimentaria y Nutrición")</f>
        <v>Asistencia Alimentaria y Nutrición</v>
      </c>
      <c r="F491" s="42" t="str">
        <f ca="1">IFERROR(__xludf.DUMMYFUNCTION("""COMPUTED_VALUE"""),"A5C1. Apoyos del Programa de Alimentación Escolar entregados en 2023")</f>
        <v>A5C1. Apoyos del Programa de Alimentación Escolar entregados en 2023</v>
      </c>
      <c r="G491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491" s="42" t="str">
        <f ca="1">IFERROR(__xludf.DUMMYFUNCTION("""COMPUTED_VALUE"""),"NOS Abril")</f>
        <v>NOS Abril</v>
      </c>
      <c r="I491" s="42" t="str">
        <f ca="1">IFERROR(__xludf.DUMMYFUNCTION("""COMPUTED_VALUE"""),"Abril")</f>
        <v>Abril</v>
      </c>
      <c r="J491" s="42" t="str">
        <f ca="1">IFERROR(__xludf.DUMMYFUNCTION("""COMPUTED_VALUE"""),"NOS")</f>
        <v>NOS</v>
      </c>
      <c r="K491" s="98">
        <f ca="1">IFERROR(__xludf.DUMMYFUNCTION("""COMPUTED_VALUE"""),154926)</f>
        <v>154926</v>
      </c>
      <c r="L491" s="42" t="str">
        <f ca="1">IFERROR(__xludf.DUMMYFUNCTION("""COMPUTED_VALUE"""),"TRIMESTRE 2")</f>
        <v>TRIMESTRE 2</v>
      </c>
      <c r="M491" s="42" t="str">
        <f ca="1">IFERROR(__xludf.DUMMYFUNCTION("""COMPUTED_VALUE"""),"NIÑOS")</f>
        <v>NIÑOS</v>
      </c>
    </row>
    <row r="492" spans="1:13">
      <c r="A492" s="42" t="str">
        <f ca="1">IFERROR(__xludf.DUMMYFUNCTION("""COMPUTED_VALUE"""),"2.1.1.5")</f>
        <v>2.1.1.5</v>
      </c>
      <c r="B492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92" s="42" t="str">
        <f ca="1">IFERROR(__xludf.DUMMYFUNCTION("""COMPUTED_VALUE"""),"3. Operación")</f>
        <v>3. Operación</v>
      </c>
      <c r="D492" s="42" t="str">
        <f ca="1">IFERROR(__xludf.DUMMYFUNCTION("""COMPUTED_VALUE"""),"Guadalajara en Paz")</f>
        <v>Guadalajara en Paz</v>
      </c>
      <c r="E492" s="42" t="str">
        <f ca="1">IFERROR(__xludf.DUMMYFUNCTION("""COMPUTED_VALUE"""),"Asistencia Alimentaria y Nutrición")</f>
        <v>Asistencia Alimentaria y Nutrición</v>
      </c>
      <c r="F492" s="42" t="str">
        <f ca="1">IFERROR(__xludf.DUMMYFUNCTION("""COMPUTED_VALUE"""),"A5C1. Apoyos del Programa de Alimentación Escolar entregados en 2023")</f>
        <v>A5C1. Apoyos del Programa de Alimentación Escolar entregados en 2023</v>
      </c>
      <c r="G492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492" s="42" t="str">
        <f ca="1">IFERROR(__xludf.DUMMYFUNCTION("""COMPUTED_VALUE"""),"AM ABRIL")</f>
        <v>AM ABRIL</v>
      </c>
      <c r="I492" s="42" t="str">
        <f ca="1">IFERROR(__xludf.DUMMYFUNCTION("""COMPUTED_VALUE"""),"Abril")</f>
        <v>Abril</v>
      </c>
      <c r="J492" s="42" t="str">
        <f ca="1">IFERROR(__xludf.DUMMYFUNCTION("""COMPUTED_VALUE"""),"AM")</f>
        <v>AM</v>
      </c>
      <c r="K492" s="98">
        <f ca="1">IFERROR(__xludf.DUMMYFUNCTION("""COMPUTED_VALUE"""),17010)</f>
        <v>17010</v>
      </c>
      <c r="L492" s="42" t="str">
        <f ca="1">IFERROR(__xludf.DUMMYFUNCTION("""COMPUTED_VALUE"""),"TRIMESTRE 2")</f>
        <v>TRIMESTRE 2</v>
      </c>
      <c r="M492" s="42" t="str">
        <f ca="1">IFERROR(__xludf.DUMMYFUNCTION("""COMPUTED_VALUE"""),"ADOLESCENTES MUJERES")</f>
        <v>ADOLESCENTES MUJERES</v>
      </c>
    </row>
    <row r="493" spans="1:13">
      <c r="A493" s="42" t="str">
        <f ca="1">IFERROR(__xludf.DUMMYFUNCTION("""COMPUTED_VALUE"""),"2.1.1.5")</f>
        <v>2.1.1.5</v>
      </c>
      <c r="B493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93" s="42" t="str">
        <f ca="1">IFERROR(__xludf.DUMMYFUNCTION("""COMPUTED_VALUE"""),"3. Operación")</f>
        <v>3. Operación</v>
      </c>
      <c r="D493" s="42" t="str">
        <f ca="1">IFERROR(__xludf.DUMMYFUNCTION("""COMPUTED_VALUE"""),"Guadalajara en Paz")</f>
        <v>Guadalajara en Paz</v>
      </c>
      <c r="E493" s="42" t="str">
        <f ca="1">IFERROR(__xludf.DUMMYFUNCTION("""COMPUTED_VALUE"""),"Asistencia Alimentaria y Nutrición")</f>
        <v>Asistencia Alimentaria y Nutrición</v>
      </c>
      <c r="F493" s="42" t="str">
        <f ca="1">IFERROR(__xludf.DUMMYFUNCTION("""COMPUTED_VALUE"""),"A5C1. Apoyos del Programa de Alimentación Escolar entregados en 2023")</f>
        <v>A5C1. Apoyos del Programa de Alimentación Escolar entregados en 2023</v>
      </c>
      <c r="G493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493" s="42" t="str">
        <f ca="1">IFERROR(__xludf.DUMMYFUNCTION("""COMPUTED_VALUE"""),"AH ABRIL")</f>
        <v>AH ABRIL</v>
      </c>
      <c r="I493" s="42" t="str">
        <f ca="1">IFERROR(__xludf.DUMMYFUNCTION("""COMPUTED_VALUE"""),"Abril")</f>
        <v>Abril</v>
      </c>
      <c r="J493" s="42" t="str">
        <f ca="1">IFERROR(__xludf.DUMMYFUNCTION("""COMPUTED_VALUE"""),"AH")</f>
        <v>AH</v>
      </c>
      <c r="K493" s="98">
        <f ca="1">IFERROR(__xludf.DUMMYFUNCTION("""COMPUTED_VALUE"""),16470)</f>
        <v>16470</v>
      </c>
      <c r="L493" s="42" t="str">
        <f ca="1">IFERROR(__xludf.DUMMYFUNCTION("""COMPUTED_VALUE"""),"TRIMESTRE 2")</f>
        <v>TRIMESTRE 2</v>
      </c>
      <c r="M493" s="42" t="str">
        <f ca="1">IFERROR(__xludf.DUMMYFUNCTION("""COMPUTED_VALUE"""),"ADOLESCENTES HOMBRES")</f>
        <v>ADOLESCENTES HOMBRES</v>
      </c>
    </row>
    <row r="494" spans="1:13">
      <c r="A494" s="42" t="str">
        <f ca="1">IFERROR(__xludf.DUMMYFUNCTION("""COMPUTED_VALUE"""),"2.1.1.5")</f>
        <v>2.1.1.5</v>
      </c>
      <c r="B494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94" s="42" t="str">
        <f ca="1">IFERROR(__xludf.DUMMYFUNCTION("""COMPUTED_VALUE"""),"3. Operación")</f>
        <v>3. Operación</v>
      </c>
      <c r="D494" s="42" t="str">
        <f ca="1">IFERROR(__xludf.DUMMYFUNCTION("""COMPUTED_VALUE"""),"Guadalajara en Paz")</f>
        <v>Guadalajara en Paz</v>
      </c>
      <c r="E494" s="42" t="str">
        <f ca="1">IFERROR(__xludf.DUMMYFUNCTION("""COMPUTED_VALUE"""),"Asistencia Alimentaria y Nutrición")</f>
        <v>Asistencia Alimentaria y Nutrición</v>
      </c>
      <c r="F494" s="42" t="str">
        <f ca="1">IFERROR(__xludf.DUMMYFUNCTION("""COMPUTED_VALUE"""),"A5C1. Apoyos del Programa de Alimentación Escolar entregados en 2023")</f>
        <v>A5C1. Apoyos del Programa de Alimentación Escolar entregados en 2023</v>
      </c>
      <c r="G494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494" s="42" t="str">
        <f ca="1">IFERROR(__xludf.DUMMYFUNCTION("""COMPUTED_VALUE"""),"MUJ Abril")</f>
        <v>MUJ Abril</v>
      </c>
      <c r="I494" s="42" t="str">
        <f ca="1">IFERROR(__xludf.DUMMYFUNCTION("""COMPUTED_VALUE"""),"Abril")</f>
        <v>Abril</v>
      </c>
      <c r="J494" s="42" t="str">
        <f ca="1">IFERROR(__xludf.DUMMYFUNCTION("""COMPUTED_VALUE"""),"MUJ")</f>
        <v>MUJ</v>
      </c>
      <c r="K494" s="98">
        <f ca="1">IFERROR(__xludf.DUMMYFUNCTION("""COMPUTED_VALUE"""),0)</f>
        <v>0</v>
      </c>
      <c r="L494" s="42" t="str">
        <f ca="1">IFERROR(__xludf.DUMMYFUNCTION("""COMPUTED_VALUE"""),"TRIMESTRE 2")</f>
        <v>TRIMESTRE 2</v>
      </c>
      <c r="M494" s="42" t="str">
        <f ca="1">IFERROR(__xludf.DUMMYFUNCTION("""COMPUTED_VALUE"""),"MUJERES ADULTAS")</f>
        <v>MUJERES ADULTAS</v>
      </c>
    </row>
    <row r="495" spans="1:13">
      <c r="A495" s="42" t="str">
        <f ca="1">IFERROR(__xludf.DUMMYFUNCTION("""COMPUTED_VALUE"""),"2.1.1.5")</f>
        <v>2.1.1.5</v>
      </c>
      <c r="B495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95" s="42" t="str">
        <f ca="1">IFERROR(__xludf.DUMMYFUNCTION("""COMPUTED_VALUE"""),"3. Operación")</f>
        <v>3. Operación</v>
      </c>
      <c r="D495" s="42" t="str">
        <f ca="1">IFERROR(__xludf.DUMMYFUNCTION("""COMPUTED_VALUE"""),"Guadalajara en Paz")</f>
        <v>Guadalajara en Paz</v>
      </c>
      <c r="E495" s="42" t="str">
        <f ca="1">IFERROR(__xludf.DUMMYFUNCTION("""COMPUTED_VALUE"""),"Asistencia Alimentaria y Nutrición")</f>
        <v>Asistencia Alimentaria y Nutrición</v>
      </c>
      <c r="F495" s="42" t="str">
        <f ca="1">IFERROR(__xludf.DUMMYFUNCTION("""COMPUTED_VALUE"""),"A5C1. Apoyos del Programa de Alimentación Escolar entregados en 2023")</f>
        <v>A5C1. Apoyos del Programa de Alimentación Escolar entregados en 2023</v>
      </c>
      <c r="G495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495" s="42" t="str">
        <f ca="1">IFERROR(__xludf.DUMMYFUNCTION("""COMPUTED_VALUE"""),"HOM Abril")</f>
        <v>HOM Abril</v>
      </c>
      <c r="I495" s="42" t="str">
        <f ca="1">IFERROR(__xludf.DUMMYFUNCTION("""COMPUTED_VALUE"""),"Abril")</f>
        <v>Abril</v>
      </c>
      <c r="J495" s="42" t="str">
        <f ca="1">IFERROR(__xludf.DUMMYFUNCTION("""COMPUTED_VALUE"""),"HOM")</f>
        <v>HOM</v>
      </c>
      <c r="K495" s="98">
        <f ca="1">IFERROR(__xludf.DUMMYFUNCTION("""COMPUTED_VALUE"""),0)</f>
        <v>0</v>
      </c>
      <c r="L495" s="42" t="str">
        <f ca="1">IFERROR(__xludf.DUMMYFUNCTION("""COMPUTED_VALUE"""),"TRIMESTRE 2")</f>
        <v>TRIMESTRE 2</v>
      </c>
      <c r="M495" s="42" t="str">
        <f ca="1">IFERROR(__xludf.DUMMYFUNCTION("""COMPUTED_VALUE"""),"HOMBRES ADULTOS")</f>
        <v>HOMBRES ADULTOS</v>
      </c>
    </row>
    <row r="496" spans="1:13">
      <c r="A496" s="42" t="str">
        <f ca="1">IFERROR(__xludf.DUMMYFUNCTION("""COMPUTED_VALUE"""),"2.1.1.5")</f>
        <v>2.1.1.5</v>
      </c>
      <c r="B496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96" s="42" t="str">
        <f ca="1">IFERROR(__xludf.DUMMYFUNCTION("""COMPUTED_VALUE"""),"3. Operación")</f>
        <v>3. Operación</v>
      </c>
      <c r="D496" s="42" t="str">
        <f ca="1">IFERROR(__xludf.DUMMYFUNCTION("""COMPUTED_VALUE"""),"Guadalajara en Paz")</f>
        <v>Guadalajara en Paz</v>
      </c>
      <c r="E496" s="42" t="str">
        <f ca="1">IFERROR(__xludf.DUMMYFUNCTION("""COMPUTED_VALUE"""),"Asistencia Alimentaria y Nutrición")</f>
        <v>Asistencia Alimentaria y Nutrición</v>
      </c>
      <c r="F496" s="42" t="str">
        <f ca="1">IFERROR(__xludf.DUMMYFUNCTION("""COMPUTED_VALUE"""),"A5C1. Apoyos del Programa de Alimentación Escolar entregados en 2023")</f>
        <v>A5C1. Apoyos del Programa de Alimentación Escolar entregados en 2023</v>
      </c>
      <c r="G496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496" s="42" t="str">
        <f ca="1">IFERROR(__xludf.DUMMYFUNCTION("""COMPUTED_VALUE"""),"AMM Abril")</f>
        <v>AMM Abril</v>
      </c>
      <c r="I496" s="42" t="str">
        <f ca="1">IFERROR(__xludf.DUMMYFUNCTION("""COMPUTED_VALUE"""),"Abril")</f>
        <v>Abril</v>
      </c>
      <c r="J496" s="42" t="str">
        <f ca="1">IFERROR(__xludf.DUMMYFUNCTION("""COMPUTED_VALUE"""),"AMM")</f>
        <v>AMM</v>
      </c>
      <c r="K496" s="98">
        <f ca="1">IFERROR(__xludf.DUMMYFUNCTION("""COMPUTED_VALUE"""),0)</f>
        <v>0</v>
      </c>
      <c r="L496" s="42" t="str">
        <f ca="1">IFERROR(__xludf.DUMMYFUNCTION("""COMPUTED_VALUE"""),"TRIMESTRE 2")</f>
        <v>TRIMESTRE 2</v>
      </c>
      <c r="M496" s="42" t="str">
        <f ca="1">IFERROR(__xludf.DUMMYFUNCTION("""COMPUTED_VALUE"""),"ADULTA MAYOR MUJER")</f>
        <v>ADULTA MAYOR MUJER</v>
      </c>
    </row>
    <row r="497" spans="1:13">
      <c r="A497" s="42" t="str">
        <f ca="1">IFERROR(__xludf.DUMMYFUNCTION("""COMPUTED_VALUE"""),"2.1.1.5")</f>
        <v>2.1.1.5</v>
      </c>
      <c r="B497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97" s="42" t="str">
        <f ca="1">IFERROR(__xludf.DUMMYFUNCTION("""COMPUTED_VALUE"""),"3. Operación")</f>
        <v>3. Operación</v>
      </c>
      <c r="D497" s="42" t="str">
        <f ca="1">IFERROR(__xludf.DUMMYFUNCTION("""COMPUTED_VALUE"""),"Guadalajara en Paz")</f>
        <v>Guadalajara en Paz</v>
      </c>
      <c r="E497" s="42" t="str">
        <f ca="1">IFERROR(__xludf.DUMMYFUNCTION("""COMPUTED_VALUE"""),"Asistencia Alimentaria y Nutrición")</f>
        <v>Asistencia Alimentaria y Nutrición</v>
      </c>
      <c r="F497" s="42" t="str">
        <f ca="1">IFERROR(__xludf.DUMMYFUNCTION("""COMPUTED_VALUE"""),"A5C1. Apoyos del Programa de Alimentación Escolar entregados en 2023")</f>
        <v>A5C1. Apoyos del Programa de Alimentación Escolar entregados en 2023</v>
      </c>
      <c r="G497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497" s="42" t="str">
        <f ca="1">IFERROR(__xludf.DUMMYFUNCTION("""COMPUTED_VALUE"""),"AMH Abril")</f>
        <v>AMH Abril</v>
      </c>
      <c r="I497" s="42" t="str">
        <f ca="1">IFERROR(__xludf.DUMMYFUNCTION("""COMPUTED_VALUE"""),"Abril")</f>
        <v>Abril</v>
      </c>
      <c r="J497" s="42" t="str">
        <f ca="1">IFERROR(__xludf.DUMMYFUNCTION("""COMPUTED_VALUE"""),"AMH")</f>
        <v>AMH</v>
      </c>
      <c r="K497" s="98">
        <f ca="1">IFERROR(__xludf.DUMMYFUNCTION("""COMPUTED_VALUE"""),0)</f>
        <v>0</v>
      </c>
      <c r="L497" s="42" t="str">
        <f ca="1">IFERROR(__xludf.DUMMYFUNCTION("""COMPUTED_VALUE"""),"TRIMESTRE 2")</f>
        <v>TRIMESTRE 2</v>
      </c>
      <c r="M497" s="42" t="str">
        <f ca="1">IFERROR(__xludf.DUMMYFUNCTION("""COMPUTED_VALUE"""),"ADULTO MAYOR HOMBRE")</f>
        <v>ADULTO MAYOR HOMBRE</v>
      </c>
    </row>
    <row r="498" spans="1:13">
      <c r="A498" s="42" t="str">
        <f ca="1">IFERROR(__xludf.DUMMYFUNCTION("""COMPUTED_VALUE"""),"2.1.1.6")</f>
        <v>2.1.1.6</v>
      </c>
      <c r="B498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98" s="42" t="str">
        <f ca="1">IFERROR(__xludf.DUMMYFUNCTION("""COMPUTED_VALUE"""),"3. Operación")</f>
        <v>3. Operación</v>
      </c>
      <c r="D498" s="42" t="str">
        <f ca="1">IFERROR(__xludf.DUMMYFUNCTION("""COMPUTED_VALUE"""),"Guadalajara en Paz")</f>
        <v>Guadalajara en Paz</v>
      </c>
      <c r="E498" s="42" t="str">
        <f ca="1">IFERROR(__xludf.DUMMYFUNCTION("""COMPUTED_VALUE"""),"Asistencia Alimentaria y Nutrición")</f>
        <v>Asistencia Alimentaria y Nutrición</v>
      </c>
      <c r="F498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498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498" s="42" t="str">
        <f ca="1">IFERROR(__xludf.DUMMYFUNCTION("""COMPUTED_VALUE"""),"NAS Abril")</f>
        <v>NAS Abril</v>
      </c>
      <c r="I498" s="42" t="str">
        <f ca="1">IFERROR(__xludf.DUMMYFUNCTION("""COMPUTED_VALUE"""),"Abril")</f>
        <v>Abril</v>
      </c>
      <c r="J498" s="42" t="str">
        <f ca="1">IFERROR(__xludf.DUMMYFUNCTION("""COMPUTED_VALUE"""),"NAS")</f>
        <v>NAS</v>
      </c>
      <c r="K498" s="98">
        <f ca="1">IFERROR(__xludf.DUMMYFUNCTION("""COMPUTED_VALUE"""),0)</f>
        <v>0</v>
      </c>
      <c r="L498" s="42" t="str">
        <f ca="1">IFERROR(__xludf.DUMMYFUNCTION("""COMPUTED_VALUE"""),"TRIMESTRE 2")</f>
        <v>TRIMESTRE 2</v>
      </c>
      <c r="M498" s="42" t="str">
        <f ca="1">IFERROR(__xludf.DUMMYFUNCTION("""COMPUTED_VALUE"""),"NIÑAS")</f>
        <v>NIÑAS</v>
      </c>
    </row>
    <row r="499" spans="1:13">
      <c r="A499" s="42" t="str">
        <f ca="1">IFERROR(__xludf.DUMMYFUNCTION("""COMPUTED_VALUE"""),"2.1.1.6")</f>
        <v>2.1.1.6</v>
      </c>
      <c r="B499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499" s="42" t="str">
        <f ca="1">IFERROR(__xludf.DUMMYFUNCTION("""COMPUTED_VALUE"""),"3. Operación")</f>
        <v>3. Operación</v>
      </c>
      <c r="D499" s="42" t="str">
        <f ca="1">IFERROR(__xludf.DUMMYFUNCTION("""COMPUTED_VALUE"""),"Guadalajara en Paz")</f>
        <v>Guadalajara en Paz</v>
      </c>
      <c r="E499" s="42" t="str">
        <f ca="1">IFERROR(__xludf.DUMMYFUNCTION("""COMPUTED_VALUE"""),"Asistencia Alimentaria y Nutrición")</f>
        <v>Asistencia Alimentaria y Nutrición</v>
      </c>
      <c r="F499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499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499" s="42" t="str">
        <f ca="1">IFERROR(__xludf.DUMMYFUNCTION("""COMPUTED_VALUE"""),"NOS Abril")</f>
        <v>NOS Abril</v>
      </c>
      <c r="I499" s="42" t="str">
        <f ca="1">IFERROR(__xludf.DUMMYFUNCTION("""COMPUTED_VALUE"""),"Abril")</f>
        <v>Abril</v>
      </c>
      <c r="J499" s="42" t="str">
        <f ca="1">IFERROR(__xludf.DUMMYFUNCTION("""COMPUTED_VALUE"""),"NOS")</f>
        <v>NOS</v>
      </c>
      <c r="K499" s="98">
        <f ca="1">IFERROR(__xludf.DUMMYFUNCTION("""COMPUTED_VALUE"""),0)</f>
        <v>0</v>
      </c>
      <c r="L499" s="42" t="str">
        <f ca="1">IFERROR(__xludf.DUMMYFUNCTION("""COMPUTED_VALUE"""),"TRIMESTRE 2")</f>
        <v>TRIMESTRE 2</v>
      </c>
      <c r="M499" s="42" t="str">
        <f ca="1">IFERROR(__xludf.DUMMYFUNCTION("""COMPUTED_VALUE"""),"NIÑOS")</f>
        <v>NIÑOS</v>
      </c>
    </row>
    <row r="500" spans="1:13">
      <c r="A500" s="42" t="str">
        <f ca="1">IFERROR(__xludf.DUMMYFUNCTION("""COMPUTED_VALUE"""),"2.1.1.6")</f>
        <v>2.1.1.6</v>
      </c>
      <c r="B500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00" s="42" t="str">
        <f ca="1">IFERROR(__xludf.DUMMYFUNCTION("""COMPUTED_VALUE"""),"3. Operación")</f>
        <v>3. Operación</v>
      </c>
      <c r="D500" s="42" t="str">
        <f ca="1">IFERROR(__xludf.DUMMYFUNCTION("""COMPUTED_VALUE"""),"Guadalajara en Paz")</f>
        <v>Guadalajara en Paz</v>
      </c>
      <c r="E500" s="42" t="str">
        <f ca="1">IFERROR(__xludf.DUMMYFUNCTION("""COMPUTED_VALUE"""),"Asistencia Alimentaria y Nutrición")</f>
        <v>Asistencia Alimentaria y Nutrición</v>
      </c>
      <c r="F500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500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500" s="42" t="str">
        <f ca="1">IFERROR(__xludf.DUMMYFUNCTION("""COMPUTED_VALUE"""),"AM ABRIL")</f>
        <v>AM ABRIL</v>
      </c>
      <c r="I500" s="42" t="str">
        <f ca="1">IFERROR(__xludf.DUMMYFUNCTION("""COMPUTED_VALUE"""),"Abril")</f>
        <v>Abril</v>
      </c>
      <c r="J500" s="42" t="str">
        <f ca="1">IFERROR(__xludf.DUMMYFUNCTION("""COMPUTED_VALUE"""),"AM")</f>
        <v>AM</v>
      </c>
      <c r="K500" s="98">
        <f ca="1">IFERROR(__xludf.DUMMYFUNCTION("""COMPUTED_VALUE"""),0)</f>
        <v>0</v>
      </c>
      <c r="L500" s="42" t="str">
        <f ca="1">IFERROR(__xludf.DUMMYFUNCTION("""COMPUTED_VALUE"""),"TRIMESTRE 2")</f>
        <v>TRIMESTRE 2</v>
      </c>
      <c r="M500" s="42" t="str">
        <f ca="1">IFERROR(__xludf.DUMMYFUNCTION("""COMPUTED_VALUE"""),"ADOLESCENTES MUJERES")</f>
        <v>ADOLESCENTES MUJERES</v>
      </c>
    </row>
    <row r="501" spans="1:13">
      <c r="A501" s="42" t="str">
        <f ca="1">IFERROR(__xludf.DUMMYFUNCTION("""COMPUTED_VALUE"""),"2.1.1.6")</f>
        <v>2.1.1.6</v>
      </c>
      <c r="B501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01" s="42" t="str">
        <f ca="1">IFERROR(__xludf.DUMMYFUNCTION("""COMPUTED_VALUE"""),"3. Operación")</f>
        <v>3. Operación</v>
      </c>
      <c r="D501" s="42" t="str">
        <f ca="1">IFERROR(__xludf.DUMMYFUNCTION("""COMPUTED_VALUE"""),"Guadalajara en Paz")</f>
        <v>Guadalajara en Paz</v>
      </c>
      <c r="E501" s="42" t="str">
        <f ca="1">IFERROR(__xludf.DUMMYFUNCTION("""COMPUTED_VALUE"""),"Asistencia Alimentaria y Nutrición")</f>
        <v>Asistencia Alimentaria y Nutrición</v>
      </c>
      <c r="F501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501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501" s="42" t="str">
        <f ca="1">IFERROR(__xludf.DUMMYFUNCTION("""COMPUTED_VALUE"""),"AH ABRIL")</f>
        <v>AH ABRIL</v>
      </c>
      <c r="I501" s="42" t="str">
        <f ca="1">IFERROR(__xludf.DUMMYFUNCTION("""COMPUTED_VALUE"""),"Abril")</f>
        <v>Abril</v>
      </c>
      <c r="J501" s="42" t="str">
        <f ca="1">IFERROR(__xludf.DUMMYFUNCTION("""COMPUTED_VALUE"""),"AH")</f>
        <v>AH</v>
      </c>
      <c r="K501" s="98">
        <f ca="1">IFERROR(__xludf.DUMMYFUNCTION("""COMPUTED_VALUE"""),0)</f>
        <v>0</v>
      </c>
      <c r="L501" s="42" t="str">
        <f ca="1">IFERROR(__xludf.DUMMYFUNCTION("""COMPUTED_VALUE"""),"TRIMESTRE 2")</f>
        <v>TRIMESTRE 2</v>
      </c>
      <c r="M501" s="42" t="str">
        <f ca="1">IFERROR(__xludf.DUMMYFUNCTION("""COMPUTED_VALUE"""),"ADOLESCENTES HOMBRES")</f>
        <v>ADOLESCENTES HOMBRES</v>
      </c>
    </row>
    <row r="502" spans="1:13">
      <c r="A502" s="42" t="str">
        <f ca="1">IFERROR(__xludf.DUMMYFUNCTION("""COMPUTED_VALUE"""),"2.1.1.6")</f>
        <v>2.1.1.6</v>
      </c>
      <c r="B502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02" s="42" t="str">
        <f ca="1">IFERROR(__xludf.DUMMYFUNCTION("""COMPUTED_VALUE"""),"3. Operación")</f>
        <v>3. Operación</v>
      </c>
      <c r="D502" s="42" t="str">
        <f ca="1">IFERROR(__xludf.DUMMYFUNCTION("""COMPUTED_VALUE"""),"Guadalajara en Paz")</f>
        <v>Guadalajara en Paz</v>
      </c>
      <c r="E502" s="42" t="str">
        <f ca="1">IFERROR(__xludf.DUMMYFUNCTION("""COMPUTED_VALUE"""),"Asistencia Alimentaria y Nutrición")</f>
        <v>Asistencia Alimentaria y Nutrición</v>
      </c>
      <c r="F502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502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502" s="42" t="str">
        <f ca="1">IFERROR(__xludf.DUMMYFUNCTION("""COMPUTED_VALUE"""),"MUJ Abril")</f>
        <v>MUJ Abril</v>
      </c>
      <c r="I502" s="42" t="str">
        <f ca="1">IFERROR(__xludf.DUMMYFUNCTION("""COMPUTED_VALUE"""),"Abril")</f>
        <v>Abril</v>
      </c>
      <c r="J502" s="42" t="str">
        <f ca="1">IFERROR(__xludf.DUMMYFUNCTION("""COMPUTED_VALUE"""),"MUJ")</f>
        <v>MUJ</v>
      </c>
      <c r="K502" s="98">
        <f ca="1">IFERROR(__xludf.DUMMYFUNCTION("""COMPUTED_VALUE"""),0)</f>
        <v>0</v>
      </c>
      <c r="L502" s="42" t="str">
        <f ca="1">IFERROR(__xludf.DUMMYFUNCTION("""COMPUTED_VALUE"""),"TRIMESTRE 2")</f>
        <v>TRIMESTRE 2</v>
      </c>
      <c r="M502" s="42" t="str">
        <f ca="1">IFERROR(__xludf.DUMMYFUNCTION("""COMPUTED_VALUE"""),"MUJERES ADULTAS")</f>
        <v>MUJERES ADULTAS</v>
      </c>
    </row>
    <row r="503" spans="1:13">
      <c r="A503" s="42" t="str">
        <f ca="1">IFERROR(__xludf.DUMMYFUNCTION("""COMPUTED_VALUE"""),"2.1.1.6")</f>
        <v>2.1.1.6</v>
      </c>
      <c r="B503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03" s="42" t="str">
        <f ca="1">IFERROR(__xludf.DUMMYFUNCTION("""COMPUTED_VALUE"""),"3. Operación")</f>
        <v>3. Operación</v>
      </c>
      <c r="D503" s="42" t="str">
        <f ca="1">IFERROR(__xludf.DUMMYFUNCTION("""COMPUTED_VALUE"""),"Guadalajara en Paz")</f>
        <v>Guadalajara en Paz</v>
      </c>
      <c r="E503" s="42" t="str">
        <f ca="1">IFERROR(__xludf.DUMMYFUNCTION("""COMPUTED_VALUE"""),"Asistencia Alimentaria y Nutrición")</f>
        <v>Asistencia Alimentaria y Nutrición</v>
      </c>
      <c r="F503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503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503" s="42" t="str">
        <f ca="1">IFERROR(__xludf.DUMMYFUNCTION("""COMPUTED_VALUE"""),"HOM Abril")</f>
        <v>HOM Abril</v>
      </c>
      <c r="I503" s="42" t="str">
        <f ca="1">IFERROR(__xludf.DUMMYFUNCTION("""COMPUTED_VALUE"""),"Abril")</f>
        <v>Abril</v>
      </c>
      <c r="J503" s="42" t="str">
        <f ca="1">IFERROR(__xludf.DUMMYFUNCTION("""COMPUTED_VALUE"""),"HOM")</f>
        <v>HOM</v>
      </c>
      <c r="K503" s="98">
        <f ca="1">IFERROR(__xludf.DUMMYFUNCTION("""COMPUTED_VALUE"""),0)</f>
        <v>0</v>
      </c>
      <c r="L503" s="42" t="str">
        <f ca="1">IFERROR(__xludf.DUMMYFUNCTION("""COMPUTED_VALUE"""),"TRIMESTRE 2")</f>
        <v>TRIMESTRE 2</v>
      </c>
      <c r="M503" s="42" t="str">
        <f ca="1">IFERROR(__xludf.DUMMYFUNCTION("""COMPUTED_VALUE"""),"HOMBRES ADULTOS")</f>
        <v>HOMBRES ADULTOS</v>
      </c>
    </row>
    <row r="504" spans="1:13">
      <c r="A504" s="42" t="str">
        <f ca="1">IFERROR(__xludf.DUMMYFUNCTION("""COMPUTED_VALUE"""),"2.1.1.6")</f>
        <v>2.1.1.6</v>
      </c>
      <c r="B504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04" s="42" t="str">
        <f ca="1">IFERROR(__xludf.DUMMYFUNCTION("""COMPUTED_VALUE"""),"3. Operación")</f>
        <v>3. Operación</v>
      </c>
      <c r="D504" s="42" t="str">
        <f ca="1">IFERROR(__xludf.DUMMYFUNCTION("""COMPUTED_VALUE"""),"Guadalajara en Paz")</f>
        <v>Guadalajara en Paz</v>
      </c>
      <c r="E504" s="42" t="str">
        <f ca="1">IFERROR(__xludf.DUMMYFUNCTION("""COMPUTED_VALUE"""),"Asistencia Alimentaria y Nutrición")</f>
        <v>Asistencia Alimentaria y Nutrición</v>
      </c>
      <c r="F504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504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504" s="42" t="str">
        <f ca="1">IFERROR(__xludf.DUMMYFUNCTION("""COMPUTED_VALUE"""),"AMM Abril")</f>
        <v>AMM Abril</v>
      </c>
      <c r="I504" s="42" t="str">
        <f ca="1">IFERROR(__xludf.DUMMYFUNCTION("""COMPUTED_VALUE"""),"Abril")</f>
        <v>Abril</v>
      </c>
      <c r="J504" s="42" t="str">
        <f ca="1">IFERROR(__xludf.DUMMYFUNCTION("""COMPUTED_VALUE"""),"AMM")</f>
        <v>AMM</v>
      </c>
      <c r="K504" s="98">
        <f ca="1">IFERROR(__xludf.DUMMYFUNCTION("""COMPUTED_VALUE"""),0)</f>
        <v>0</v>
      </c>
      <c r="L504" s="42" t="str">
        <f ca="1">IFERROR(__xludf.DUMMYFUNCTION("""COMPUTED_VALUE"""),"TRIMESTRE 2")</f>
        <v>TRIMESTRE 2</v>
      </c>
      <c r="M504" s="42" t="str">
        <f ca="1">IFERROR(__xludf.DUMMYFUNCTION("""COMPUTED_VALUE"""),"ADULTA MAYOR MUJER")</f>
        <v>ADULTA MAYOR MUJER</v>
      </c>
    </row>
    <row r="505" spans="1:13">
      <c r="A505" s="42" t="str">
        <f ca="1">IFERROR(__xludf.DUMMYFUNCTION("""COMPUTED_VALUE"""),"2.1.1.6")</f>
        <v>2.1.1.6</v>
      </c>
      <c r="B505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05" s="42" t="str">
        <f ca="1">IFERROR(__xludf.DUMMYFUNCTION("""COMPUTED_VALUE"""),"3. Operación")</f>
        <v>3. Operación</v>
      </c>
      <c r="D505" s="42" t="str">
        <f ca="1">IFERROR(__xludf.DUMMYFUNCTION("""COMPUTED_VALUE"""),"Guadalajara en Paz")</f>
        <v>Guadalajara en Paz</v>
      </c>
      <c r="E505" s="42" t="str">
        <f ca="1">IFERROR(__xludf.DUMMYFUNCTION("""COMPUTED_VALUE"""),"Asistencia Alimentaria y Nutrición")</f>
        <v>Asistencia Alimentaria y Nutrición</v>
      </c>
      <c r="F505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505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505" s="42" t="str">
        <f ca="1">IFERROR(__xludf.DUMMYFUNCTION("""COMPUTED_VALUE"""),"AMH Abril")</f>
        <v>AMH Abril</v>
      </c>
      <c r="I505" s="42" t="str">
        <f ca="1">IFERROR(__xludf.DUMMYFUNCTION("""COMPUTED_VALUE"""),"Abril")</f>
        <v>Abril</v>
      </c>
      <c r="J505" s="42" t="str">
        <f ca="1">IFERROR(__xludf.DUMMYFUNCTION("""COMPUTED_VALUE"""),"AMH")</f>
        <v>AMH</v>
      </c>
      <c r="K505" s="98">
        <f ca="1">IFERROR(__xludf.DUMMYFUNCTION("""COMPUTED_VALUE"""),0)</f>
        <v>0</v>
      </c>
      <c r="L505" s="42" t="str">
        <f ca="1">IFERROR(__xludf.DUMMYFUNCTION("""COMPUTED_VALUE"""),"TRIMESTRE 2")</f>
        <v>TRIMESTRE 2</v>
      </c>
      <c r="M505" s="42" t="str">
        <f ca="1">IFERROR(__xludf.DUMMYFUNCTION("""COMPUTED_VALUE"""),"ADULTO MAYOR HOMBRE")</f>
        <v>ADULTO MAYOR HOMBRE</v>
      </c>
    </row>
    <row r="506" spans="1:13">
      <c r="A506" s="42" t="str">
        <f ca="1">IFERROR(__xludf.DUMMYFUNCTION("""COMPUTED_VALUE"""),"2.1.1.7")</f>
        <v>2.1.1.7</v>
      </c>
      <c r="B506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06" s="42" t="str">
        <f ca="1">IFERROR(__xludf.DUMMYFUNCTION("""COMPUTED_VALUE"""),"3. Operación")</f>
        <v>3. Operación</v>
      </c>
      <c r="D506" s="42" t="str">
        <f ca="1">IFERROR(__xludf.DUMMYFUNCTION("""COMPUTED_VALUE"""),"Guadalajara en Paz")</f>
        <v>Guadalajara en Paz</v>
      </c>
      <c r="E506" s="42" t="str">
        <f ca="1">IFERROR(__xludf.DUMMYFUNCTION("""COMPUTED_VALUE"""),"Asistencia Alimentaria y Nutrición")</f>
        <v>Asistencia Alimentaria y Nutrición</v>
      </c>
      <c r="F506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506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506" s="42" t="str">
        <f ca="1">IFERROR(__xludf.DUMMYFUNCTION("""COMPUTED_VALUE"""),"NAS Abril")</f>
        <v>NAS Abril</v>
      </c>
      <c r="I506" s="42" t="str">
        <f ca="1">IFERROR(__xludf.DUMMYFUNCTION("""COMPUTED_VALUE"""),"Abril")</f>
        <v>Abril</v>
      </c>
      <c r="J506" s="42" t="str">
        <f ca="1">IFERROR(__xludf.DUMMYFUNCTION("""COMPUTED_VALUE"""),"NAS")</f>
        <v>NAS</v>
      </c>
      <c r="K506" s="98">
        <f ca="1">IFERROR(__xludf.DUMMYFUNCTION("""COMPUTED_VALUE"""),0)</f>
        <v>0</v>
      </c>
      <c r="L506" s="42" t="str">
        <f ca="1">IFERROR(__xludf.DUMMYFUNCTION("""COMPUTED_VALUE"""),"TRIMESTRE 2")</f>
        <v>TRIMESTRE 2</v>
      </c>
      <c r="M506" s="42" t="str">
        <f ca="1">IFERROR(__xludf.DUMMYFUNCTION("""COMPUTED_VALUE"""),"NIÑAS")</f>
        <v>NIÑAS</v>
      </c>
    </row>
    <row r="507" spans="1:13">
      <c r="A507" s="42" t="str">
        <f ca="1">IFERROR(__xludf.DUMMYFUNCTION("""COMPUTED_VALUE"""),"2.1.1.7")</f>
        <v>2.1.1.7</v>
      </c>
      <c r="B507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07" s="42" t="str">
        <f ca="1">IFERROR(__xludf.DUMMYFUNCTION("""COMPUTED_VALUE"""),"3. Operación")</f>
        <v>3. Operación</v>
      </c>
      <c r="D507" s="42" t="str">
        <f ca="1">IFERROR(__xludf.DUMMYFUNCTION("""COMPUTED_VALUE"""),"Guadalajara en Paz")</f>
        <v>Guadalajara en Paz</v>
      </c>
      <c r="E507" s="42" t="str">
        <f ca="1">IFERROR(__xludf.DUMMYFUNCTION("""COMPUTED_VALUE"""),"Asistencia Alimentaria y Nutrición")</f>
        <v>Asistencia Alimentaria y Nutrición</v>
      </c>
      <c r="F507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507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507" s="42" t="str">
        <f ca="1">IFERROR(__xludf.DUMMYFUNCTION("""COMPUTED_VALUE"""),"NOS Abril")</f>
        <v>NOS Abril</v>
      </c>
      <c r="I507" s="42" t="str">
        <f ca="1">IFERROR(__xludf.DUMMYFUNCTION("""COMPUTED_VALUE"""),"Abril")</f>
        <v>Abril</v>
      </c>
      <c r="J507" s="42" t="str">
        <f ca="1">IFERROR(__xludf.DUMMYFUNCTION("""COMPUTED_VALUE"""),"NOS")</f>
        <v>NOS</v>
      </c>
      <c r="K507" s="98">
        <f ca="1">IFERROR(__xludf.DUMMYFUNCTION("""COMPUTED_VALUE"""),0)</f>
        <v>0</v>
      </c>
      <c r="L507" s="42" t="str">
        <f ca="1">IFERROR(__xludf.DUMMYFUNCTION("""COMPUTED_VALUE"""),"TRIMESTRE 2")</f>
        <v>TRIMESTRE 2</v>
      </c>
      <c r="M507" s="42" t="str">
        <f ca="1">IFERROR(__xludf.DUMMYFUNCTION("""COMPUTED_VALUE"""),"NIÑOS")</f>
        <v>NIÑOS</v>
      </c>
    </row>
    <row r="508" spans="1:13">
      <c r="A508" s="42" t="str">
        <f ca="1">IFERROR(__xludf.DUMMYFUNCTION("""COMPUTED_VALUE"""),"2.1.1.7")</f>
        <v>2.1.1.7</v>
      </c>
      <c r="B508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08" s="42" t="str">
        <f ca="1">IFERROR(__xludf.DUMMYFUNCTION("""COMPUTED_VALUE"""),"3. Operación")</f>
        <v>3. Operación</v>
      </c>
      <c r="D508" s="42" t="str">
        <f ca="1">IFERROR(__xludf.DUMMYFUNCTION("""COMPUTED_VALUE"""),"Guadalajara en Paz")</f>
        <v>Guadalajara en Paz</v>
      </c>
      <c r="E508" s="42" t="str">
        <f ca="1">IFERROR(__xludf.DUMMYFUNCTION("""COMPUTED_VALUE"""),"Asistencia Alimentaria y Nutrición")</f>
        <v>Asistencia Alimentaria y Nutrición</v>
      </c>
      <c r="F508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508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508" s="42" t="str">
        <f ca="1">IFERROR(__xludf.DUMMYFUNCTION("""COMPUTED_VALUE"""),"AM ABRIL")</f>
        <v>AM ABRIL</v>
      </c>
      <c r="I508" s="42" t="str">
        <f ca="1">IFERROR(__xludf.DUMMYFUNCTION("""COMPUTED_VALUE"""),"Abril")</f>
        <v>Abril</v>
      </c>
      <c r="J508" s="42" t="str">
        <f ca="1">IFERROR(__xludf.DUMMYFUNCTION("""COMPUTED_VALUE"""),"AM")</f>
        <v>AM</v>
      </c>
      <c r="K508" s="98">
        <f ca="1">IFERROR(__xludf.DUMMYFUNCTION("""COMPUTED_VALUE"""),0)</f>
        <v>0</v>
      </c>
      <c r="L508" s="42" t="str">
        <f ca="1">IFERROR(__xludf.DUMMYFUNCTION("""COMPUTED_VALUE"""),"TRIMESTRE 2")</f>
        <v>TRIMESTRE 2</v>
      </c>
      <c r="M508" s="42" t="str">
        <f ca="1">IFERROR(__xludf.DUMMYFUNCTION("""COMPUTED_VALUE"""),"ADOLESCENTES MUJERES")</f>
        <v>ADOLESCENTES MUJERES</v>
      </c>
    </row>
    <row r="509" spans="1:13">
      <c r="A509" s="42" t="str">
        <f ca="1">IFERROR(__xludf.DUMMYFUNCTION("""COMPUTED_VALUE"""),"2.1.1.7")</f>
        <v>2.1.1.7</v>
      </c>
      <c r="B509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09" s="42" t="str">
        <f ca="1">IFERROR(__xludf.DUMMYFUNCTION("""COMPUTED_VALUE"""),"3. Operación")</f>
        <v>3. Operación</v>
      </c>
      <c r="D509" s="42" t="str">
        <f ca="1">IFERROR(__xludf.DUMMYFUNCTION("""COMPUTED_VALUE"""),"Guadalajara en Paz")</f>
        <v>Guadalajara en Paz</v>
      </c>
      <c r="E509" s="42" t="str">
        <f ca="1">IFERROR(__xludf.DUMMYFUNCTION("""COMPUTED_VALUE"""),"Asistencia Alimentaria y Nutrición")</f>
        <v>Asistencia Alimentaria y Nutrición</v>
      </c>
      <c r="F509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509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509" s="42" t="str">
        <f ca="1">IFERROR(__xludf.DUMMYFUNCTION("""COMPUTED_VALUE"""),"AH ABRIL")</f>
        <v>AH ABRIL</v>
      </c>
      <c r="I509" s="42" t="str">
        <f ca="1">IFERROR(__xludf.DUMMYFUNCTION("""COMPUTED_VALUE"""),"Abril")</f>
        <v>Abril</v>
      </c>
      <c r="J509" s="42" t="str">
        <f ca="1">IFERROR(__xludf.DUMMYFUNCTION("""COMPUTED_VALUE"""),"AH")</f>
        <v>AH</v>
      </c>
      <c r="K509" s="98">
        <f ca="1">IFERROR(__xludf.DUMMYFUNCTION("""COMPUTED_VALUE"""),0)</f>
        <v>0</v>
      </c>
      <c r="L509" s="42" t="str">
        <f ca="1">IFERROR(__xludf.DUMMYFUNCTION("""COMPUTED_VALUE"""),"TRIMESTRE 2")</f>
        <v>TRIMESTRE 2</v>
      </c>
      <c r="M509" s="42" t="str">
        <f ca="1">IFERROR(__xludf.DUMMYFUNCTION("""COMPUTED_VALUE"""),"ADOLESCENTES HOMBRES")</f>
        <v>ADOLESCENTES HOMBRES</v>
      </c>
    </row>
    <row r="510" spans="1:13">
      <c r="A510" s="42" t="str">
        <f ca="1">IFERROR(__xludf.DUMMYFUNCTION("""COMPUTED_VALUE"""),"2.1.1.7")</f>
        <v>2.1.1.7</v>
      </c>
      <c r="B510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10" s="42" t="str">
        <f ca="1">IFERROR(__xludf.DUMMYFUNCTION("""COMPUTED_VALUE"""),"3. Operación")</f>
        <v>3. Operación</v>
      </c>
      <c r="D510" s="42" t="str">
        <f ca="1">IFERROR(__xludf.DUMMYFUNCTION("""COMPUTED_VALUE"""),"Guadalajara en Paz")</f>
        <v>Guadalajara en Paz</v>
      </c>
      <c r="E510" s="42" t="str">
        <f ca="1">IFERROR(__xludf.DUMMYFUNCTION("""COMPUTED_VALUE"""),"Asistencia Alimentaria y Nutrición")</f>
        <v>Asistencia Alimentaria y Nutrición</v>
      </c>
      <c r="F510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510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510" s="42" t="str">
        <f ca="1">IFERROR(__xludf.DUMMYFUNCTION("""COMPUTED_VALUE"""),"MUJ Abril")</f>
        <v>MUJ Abril</v>
      </c>
      <c r="I510" s="42" t="str">
        <f ca="1">IFERROR(__xludf.DUMMYFUNCTION("""COMPUTED_VALUE"""),"Abril")</f>
        <v>Abril</v>
      </c>
      <c r="J510" s="42" t="str">
        <f ca="1">IFERROR(__xludf.DUMMYFUNCTION("""COMPUTED_VALUE"""),"MUJ")</f>
        <v>MUJ</v>
      </c>
      <c r="K510" s="98">
        <f ca="1">IFERROR(__xludf.DUMMYFUNCTION("""COMPUTED_VALUE"""),0)</f>
        <v>0</v>
      </c>
      <c r="L510" s="42" t="str">
        <f ca="1">IFERROR(__xludf.DUMMYFUNCTION("""COMPUTED_VALUE"""),"TRIMESTRE 2")</f>
        <v>TRIMESTRE 2</v>
      </c>
      <c r="M510" s="42" t="str">
        <f ca="1">IFERROR(__xludf.DUMMYFUNCTION("""COMPUTED_VALUE"""),"MUJERES ADULTAS")</f>
        <v>MUJERES ADULTAS</v>
      </c>
    </row>
    <row r="511" spans="1:13">
      <c r="A511" s="42" t="str">
        <f ca="1">IFERROR(__xludf.DUMMYFUNCTION("""COMPUTED_VALUE"""),"2.1.1.7")</f>
        <v>2.1.1.7</v>
      </c>
      <c r="B511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11" s="42" t="str">
        <f ca="1">IFERROR(__xludf.DUMMYFUNCTION("""COMPUTED_VALUE"""),"3. Operación")</f>
        <v>3. Operación</v>
      </c>
      <c r="D511" s="42" t="str">
        <f ca="1">IFERROR(__xludf.DUMMYFUNCTION("""COMPUTED_VALUE"""),"Guadalajara en Paz")</f>
        <v>Guadalajara en Paz</v>
      </c>
      <c r="E511" s="42" t="str">
        <f ca="1">IFERROR(__xludf.DUMMYFUNCTION("""COMPUTED_VALUE"""),"Asistencia Alimentaria y Nutrición")</f>
        <v>Asistencia Alimentaria y Nutrición</v>
      </c>
      <c r="F511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511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511" s="42" t="str">
        <f ca="1">IFERROR(__xludf.DUMMYFUNCTION("""COMPUTED_VALUE"""),"HOM Abril")</f>
        <v>HOM Abril</v>
      </c>
      <c r="I511" s="42" t="str">
        <f ca="1">IFERROR(__xludf.DUMMYFUNCTION("""COMPUTED_VALUE"""),"Abril")</f>
        <v>Abril</v>
      </c>
      <c r="J511" s="42" t="str">
        <f ca="1">IFERROR(__xludf.DUMMYFUNCTION("""COMPUTED_VALUE"""),"HOM")</f>
        <v>HOM</v>
      </c>
      <c r="K511" s="98">
        <f ca="1">IFERROR(__xludf.DUMMYFUNCTION("""COMPUTED_VALUE"""),0)</f>
        <v>0</v>
      </c>
      <c r="L511" s="42" t="str">
        <f ca="1">IFERROR(__xludf.DUMMYFUNCTION("""COMPUTED_VALUE"""),"TRIMESTRE 2")</f>
        <v>TRIMESTRE 2</v>
      </c>
      <c r="M511" s="42" t="str">
        <f ca="1">IFERROR(__xludf.DUMMYFUNCTION("""COMPUTED_VALUE"""),"HOMBRES ADULTOS")</f>
        <v>HOMBRES ADULTOS</v>
      </c>
    </row>
    <row r="512" spans="1:13">
      <c r="A512" s="42" t="str">
        <f ca="1">IFERROR(__xludf.DUMMYFUNCTION("""COMPUTED_VALUE"""),"2.1.1.7")</f>
        <v>2.1.1.7</v>
      </c>
      <c r="B512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12" s="42" t="str">
        <f ca="1">IFERROR(__xludf.DUMMYFUNCTION("""COMPUTED_VALUE"""),"3. Operación")</f>
        <v>3. Operación</v>
      </c>
      <c r="D512" s="42" t="str">
        <f ca="1">IFERROR(__xludf.DUMMYFUNCTION("""COMPUTED_VALUE"""),"Guadalajara en Paz")</f>
        <v>Guadalajara en Paz</v>
      </c>
      <c r="E512" s="42" t="str">
        <f ca="1">IFERROR(__xludf.DUMMYFUNCTION("""COMPUTED_VALUE"""),"Asistencia Alimentaria y Nutrición")</f>
        <v>Asistencia Alimentaria y Nutrición</v>
      </c>
      <c r="F512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512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512" s="42" t="str">
        <f ca="1">IFERROR(__xludf.DUMMYFUNCTION("""COMPUTED_VALUE"""),"AMM Abril")</f>
        <v>AMM Abril</v>
      </c>
      <c r="I512" s="42" t="str">
        <f ca="1">IFERROR(__xludf.DUMMYFUNCTION("""COMPUTED_VALUE"""),"Abril")</f>
        <v>Abril</v>
      </c>
      <c r="J512" s="42" t="str">
        <f ca="1">IFERROR(__xludf.DUMMYFUNCTION("""COMPUTED_VALUE"""),"AMM")</f>
        <v>AMM</v>
      </c>
      <c r="K512" s="98">
        <f ca="1">IFERROR(__xludf.DUMMYFUNCTION("""COMPUTED_VALUE"""),0)</f>
        <v>0</v>
      </c>
      <c r="L512" s="42" t="str">
        <f ca="1">IFERROR(__xludf.DUMMYFUNCTION("""COMPUTED_VALUE"""),"TRIMESTRE 2")</f>
        <v>TRIMESTRE 2</v>
      </c>
      <c r="M512" s="42" t="str">
        <f ca="1">IFERROR(__xludf.DUMMYFUNCTION("""COMPUTED_VALUE"""),"ADULTA MAYOR MUJER")</f>
        <v>ADULTA MAYOR MUJER</v>
      </c>
    </row>
    <row r="513" spans="1:13">
      <c r="A513" s="42" t="str">
        <f ca="1">IFERROR(__xludf.DUMMYFUNCTION("""COMPUTED_VALUE"""),"2.1.1.7")</f>
        <v>2.1.1.7</v>
      </c>
      <c r="B513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13" s="42" t="str">
        <f ca="1">IFERROR(__xludf.DUMMYFUNCTION("""COMPUTED_VALUE"""),"3. Operación")</f>
        <v>3. Operación</v>
      </c>
      <c r="D513" s="42" t="str">
        <f ca="1">IFERROR(__xludf.DUMMYFUNCTION("""COMPUTED_VALUE"""),"Guadalajara en Paz")</f>
        <v>Guadalajara en Paz</v>
      </c>
      <c r="E513" s="42" t="str">
        <f ca="1">IFERROR(__xludf.DUMMYFUNCTION("""COMPUTED_VALUE"""),"Asistencia Alimentaria y Nutrición")</f>
        <v>Asistencia Alimentaria y Nutrición</v>
      </c>
      <c r="F513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513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513" s="42" t="str">
        <f ca="1">IFERROR(__xludf.DUMMYFUNCTION("""COMPUTED_VALUE"""),"AMH Abril")</f>
        <v>AMH Abril</v>
      </c>
      <c r="I513" s="42" t="str">
        <f ca="1">IFERROR(__xludf.DUMMYFUNCTION("""COMPUTED_VALUE"""),"Abril")</f>
        <v>Abril</v>
      </c>
      <c r="J513" s="42" t="str">
        <f ca="1">IFERROR(__xludf.DUMMYFUNCTION("""COMPUTED_VALUE"""),"AMH")</f>
        <v>AMH</v>
      </c>
      <c r="K513" s="98">
        <f ca="1">IFERROR(__xludf.DUMMYFUNCTION("""COMPUTED_VALUE"""),0)</f>
        <v>0</v>
      </c>
      <c r="L513" s="42" t="str">
        <f ca="1">IFERROR(__xludf.DUMMYFUNCTION("""COMPUTED_VALUE"""),"TRIMESTRE 2")</f>
        <v>TRIMESTRE 2</v>
      </c>
      <c r="M513" s="42" t="str">
        <f ca="1">IFERROR(__xludf.DUMMYFUNCTION("""COMPUTED_VALUE"""),"ADULTO MAYOR HOMBRE")</f>
        <v>ADULTO MAYOR HOMBRE</v>
      </c>
    </row>
    <row r="514" spans="1:13">
      <c r="A514" s="42" t="str">
        <f ca="1">IFERROR(__xludf.DUMMYFUNCTION("""COMPUTED_VALUE"""),"2.1.1.4")</f>
        <v>2.1.1.4</v>
      </c>
      <c r="B514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14" s="42" t="str">
        <f ca="1">IFERROR(__xludf.DUMMYFUNCTION("""COMPUTED_VALUE"""),"3. Operación")</f>
        <v>3. Operación</v>
      </c>
      <c r="D514" s="42" t="str">
        <f ca="1">IFERROR(__xludf.DUMMYFUNCTION("""COMPUTED_VALUE"""),"Guadalajara en Paz")</f>
        <v>Guadalajara en Paz</v>
      </c>
      <c r="E514" s="42" t="str">
        <f ca="1">IFERROR(__xludf.DUMMYFUNCTION("""COMPUTED_VALUE"""),"Asistencia Alimentaria y Nutrición")</f>
        <v>Asistencia Alimentaria y Nutrición</v>
      </c>
      <c r="F514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514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514" s="42" t="str">
        <f ca="1">IFERROR(__xludf.DUMMYFUNCTION("""COMPUTED_VALUE"""),"NAS Mayo")</f>
        <v>NAS Mayo</v>
      </c>
      <c r="I514" s="42" t="str">
        <f ca="1">IFERROR(__xludf.DUMMYFUNCTION("""COMPUTED_VALUE"""),"Mayo")</f>
        <v>Mayo</v>
      </c>
      <c r="J514" s="42" t="str">
        <f ca="1">IFERROR(__xludf.DUMMYFUNCTION("""COMPUTED_VALUE"""),"NAS")</f>
        <v>NAS</v>
      </c>
      <c r="K514" s="98">
        <f ca="1">IFERROR(__xludf.DUMMYFUNCTION("""COMPUTED_VALUE"""),0)</f>
        <v>0</v>
      </c>
      <c r="L514" s="42" t="str">
        <f ca="1">IFERROR(__xludf.DUMMYFUNCTION("""COMPUTED_VALUE"""),"TRIMESTRE 2")</f>
        <v>TRIMESTRE 2</v>
      </c>
      <c r="M514" s="42" t="str">
        <f ca="1">IFERROR(__xludf.DUMMYFUNCTION("""COMPUTED_VALUE"""),"NIÑAS")</f>
        <v>NIÑAS</v>
      </c>
    </row>
    <row r="515" spans="1:13">
      <c r="A515" s="42" t="str">
        <f ca="1">IFERROR(__xludf.DUMMYFUNCTION("""COMPUTED_VALUE"""),"2.1.1.4")</f>
        <v>2.1.1.4</v>
      </c>
      <c r="B515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15" s="42" t="str">
        <f ca="1">IFERROR(__xludf.DUMMYFUNCTION("""COMPUTED_VALUE"""),"3. Operación")</f>
        <v>3. Operación</v>
      </c>
      <c r="D515" s="42" t="str">
        <f ca="1">IFERROR(__xludf.DUMMYFUNCTION("""COMPUTED_VALUE"""),"Guadalajara en Paz")</f>
        <v>Guadalajara en Paz</v>
      </c>
      <c r="E515" s="42" t="str">
        <f ca="1">IFERROR(__xludf.DUMMYFUNCTION("""COMPUTED_VALUE"""),"Asistencia Alimentaria y Nutrición")</f>
        <v>Asistencia Alimentaria y Nutrición</v>
      </c>
      <c r="F515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515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515" s="42" t="str">
        <f ca="1">IFERROR(__xludf.DUMMYFUNCTION("""COMPUTED_VALUE"""),"NOS Mayo")</f>
        <v>NOS Mayo</v>
      </c>
      <c r="I515" s="42" t="str">
        <f ca="1">IFERROR(__xludf.DUMMYFUNCTION("""COMPUTED_VALUE"""),"Mayo")</f>
        <v>Mayo</v>
      </c>
      <c r="J515" s="42" t="str">
        <f ca="1">IFERROR(__xludf.DUMMYFUNCTION("""COMPUTED_VALUE"""),"NOS")</f>
        <v>NOS</v>
      </c>
      <c r="K515" s="98">
        <f ca="1">IFERROR(__xludf.DUMMYFUNCTION("""COMPUTED_VALUE"""),0)</f>
        <v>0</v>
      </c>
      <c r="L515" s="42" t="str">
        <f ca="1">IFERROR(__xludf.DUMMYFUNCTION("""COMPUTED_VALUE"""),"TRIMESTRE 2")</f>
        <v>TRIMESTRE 2</v>
      </c>
      <c r="M515" s="42" t="str">
        <f ca="1">IFERROR(__xludf.DUMMYFUNCTION("""COMPUTED_VALUE"""),"NIÑOS")</f>
        <v>NIÑOS</v>
      </c>
    </row>
    <row r="516" spans="1:13">
      <c r="A516" s="42" t="str">
        <f ca="1">IFERROR(__xludf.DUMMYFUNCTION("""COMPUTED_VALUE"""),"2.1.1.4")</f>
        <v>2.1.1.4</v>
      </c>
      <c r="B516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16" s="42" t="str">
        <f ca="1">IFERROR(__xludf.DUMMYFUNCTION("""COMPUTED_VALUE"""),"3. Operación")</f>
        <v>3. Operación</v>
      </c>
      <c r="D516" s="42" t="str">
        <f ca="1">IFERROR(__xludf.DUMMYFUNCTION("""COMPUTED_VALUE"""),"Guadalajara en Paz")</f>
        <v>Guadalajara en Paz</v>
      </c>
      <c r="E516" s="42" t="str">
        <f ca="1">IFERROR(__xludf.DUMMYFUNCTION("""COMPUTED_VALUE"""),"Asistencia Alimentaria y Nutrición")</f>
        <v>Asistencia Alimentaria y Nutrición</v>
      </c>
      <c r="F516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516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516" s="42" t="str">
        <f ca="1">IFERROR(__xludf.DUMMYFUNCTION("""COMPUTED_VALUE"""),"AM MAYO")</f>
        <v>AM MAYO</v>
      </c>
      <c r="I516" s="42" t="str">
        <f ca="1">IFERROR(__xludf.DUMMYFUNCTION("""COMPUTED_VALUE"""),"Mayo")</f>
        <v>Mayo</v>
      </c>
      <c r="J516" s="42" t="str">
        <f ca="1">IFERROR(__xludf.DUMMYFUNCTION("""COMPUTED_VALUE"""),"AM")</f>
        <v>AM</v>
      </c>
      <c r="K516" s="98">
        <f ca="1">IFERROR(__xludf.DUMMYFUNCTION("""COMPUTED_VALUE"""),0)</f>
        <v>0</v>
      </c>
      <c r="L516" s="42" t="str">
        <f ca="1">IFERROR(__xludf.DUMMYFUNCTION("""COMPUTED_VALUE"""),"TRIMESTRE 2")</f>
        <v>TRIMESTRE 2</v>
      </c>
      <c r="M516" s="42" t="str">
        <f ca="1">IFERROR(__xludf.DUMMYFUNCTION("""COMPUTED_VALUE"""),"ADOLESCENTES MUJERES")</f>
        <v>ADOLESCENTES MUJERES</v>
      </c>
    </row>
    <row r="517" spans="1:13">
      <c r="A517" s="42" t="str">
        <f ca="1">IFERROR(__xludf.DUMMYFUNCTION("""COMPUTED_VALUE"""),"2.1.1.4")</f>
        <v>2.1.1.4</v>
      </c>
      <c r="B517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17" s="42" t="str">
        <f ca="1">IFERROR(__xludf.DUMMYFUNCTION("""COMPUTED_VALUE"""),"3. Operación")</f>
        <v>3. Operación</v>
      </c>
      <c r="D517" s="42" t="str">
        <f ca="1">IFERROR(__xludf.DUMMYFUNCTION("""COMPUTED_VALUE"""),"Guadalajara en Paz")</f>
        <v>Guadalajara en Paz</v>
      </c>
      <c r="E517" s="42" t="str">
        <f ca="1">IFERROR(__xludf.DUMMYFUNCTION("""COMPUTED_VALUE"""),"Asistencia Alimentaria y Nutrición")</f>
        <v>Asistencia Alimentaria y Nutrición</v>
      </c>
      <c r="F517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517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517" s="42" t="str">
        <f ca="1">IFERROR(__xludf.DUMMYFUNCTION("""COMPUTED_VALUE"""),"AH MAYO")</f>
        <v>AH MAYO</v>
      </c>
      <c r="I517" s="42" t="str">
        <f ca="1">IFERROR(__xludf.DUMMYFUNCTION("""COMPUTED_VALUE"""),"Mayo")</f>
        <v>Mayo</v>
      </c>
      <c r="J517" s="42" t="str">
        <f ca="1">IFERROR(__xludf.DUMMYFUNCTION("""COMPUTED_VALUE"""),"AH")</f>
        <v>AH</v>
      </c>
      <c r="K517" s="98">
        <f ca="1">IFERROR(__xludf.DUMMYFUNCTION("""COMPUTED_VALUE"""),0)</f>
        <v>0</v>
      </c>
      <c r="L517" s="42" t="str">
        <f ca="1">IFERROR(__xludf.DUMMYFUNCTION("""COMPUTED_VALUE"""),"TRIMESTRE 2")</f>
        <v>TRIMESTRE 2</v>
      </c>
      <c r="M517" s="42" t="str">
        <f ca="1">IFERROR(__xludf.DUMMYFUNCTION("""COMPUTED_VALUE"""),"ADOLESCENTES HOMBRES")</f>
        <v>ADOLESCENTES HOMBRES</v>
      </c>
    </row>
    <row r="518" spans="1:13">
      <c r="A518" s="42" t="str">
        <f ca="1">IFERROR(__xludf.DUMMYFUNCTION("""COMPUTED_VALUE"""),"2.1.1.4")</f>
        <v>2.1.1.4</v>
      </c>
      <c r="B518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18" s="42" t="str">
        <f ca="1">IFERROR(__xludf.DUMMYFUNCTION("""COMPUTED_VALUE"""),"3. Operación")</f>
        <v>3. Operación</v>
      </c>
      <c r="D518" s="42" t="str">
        <f ca="1">IFERROR(__xludf.DUMMYFUNCTION("""COMPUTED_VALUE"""),"Guadalajara en Paz")</f>
        <v>Guadalajara en Paz</v>
      </c>
      <c r="E518" s="42" t="str">
        <f ca="1">IFERROR(__xludf.DUMMYFUNCTION("""COMPUTED_VALUE"""),"Asistencia Alimentaria y Nutrición")</f>
        <v>Asistencia Alimentaria y Nutrición</v>
      </c>
      <c r="F518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518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518" s="42" t="str">
        <f ca="1">IFERROR(__xludf.DUMMYFUNCTION("""COMPUTED_VALUE"""),"MUJ Mayo")</f>
        <v>MUJ Mayo</v>
      </c>
      <c r="I518" s="42" t="str">
        <f ca="1">IFERROR(__xludf.DUMMYFUNCTION("""COMPUTED_VALUE"""),"Mayo")</f>
        <v>Mayo</v>
      </c>
      <c r="J518" s="42" t="str">
        <f ca="1">IFERROR(__xludf.DUMMYFUNCTION("""COMPUTED_VALUE"""),"MUJ")</f>
        <v>MUJ</v>
      </c>
      <c r="K518" s="98">
        <f ca="1">IFERROR(__xludf.DUMMYFUNCTION("""COMPUTED_VALUE"""),0)</f>
        <v>0</v>
      </c>
      <c r="L518" s="42" t="str">
        <f ca="1">IFERROR(__xludf.DUMMYFUNCTION("""COMPUTED_VALUE"""),"TRIMESTRE 2")</f>
        <v>TRIMESTRE 2</v>
      </c>
      <c r="M518" s="42" t="str">
        <f ca="1">IFERROR(__xludf.DUMMYFUNCTION("""COMPUTED_VALUE"""),"MUJERES ADULTAS")</f>
        <v>MUJERES ADULTAS</v>
      </c>
    </row>
    <row r="519" spans="1:13">
      <c r="A519" s="42" t="str">
        <f ca="1">IFERROR(__xludf.DUMMYFUNCTION("""COMPUTED_VALUE"""),"2.1.1.4")</f>
        <v>2.1.1.4</v>
      </c>
      <c r="B519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19" s="42" t="str">
        <f ca="1">IFERROR(__xludf.DUMMYFUNCTION("""COMPUTED_VALUE"""),"3. Operación")</f>
        <v>3. Operación</v>
      </c>
      <c r="D519" s="42" t="str">
        <f ca="1">IFERROR(__xludf.DUMMYFUNCTION("""COMPUTED_VALUE"""),"Guadalajara en Paz")</f>
        <v>Guadalajara en Paz</v>
      </c>
      <c r="E519" s="42" t="str">
        <f ca="1">IFERROR(__xludf.DUMMYFUNCTION("""COMPUTED_VALUE"""),"Asistencia Alimentaria y Nutrición")</f>
        <v>Asistencia Alimentaria y Nutrición</v>
      </c>
      <c r="F519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519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519" s="42" t="str">
        <f ca="1">IFERROR(__xludf.DUMMYFUNCTION("""COMPUTED_VALUE"""),"HOM Mayo")</f>
        <v>HOM Mayo</v>
      </c>
      <c r="I519" s="42" t="str">
        <f ca="1">IFERROR(__xludf.DUMMYFUNCTION("""COMPUTED_VALUE"""),"Mayo")</f>
        <v>Mayo</v>
      </c>
      <c r="J519" s="42" t="str">
        <f ca="1">IFERROR(__xludf.DUMMYFUNCTION("""COMPUTED_VALUE"""),"HOM")</f>
        <v>HOM</v>
      </c>
      <c r="K519" s="98">
        <f ca="1">IFERROR(__xludf.DUMMYFUNCTION("""COMPUTED_VALUE"""),0)</f>
        <v>0</v>
      </c>
      <c r="L519" s="42" t="str">
        <f ca="1">IFERROR(__xludf.DUMMYFUNCTION("""COMPUTED_VALUE"""),"TRIMESTRE 2")</f>
        <v>TRIMESTRE 2</v>
      </c>
      <c r="M519" s="42" t="str">
        <f ca="1">IFERROR(__xludf.DUMMYFUNCTION("""COMPUTED_VALUE"""),"HOMBRES ADULTOS")</f>
        <v>HOMBRES ADULTOS</v>
      </c>
    </row>
    <row r="520" spans="1:13">
      <c r="A520" s="42" t="str">
        <f ca="1">IFERROR(__xludf.DUMMYFUNCTION("""COMPUTED_VALUE"""),"2.1.1.4")</f>
        <v>2.1.1.4</v>
      </c>
      <c r="B520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20" s="42" t="str">
        <f ca="1">IFERROR(__xludf.DUMMYFUNCTION("""COMPUTED_VALUE"""),"3. Operación")</f>
        <v>3. Operación</v>
      </c>
      <c r="D520" s="42" t="str">
        <f ca="1">IFERROR(__xludf.DUMMYFUNCTION("""COMPUTED_VALUE"""),"Guadalajara en Paz")</f>
        <v>Guadalajara en Paz</v>
      </c>
      <c r="E520" s="42" t="str">
        <f ca="1">IFERROR(__xludf.DUMMYFUNCTION("""COMPUTED_VALUE"""),"Asistencia Alimentaria y Nutrición")</f>
        <v>Asistencia Alimentaria y Nutrición</v>
      </c>
      <c r="F520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520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520" s="42" t="str">
        <f ca="1">IFERROR(__xludf.DUMMYFUNCTION("""COMPUTED_VALUE"""),"AMM Mayo")</f>
        <v>AMM Mayo</v>
      </c>
      <c r="I520" s="42" t="str">
        <f ca="1">IFERROR(__xludf.DUMMYFUNCTION("""COMPUTED_VALUE"""),"Mayo")</f>
        <v>Mayo</v>
      </c>
      <c r="J520" s="42" t="str">
        <f ca="1">IFERROR(__xludf.DUMMYFUNCTION("""COMPUTED_VALUE"""),"AMM")</f>
        <v>AMM</v>
      </c>
      <c r="K520" s="98">
        <f ca="1">IFERROR(__xludf.DUMMYFUNCTION("""COMPUTED_VALUE"""),0)</f>
        <v>0</v>
      </c>
      <c r="L520" s="42" t="str">
        <f ca="1">IFERROR(__xludf.DUMMYFUNCTION("""COMPUTED_VALUE"""),"TRIMESTRE 2")</f>
        <v>TRIMESTRE 2</v>
      </c>
      <c r="M520" s="42" t="str">
        <f ca="1">IFERROR(__xludf.DUMMYFUNCTION("""COMPUTED_VALUE"""),"ADULTA MAYOR MUJER")</f>
        <v>ADULTA MAYOR MUJER</v>
      </c>
    </row>
    <row r="521" spans="1:13">
      <c r="A521" s="42" t="str">
        <f ca="1">IFERROR(__xludf.DUMMYFUNCTION("""COMPUTED_VALUE"""),"2.1.1.4")</f>
        <v>2.1.1.4</v>
      </c>
      <c r="B521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21" s="42" t="str">
        <f ca="1">IFERROR(__xludf.DUMMYFUNCTION("""COMPUTED_VALUE"""),"3. Operación")</f>
        <v>3. Operación</v>
      </c>
      <c r="D521" s="42" t="str">
        <f ca="1">IFERROR(__xludf.DUMMYFUNCTION("""COMPUTED_VALUE"""),"Guadalajara en Paz")</f>
        <v>Guadalajara en Paz</v>
      </c>
      <c r="E521" s="42" t="str">
        <f ca="1">IFERROR(__xludf.DUMMYFUNCTION("""COMPUTED_VALUE"""),"Asistencia Alimentaria y Nutrición")</f>
        <v>Asistencia Alimentaria y Nutrición</v>
      </c>
      <c r="F521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521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521" s="42" t="str">
        <f ca="1">IFERROR(__xludf.DUMMYFUNCTION("""COMPUTED_VALUE"""),"AMH Mayo")</f>
        <v>AMH Mayo</v>
      </c>
      <c r="I521" s="42" t="str">
        <f ca="1">IFERROR(__xludf.DUMMYFUNCTION("""COMPUTED_VALUE"""),"Mayo")</f>
        <v>Mayo</v>
      </c>
      <c r="J521" s="42" t="str">
        <f ca="1">IFERROR(__xludf.DUMMYFUNCTION("""COMPUTED_VALUE"""),"AMH")</f>
        <v>AMH</v>
      </c>
      <c r="K521" s="98">
        <f ca="1">IFERROR(__xludf.DUMMYFUNCTION("""COMPUTED_VALUE"""),0)</f>
        <v>0</v>
      </c>
      <c r="L521" s="42" t="str">
        <f ca="1">IFERROR(__xludf.DUMMYFUNCTION("""COMPUTED_VALUE"""),"TRIMESTRE 2")</f>
        <v>TRIMESTRE 2</v>
      </c>
      <c r="M521" s="42" t="str">
        <f ca="1">IFERROR(__xludf.DUMMYFUNCTION("""COMPUTED_VALUE"""),"ADULTO MAYOR HOMBRE")</f>
        <v>ADULTO MAYOR HOMBRE</v>
      </c>
    </row>
    <row r="522" spans="1:13">
      <c r="A522" s="42" t="str">
        <f ca="1">IFERROR(__xludf.DUMMYFUNCTION("""COMPUTED_VALUE"""),"2.1.1.5")</f>
        <v>2.1.1.5</v>
      </c>
      <c r="B522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22" s="42" t="str">
        <f ca="1">IFERROR(__xludf.DUMMYFUNCTION("""COMPUTED_VALUE"""),"3. Operación")</f>
        <v>3. Operación</v>
      </c>
      <c r="D522" s="42" t="str">
        <f ca="1">IFERROR(__xludf.DUMMYFUNCTION("""COMPUTED_VALUE"""),"Guadalajara en Paz")</f>
        <v>Guadalajara en Paz</v>
      </c>
      <c r="E522" s="42" t="str">
        <f ca="1">IFERROR(__xludf.DUMMYFUNCTION("""COMPUTED_VALUE"""),"Asistencia Alimentaria y Nutrición")</f>
        <v>Asistencia Alimentaria y Nutrición</v>
      </c>
      <c r="F522" s="42" t="str">
        <f ca="1">IFERROR(__xludf.DUMMYFUNCTION("""COMPUTED_VALUE"""),"A5C1. Apoyos del Programa de Alimentación Escolar entregados en 2023")</f>
        <v>A5C1. Apoyos del Programa de Alimentación Escolar entregados en 2023</v>
      </c>
      <c r="G522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522" s="42" t="str">
        <f ca="1">IFERROR(__xludf.DUMMYFUNCTION("""COMPUTED_VALUE"""),"NAS Mayo")</f>
        <v>NAS Mayo</v>
      </c>
      <c r="I522" s="42" t="str">
        <f ca="1">IFERROR(__xludf.DUMMYFUNCTION("""COMPUTED_VALUE"""),"Mayo")</f>
        <v>Mayo</v>
      </c>
      <c r="J522" s="42" t="str">
        <f ca="1">IFERROR(__xludf.DUMMYFUNCTION("""COMPUTED_VALUE"""),"NAS")</f>
        <v>NAS</v>
      </c>
      <c r="K522" s="98">
        <f ca="1">IFERROR(__xludf.DUMMYFUNCTION("""COMPUTED_VALUE"""),77728)</f>
        <v>77728</v>
      </c>
      <c r="L522" s="42" t="str">
        <f ca="1">IFERROR(__xludf.DUMMYFUNCTION("""COMPUTED_VALUE"""),"TRIMESTRE 2")</f>
        <v>TRIMESTRE 2</v>
      </c>
      <c r="M522" s="42" t="str">
        <f ca="1">IFERROR(__xludf.DUMMYFUNCTION("""COMPUTED_VALUE"""),"NIÑAS")</f>
        <v>NIÑAS</v>
      </c>
    </row>
    <row r="523" spans="1:13">
      <c r="A523" s="42" t="str">
        <f ca="1">IFERROR(__xludf.DUMMYFUNCTION("""COMPUTED_VALUE"""),"2.1.1.5")</f>
        <v>2.1.1.5</v>
      </c>
      <c r="B523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23" s="42" t="str">
        <f ca="1">IFERROR(__xludf.DUMMYFUNCTION("""COMPUTED_VALUE"""),"3. Operación")</f>
        <v>3. Operación</v>
      </c>
      <c r="D523" s="42" t="str">
        <f ca="1">IFERROR(__xludf.DUMMYFUNCTION("""COMPUTED_VALUE"""),"Guadalajara en Paz")</f>
        <v>Guadalajara en Paz</v>
      </c>
      <c r="E523" s="42" t="str">
        <f ca="1">IFERROR(__xludf.DUMMYFUNCTION("""COMPUTED_VALUE"""),"Asistencia Alimentaria y Nutrición")</f>
        <v>Asistencia Alimentaria y Nutrición</v>
      </c>
      <c r="F523" s="42" t="str">
        <f ca="1">IFERROR(__xludf.DUMMYFUNCTION("""COMPUTED_VALUE"""),"A5C1. Apoyos del Programa de Alimentación Escolar entregados en 2023")</f>
        <v>A5C1. Apoyos del Programa de Alimentación Escolar entregados en 2023</v>
      </c>
      <c r="G523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523" s="42" t="str">
        <f ca="1">IFERROR(__xludf.DUMMYFUNCTION("""COMPUTED_VALUE"""),"NOS Mayo")</f>
        <v>NOS Mayo</v>
      </c>
      <c r="I523" s="42" t="str">
        <f ca="1">IFERROR(__xludf.DUMMYFUNCTION("""COMPUTED_VALUE"""),"Mayo")</f>
        <v>Mayo</v>
      </c>
      <c r="J523" s="42" t="str">
        <f ca="1">IFERROR(__xludf.DUMMYFUNCTION("""COMPUTED_VALUE"""),"NOS")</f>
        <v>NOS</v>
      </c>
      <c r="K523" s="98">
        <f ca="1">IFERROR(__xludf.DUMMYFUNCTION("""COMPUTED_VALUE"""),80332)</f>
        <v>80332</v>
      </c>
      <c r="L523" s="42" t="str">
        <f ca="1">IFERROR(__xludf.DUMMYFUNCTION("""COMPUTED_VALUE"""),"TRIMESTRE 2")</f>
        <v>TRIMESTRE 2</v>
      </c>
      <c r="M523" s="42" t="str">
        <f ca="1">IFERROR(__xludf.DUMMYFUNCTION("""COMPUTED_VALUE"""),"NIÑOS")</f>
        <v>NIÑOS</v>
      </c>
    </row>
    <row r="524" spans="1:13">
      <c r="A524" s="42" t="str">
        <f ca="1">IFERROR(__xludf.DUMMYFUNCTION("""COMPUTED_VALUE"""),"2.1.1.5")</f>
        <v>2.1.1.5</v>
      </c>
      <c r="B524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24" s="42" t="str">
        <f ca="1">IFERROR(__xludf.DUMMYFUNCTION("""COMPUTED_VALUE"""),"3. Operación")</f>
        <v>3. Operación</v>
      </c>
      <c r="D524" s="42" t="str">
        <f ca="1">IFERROR(__xludf.DUMMYFUNCTION("""COMPUTED_VALUE"""),"Guadalajara en Paz")</f>
        <v>Guadalajara en Paz</v>
      </c>
      <c r="E524" s="42" t="str">
        <f ca="1">IFERROR(__xludf.DUMMYFUNCTION("""COMPUTED_VALUE"""),"Asistencia Alimentaria y Nutrición")</f>
        <v>Asistencia Alimentaria y Nutrición</v>
      </c>
      <c r="F524" s="42" t="str">
        <f ca="1">IFERROR(__xludf.DUMMYFUNCTION("""COMPUTED_VALUE"""),"A5C1. Apoyos del Programa de Alimentación Escolar entregados en 2023")</f>
        <v>A5C1. Apoyos del Programa de Alimentación Escolar entregados en 2023</v>
      </c>
      <c r="G524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524" s="42" t="str">
        <f ca="1">IFERROR(__xludf.DUMMYFUNCTION("""COMPUTED_VALUE"""),"AM MAYO")</f>
        <v>AM MAYO</v>
      </c>
      <c r="I524" s="42" t="str">
        <f ca="1">IFERROR(__xludf.DUMMYFUNCTION("""COMPUTED_VALUE"""),"Mayo")</f>
        <v>Mayo</v>
      </c>
      <c r="J524" s="42" t="str">
        <f ca="1">IFERROR(__xludf.DUMMYFUNCTION("""COMPUTED_VALUE"""),"AM")</f>
        <v>AM</v>
      </c>
      <c r="K524" s="98">
        <f ca="1">IFERROR(__xludf.DUMMYFUNCTION("""COMPUTED_VALUE"""),8820)</f>
        <v>8820</v>
      </c>
      <c r="L524" s="42" t="str">
        <f ca="1">IFERROR(__xludf.DUMMYFUNCTION("""COMPUTED_VALUE"""),"TRIMESTRE 2")</f>
        <v>TRIMESTRE 2</v>
      </c>
      <c r="M524" s="42" t="str">
        <f ca="1">IFERROR(__xludf.DUMMYFUNCTION("""COMPUTED_VALUE"""),"ADOLESCENTES MUJERES")</f>
        <v>ADOLESCENTES MUJERES</v>
      </c>
    </row>
    <row r="525" spans="1:13">
      <c r="A525" s="42" t="str">
        <f ca="1">IFERROR(__xludf.DUMMYFUNCTION("""COMPUTED_VALUE"""),"2.1.1.5")</f>
        <v>2.1.1.5</v>
      </c>
      <c r="B525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25" s="42" t="str">
        <f ca="1">IFERROR(__xludf.DUMMYFUNCTION("""COMPUTED_VALUE"""),"3. Operación")</f>
        <v>3. Operación</v>
      </c>
      <c r="D525" s="42" t="str">
        <f ca="1">IFERROR(__xludf.DUMMYFUNCTION("""COMPUTED_VALUE"""),"Guadalajara en Paz")</f>
        <v>Guadalajara en Paz</v>
      </c>
      <c r="E525" s="42" t="str">
        <f ca="1">IFERROR(__xludf.DUMMYFUNCTION("""COMPUTED_VALUE"""),"Asistencia Alimentaria y Nutrición")</f>
        <v>Asistencia Alimentaria y Nutrición</v>
      </c>
      <c r="F525" s="42" t="str">
        <f ca="1">IFERROR(__xludf.DUMMYFUNCTION("""COMPUTED_VALUE"""),"A5C1. Apoyos del Programa de Alimentación Escolar entregados en 2023")</f>
        <v>A5C1. Apoyos del Programa de Alimentación Escolar entregados en 2023</v>
      </c>
      <c r="G525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525" s="42" t="str">
        <f ca="1">IFERROR(__xludf.DUMMYFUNCTION("""COMPUTED_VALUE"""),"AH MAYO")</f>
        <v>AH MAYO</v>
      </c>
      <c r="I525" s="42" t="str">
        <f ca="1">IFERROR(__xludf.DUMMYFUNCTION("""COMPUTED_VALUE"""),"Mayo")</f>
        <v>Mayo</v>
      </c>
      <c r="J525" s="42" t="str">
        <f ca="1">IFERROR(__xludf.DUMMYFUNCTION("""COMPUTED_VALUE"""),"AH")</f>
        <v>AH</v>
      </c>
      <c r="K525" s="98">
        <f ca="1">IFERROR(__xludf.DUMMYFUNCTION("""COMPUTED_VALUE"""),8540)</f>
        <v>8540</v>
      </c>
      <c r="L525" s="42" t="str">
        <f ca="1">IFERROR(__xludf.DUMMYFUNCTION("""COMPUTED_VALUE"""),"TRIMESTRE 2")</f>
        <v>TRIMESTRE 2</v>
      </c>
      <c r="M525" s="42" t="str">
        <f ca="1">IFERROR(__xludf.DUMMYFUNCTION("""COMPUTED_VALUE"""),"ADOLESCENTES HOMBRES")</f>
        <v>ADOLESCENTES HOMBRES</v>
      </c>
    </row>
    <row r="526" spans="1:13">
      <c r="A526" s="42" t="str">
        <f ca="1">IFERROR(__xludf.DUMMYFUNCTION("""COMPUTED_VALUE"""),"2.1.1.5")</f>
        <v>2.1.1.5</v>
      </c>
      <c r="B526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26" s="42" t="str">
        <f ca="1">IFERROR(__xludf.DUMMYFUNCTION("""COMPUTED_VALUE"""),"3. Operación")</f>
        <v>3. Operación</v>
      </c>
      <c r="D526" s="42" t="str">
        <f ca="1">IFERROR(__xludf.DUMMYFUNCTION("""COMPUTED_VALUE"""),"Guadalajara en Paz")</f>
        <v>Guadalajara en Paz</v>
      </c>
      <c r="E526" s="42" t="str">
        <f ca="1">IFERROR(__xludf.DUMMYFUNCTION("""COMPUTED_VALUE"""),"Asistencia Alimentaria y Nutrición")</f>
        <v>Asistencia Alimentaria y Nutrición</v>
      </c>
      <c r="F526" s="42" t="str">
        <f ca="1">IFERROR(__xludf.DUMMYFUNCTION("""COMPUTED_VALUE"""),"A5C1. Apoyos del Programa de Alimentación Escolar entregados en 2023")</f>
        <v>A5C1. Apoyos del Programa de Alimentación Escolar entregados en 2023</v>
      </c>
      <c r="G526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526" s="42" t="str">
        <f ca="1">IFERROR(__xludf.DUMMYFUNCTION("""COMPUTED_VALUE"""),"MUJ Mayo")</f>
        <v>MUJ Mayo</v>
      </c>
      <c r="I526" s="42" t="str">
        <f ca="1">IFERROR(__xludf.DUMMYFUNCTION("""COMPUTED_VALUE"""),"Mayo")</f>
        <v>Mayo</v>
      </c>
      <c r="J526" s="42" t="str">
        <f ca="1">IFERROR(__xludf.DUMMYFUNCTION("""COMPUTED_VALUE"""),"MUJ")</f>
        <v>MUJ</v>
      </c>
      <c r="K526" s="98">
        <f ca="1">IFERROR(__xludf.DUMMYFUNCTION("""COMPUTED_VALUE"""),0)</f>
        <v>0</v>
      </c>
      <c r="L526" s="42" t="str">
        <f ca="1">IFERROR(__xludf.DUMMYFUNCTION("""COMPUTED_VALUE"""),"TRIMESTRE 2")</f>
        <v>TRIMESTRE 2</v>
      </c>
      <c r="M526" s="42" t="str">
        <f ca="1">IFERROR(__xludf.DUMMYFUNCTION("""COMPUTED_VALUE"""),"MUJERES ADULTAS")</f>
        <v>MUJERES ADULTAS</v>
      </c>
    </row>
    <row r="527" spans="1:13">
      <c r="A527" s="42" t="str">
        <f ca="1">IFERROR(__xludf.DUMMYFUNCTION("""COMPUTED_VALUE"""),"2.1.1.5")</f>
        <v>2.1.1.5</v>
      </c>
      <c r="B527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27" s="42" t="str">
        <f ca="1">IFERROR(__xludf.DUMMYFUNCTION("""COMPUTED_VALUE"""),"3. Operación")</f>
        <v>3. Operación</v>
      </c>
      <c r="D527" s="42" t="str">
        <f ca="1">IFERROR(__xludf.DUMMYFUNCTION("""COMPUTED_VALUE"""),"Guadalajara en Paz")</f>
        <v>Guadalajara en Paz</v>
      </c>
      <c r="E527" s="42" t="str">
        <f ca="1">IFERROR(__xludf.DUMMYFUNCTION("""COMPUTED_VALUE"""),"Asistencia Alimentaria y Nutrición")</f>
        <v>Asistencia Alimentaria y Nutrición</v>
      </c>
      <c r="F527" s="42" t="str">
        <f ca="1">IFERROR(__xludf.DUMMYFUNCTION("""COMPUTED_VALUE"""),"A5C1. Apoyos del Programa de Alimentación Escolar entregados en 2023")</f>
        <v>A5C1. Apoyos del Programa de Alimentación Escolar entregados en 2023</v>
      </c>
      <c r="G527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527" s="42" t="str">
        <f ca="1">IFERROR(__xludf.DUMMYFUNCTION("""COMPUTED_VALUE"""),"HOM Mayo")</f>
        <v>HOM Mayo</v>
      </c>
      <c r="I527" s="42" t="str">
        <f ca="1">IFERROR(__xludf.DUMMYFUNCTION("""COMPUTED_VALUE"""),"Mayo")</f>
        <v>Mayo</v>
      </c>
      <c r="J527" s="42" t="str">
        <f ca="1">IFERROR(__xludf.DUMMYFUNCTION("""COMPUTED_VALUE"""),"HOM")</f>
        <v>HOM</v>
      </c>
      <c r="K527" s="98">
        <f ca="1">IFERROR(__xludf.DUMMYFUNCTION("""COMPUTED_VALUE"""),0)</f>
        <v>0</v>
      </c>
      <c r="L527" s="42" t="str">
        <f ca="1">IFERROR(__xludf.DUMMYFUNCTION("""COMPUTED_VALUE"""),"TRIMESTRE 2")</f>
        <v>TRIMESTRE 2</v>
      </c>
      <c r="M527" s="42" t="str">
        <f ca="1">IFERROR(__xludf.DUMMYFUNCTION("""COMPUTED_VALUE"""),"HOMBRES ADULTOS")</f>
        <v>HOMBRES ADULTOS</v>
      </c>
    </row>
    <row r="528" spans="1:13">
      <c r="A528" s="42" t="str">
        <f ca="1">IFERROR(__xludf.DUMMYFUNCTION("""COMPUTED_VALUE"""),"2.1.1.5")</f>
        <v>2.1.1.5</v>
      </c>
      <c r="B528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28" s="42" t="str">
        <f ca="1">IFERROR(__xludf.DUMMYFUNCTION("""COMPUTED_VALUE"""),"3. Operación")</f>
        <v>3. Operación</v>
      </c>
      <c r="D528" s="42" t="str">
        <f ca="1">IFERROR(__xludf.DUMMYFUNCTION("""COMPUTED_VALUE"""),"Guadalajara en Paz")</f>
        <v>Guadalajara en Paz</v>
      </c>
      <c r="E528" s="42" t="str">
        <f ca="1">IFERROR(__xludf.DUMMYFUNCTION("""COMPUTED_VALUE"""),"Asistencia Alimentaria y Nutrición")</f>
        <v>Asistencia Alimentaria y Nutrición</v>
      </c>
      <c r="F528" s="42" t="str">
        <f ca="1">IFERROR(__xludf.DUMMYFUNCTION("""COMPUTED_VALUE"""),"A5C1. Apoyos del Programa de Alimentación Escolar entregados en 2023")</f>
        <v>A5C1. Apoyos del Programa de Alimentación Escolar entregados en 2023</v>
      </c>
      <c r="G528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528" s="42" t="str">
        <f ca="1">IFERROR(__xludf.DUMMYFUNCTION("""COMPUTED_VALUE"""),"AMM Mayo")</f>
        <v>AMM Mayo</v>
      </c>
      <c r="I528" s="42" t="str">
        <f ca="1">IFERROR(__xludf.DUMMYFUNCTION("""COMPUTED_VALUE"""),"Mayo")</f>
        <v>Mayo</v>
      </c>
      <c r="J528" s="42" t="str">
        <f ca="1">IFERROR(__xludf.DUMMYFUNCTION("""COMPUTED_VALUE"""),"AMM")</f>
        <v>AMM</v>
      </c>
      <c r="K528" s="98">
        <f ca="1">IFERROR(__xludf.DUMMYFUNCTION("""COMPUTED_VALUE"""),0)</f>
        <v>0</v>
      </c>
      <c r="L528" s="42" t="str">
        <f ca="1">IFERROR(__xludf.DUMMYFUNCTION("""COMPUTED_VALUE"""),"TRIMESTRE 2")</f>
        <v>TRIMESTRE 2</v>
      </c>
      <c r="M528" s="42" t="str">
        <f ca="1">IFERROR(__xludf.DUMMYFUNCTION("""COMPUTED_VALUE"""),"ADULTA MAYOR MUJER")</f>
        <v>ADULTA MAYOR MUJER</v>
      </c>
    </row>
    <row r="529" spans="1:13">
      <c r="A529" s="42" t="str">
        <f ca="1">IFERROR(__xludf.DUMMYFUNCTION("""COMPUTED_VALUE"""),"2.1.1.5")</f>
        <v>2.1.1.5</v>
      </c>
      <c r="B529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29" s="42" t="str">
        <f ca="1">IFERROR(__xludf.DUMMYFUNCTION("""COMPUTED_VALUE"""),"3. Operación")</f>
        <v>3. Operación</v>
      </c>
      <c r="D529" s="42" t="str">
        <f ca="1">IFERROR(__xludf.DUMMYFUNCTION("""COMPUTED_VALUE"""),"Guadalajara en Paz")</f>
        <v>Guadalajara en Paz</v>
      </c>
      <c r="E529" s="42" t="str">
        <f ca="1">IFERROR(__xludf.DUMMYFUNCTION("""COMPUTED_VALUE"""),"Asistencia Alimentaria y Nutrición")</f>
        <v>Asistencia Alimentaria y Nutrición</v>
      </c>
      <c r="F529" s="42" t="str">
        <f ca="1">IFERROR(__xludf.DUMMYFUNCTION("""COMPUTED_VALUE"""),"A5C1. Apoyos del Programa de Alimentación Escolar entregados en 2023")</f>
        <v>A5C1. Apoyos del Programa de Alimentación Escolar entregados en 2023</v>
      </c>
      <c r="G529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529" s="42" t="str">
        <f ca="1">IFERROR(__xludf.DUMMYFUNCTION("""COMPUTED_VALUE"""),"AMH Mayo")</f>
        <v>AMH Mayo</v>
      </c>
      <c r="I529" s="42" t="str">
        <f ca="1">IFERROR(__xludf.DUMMYFUNCTION("""COMPUTED_VALUE"""),"Mayo")</f>
        <v>Mayo</v>
      </c>
      <c r="J529" s="42" t="str">
        <f ca="1">IFERROR(__xludf.DUMMYFUNCTION("""COMPUTED_VALUE"""),"AMH")</f>
        <v>AMH</v>
      </c>
      <c r="K529" s="98">
        <f ca="1">IFERROR(__xludf.DUMMYFUNCTION("""COMPUTED_VALUE"""),0)</f>
        <v>0</v>
      </c>
      <c r="L529" s="42" t="str">
        <f ca="1">IFERROR(__xludf.DUMMYFUNCTION("""COMPUTED_VALUE"""),"TRIMESTRE 2")</f>
        <v>TRIMESTRE 2</v>
      </c>
      <c r="M529" s="42" t="str">
        <f ca="1">IFERROR(__xludf.DUMMYFUNCTION("""COMPUTED_VALUE"""),"ADULTO MAYOR HOMBRE")</f>
        <v>ADULTO MAYOR HOMBRE</v>
      </c>
    </row>
    <row r="530" spans="1:13">
      <c r="A530" s="42" t="str">
        <f ca="1">IFERROR(__xludf.DUMMYFUNCTION("""COMPUTED_VALUE"""),"2.1.1.6")</f>
        <v>2.1.1.6</v>
      </c>
      <c r="B530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30" s="42" t="str">
        <f ca="1">IFERROR(__xludf.DUMMYFUNCTION("""COMPUTED_VALUE"""),"3. Operación")</f>
        <v>3. Operación</v>
      </c>
      <c r="D530" s="42" t="str">
        <f ca="1">IFERROR(__xludf.DUMMYFUNCTION("""COMPUTED_VALUE"""),"Guadalajara en Paz")</f>
        <v>Guadalajara en Paz</v>
      </c>
      <c r="E530" s="42" t="str">
        <f ca="1">IFERROR(__xludf.DUMMYFUNCTION("""COMPUTED_VALUE"""),"Asistencia Alimentaria y Nutrición")</f>
        <v>Asistencia Alimentaria y Nutrición</v>
      </c>
      <c r="F530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530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530" s="42" t="str">
        <f ca="1">IFERROR(__xludf.DUMMYFUNCTION("""COMPUTED_VALUE"""),"NAS Mayo")</f>
        <v>NAS Mayo</v>
      </c>
      <c r="I530" s="42" t="str">
        <f ca="1">IFERROR(__xludf.DUMMYFUNCTION("""COMPUTED_VALUE"""),"Mayo")</f>
        <v>Mayo</v>
      </c>
      <c r="J530" s="42" t="str">
        <f ca="1">IFERROR(__xludf.DUMMYFUNCTION("""COMPUTED_VALUE"""),"NAS")</f>
        <v>NAS</v>
      </c>
      <c r="K530" s="98">
        <f ca="1">IFERROR(__xludf.DUMMYFUNCTION("""COMPUTED_VALUE"""),266)</f>
        <v>266</v>
      </c>
      <c r="L530" s="42" t="str">
        <f ca="1">IFERROR(__xludf.DUMMYFUNCTION("""COMPUTED_VALUE"""),"TRIMESTRE 2")</f>
        <v>TRIMESTRE 2</v>
      </c>
      <c r="M530" s="42" t="str">
        <f ca="1">IFERROR(__xludf.DUMMYFUNCTION("""COMPUTED_VALUE"""),"NIÑAS")</f>
        <v>NIÑAS</v>
      </c>
    </row>
    <row r="531" spans="1:13">
      <c r="A531" s="42" t="str">
        <f ca="1">IFERROR(__xludf.DUMMYFUNCTION("""COMPUTED_VALUE"""),"2.1.1.6")</f>
        <v>2.1.1.6</v>
      </c>
      <c r="B531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31" s="42" t="str">
        <f ca="1">IFERROR(__xludf.DUMMYFUNCTION("""COMPUTED_VALUE"""),"3. Operación")</f>
        <v>3. Operación</v>
      </c>
      <c r="D531" s="42" t="str">
        <f ca="1">IFERROR(__xludf.DUMMYFUNCTION("""COMPUTED_VALUE"""),"Guadalajara en Paz")</f>
        <v>Guadalajara en Paz</v>
      </c>
      <c r="E531" s="42" t="str">
        <f ca="1">IFERROR(__xludf.DUMMYFUNCTION("""COMPUTED_VALUE"""),"Asistencia Alimentaria y Nutrición")</f>
        <v>Asistencia Alimentaria y Nutrición</v>
      </c>
      <c r="F531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531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531" s="42" t="str">
        <f ca="1">IFERROR(__xludf.DUMMYFUNCTION("""COMPUTED_VALUE"""),"NOS Mayo")</f>
        <v>NOS Mayo</v>
      </c>
      <c r="I531" s="42" t="str">
        <f ca="1">IFERROR(__xludf.DUMMYFUNCTION("""COMPUTED_VALUE"""),"Mayo")</f>
        <v>Mayo</v>
      </c>
      <c r="J531" s="42" t="str">
        <f ca="1">IFERROR(__xludf.DUMMYFUNCTION("""COMPUTED_VALUE"""),"NOS")</f>
        <v>NOS</v>
      </c>
      <c r="K531" s="98">
        <f ca="1">IFERROR(__xludf.DUMMYFUNCTION("""COMPUTED_VALUE"""),310)</f>
        <v>310</v>
      </c>
      <c r="L531" s="42" t="str">
        <f ca="1">IFERROR(__xludf.DUMMYFUNCTION("""COMPUTED_VALUE"""),"TRIMESTRE 2")</f>
        <v>TRIMESTRE 2</v>
      </c>
      <c r="M531" s="42" t="str">
        <f ca="1">IFERROR(__xludf.DUMMYFUNCTION("""COMPUTED_VALUE"""),"NIÑOS")</f>
        <v>NIÑOS</v>
      </c>
    </row>
    <row r="532" spans="1:13">
      <c r="A532" s="42" t="str">
        <f ca="1">IFERROR(__xludf.DUMMYFUNCTION("""COMPUTED_VALUE"""),"2.1.1.6")</f>
        <v>2.1.1.6</v>
      </c>
      <c r="B532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32" s="42" t="str">
        <f ca="1">IFERROR(__xludf.DUMMYFUNCTION("""COMPUTED_VALUE"""),"3. Operación")</f>
        <v>3. Operación</v>
      </c>
      <c r="D532" s="42" t="str">
        <f ca="1">IFERROR(__xludf.DUMMYFUNCTION("""COMPUTED_VALUE"""),"Guadalajara en Paz")</f>
        <v>Guadalajara en Paz</v>
      </c>
      <c r="E532" s="42" t="str">
        <f ca="1">IFERROR(__xludf.DUMMYFUNCTION("""COMPUTED_VALUE"""),"Asistencia Alimentaria y Nutrición")</f>
        <v>Asistencia Alimentaria y Nutrición</v>
      </c>
      <c r="F532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532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532" s="42" t="str">
        <f ca="1">IFERROR(__xludf.DUMMYFUNCTION("""COMPUTED_VALUE"""),"AM MAYO")</f>
        <v>AM MAYO</v>
      </c>
      <c r="I532" s="42" t="str">
        <f ca="1">IFERROR(__xludf.DUMMYFUNCTION("""COMPUTED_VALUE"""),"Mayo")</f>
        <v>Mayo</v>
      </c>
      <c r="J532" s="42" t="str">
        <f ca="1">IFERROR(__xludf.DUMMYFUNCTION("""COMPUTED_VALUE"""),"AM")</f>
        <v>AM</v>
      </c>
      <c r="K532" s="98">
        <f ca="1">IFERROR(__xludf.DUMMYFUNCTION("""COMPUTED_VALUE"""),14)</f>
        <v>14</v>
      </c>
      <c r="L532" s="42" t="str">
        <f ca="1">IFERROR(__xludf.DUMMYFUNCTION("""COMPUTED_VALUE"""),"TRIMESTRE 2")</f>
        <v>TRIMESTRE 2</v>
      </c>
      <c r="M532" s="42" t="str">
        <f ca="1">IFERROR(__xludf.DUMMYFUNCTION("""COMPUTED_VALUE"""),"ADOLESCENTES MUJERES")</f>
        <v>ADOLESCENTES MUJERES</v>
      </c>
    </row>
    <row r="533" spans="1:13">
      <c r="A533" s="42" t="str">
        <f ca="1">IFERROR(__xludf.DUMMYFUNCTION("""COMPUTED_VALUE"""),"2.1.1.6")</f>
        <v>2.1.1.6</v>
      </c>
      <c r="B533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33" s="42" t="str">
        <f ca="1">IFERROR(__xludf.DUMMYFUNCTION("""COMPUTED_VALUE"""),"3. Operación")</f>
        <v>3. Operación</v>
      </c>
      <c r="D533" s="42" t="str">
        <f ca="1">IFERROR(__xludf.DUMMYFUNCTION("""COMPUTED_VALUE"""),"Guadalajara en Paz")</f>
        <v>Guadalajara en Paz</v>
      </c>
      <c r="E533" s="42" t="str">
        <f ca="1">IFERROR(__xludf.DUMMYFUNCTION("""COMPUTED_VALUE"""),"Asistencia Alimentaria y Nutrición")</f>
        <v>Asistencia Alimentaria y Nutrición</v>
      </c>
      <c r="F533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533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533" s="42" t="str">
        <f ca="1">IFERROR(__xludf.DUMMYFUNCTION("""COMPUTED_VALUE"""),"AH MAYO")</f>
        <v>AH MAYO</v>
      </c>
      <c r="I533" s="42" t="str">
        <f ca="1">IFERROR(__xludf.DUMMYFUNCTION("""COMPUTED_VALUE"""),"Mayo")</f>
        <v>Mayo</v>
      </c>
      <c r="J533" s="42" t="str">
        <f ca="1">IFERROR(__xludf.DUMMYFUNCTION("""COMPUTED_VALUE"""),"AH")</f>
        <v>AH</v>
      </c>
      <c r="K533" s="98">
        <f ca="1">IFERROR(__xludf.DUMMYFUNCTION("""COMPUTED_VALUE"""),22)</f>
        <v>22</v>
      </c>
      <c r="L533" s="42" t="str">
        <f ca="1">IFERROR(__xludf.DUMMYFUNCTION("""COMPUTED_VALUE"""),"TRIMESTRE 2")</f>
        <v>TRIMESTRE 2</v>
      </c>
      <c r="M533" s="42" t="str">
        <f ca="1">IFERROR(__xludf.DUMMYFUNCTION("""COMPUTED_VALUE"""),"ADOLESCENTES HOMBRES")</f>
        <v>ADOLESCENTES HOMBRES</v>
      </c>
    </row>
    <row r="534" spans="1:13">
      <c r="A534" s="42" t="str">
        <f ca="1">IFERROR(__xludf.DUMMYFUNCTION("""COMPUTED_VALUE"""),"2.1.1.6")</f>
        <v>2.1.1.6</v>
      </c>
      <c r="B534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34" s="42" t="str">
        <f ca="1">IFERROR(__xludf.DUMMYFUNCTION("""COMPUTED_VALUE"""),"3. Operación")</f>
        <v>3. Operación</v>
      </c>
      <c r="D534" s="42" t="str">
        <f ca="1">IFERROR(__xludf.DUMMYFUNCTION("""COMPUTED_VALUE"""),"Guadalajara en Paz")</f>
        <v>Guadalajara en Paz</v>
      </c>
      <c r="E534" s="42" t="str">
        <f ca="1">IFERROR(__xludf.DUMMYFUNCTION("""COMPUTED_VALUE"""),"Asistencia Alimentaria y Nutrición")</f>
        <v>Asistencia Alimentaria y Nutrición</v>
      </c>
      <c r="F534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534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534" s="42" t="str">
        <f ca="1">IFERROR(__xludf.DUMMYFUNCTION("""COMPUTED_VALUE"""),"MUJ Mayo")</f>
        <v>MUJ Mayo</v>
      </c>
      <c r="I534" s="42" t="str">
        <f ca="1">IFERROR(__xludf.DUMMYFUNCTION("""COMPUTED_VALUE"""),"Mayo")</f>
        <v>Mayo</v>
      </c>
      <c r="J534" s="42" t="str">
        <f ca="1">IFERROR(__xludf.DUMMYFUNCTION("""COMPUTED_VALUE"""),"MUJ")</f>
        <v>MUJ</v>
      </c>
      <c r="K534" s="98">
        <f ca="1">IFERROR(__xludf.DUMMYFUNCTION("""COMPUTED_VALUE"""),476)</f>
        <v>476</v>
      </c>
      <c r="L534" s="42" t="str">
        <f ca="1">IFERROR(__xludf.DUMMYFUNCTION("""COMPUTED_VALUE"""),"TRIMESTRE 2")</f>
        <v>TRIMESTRE 2</v>
      </c>
      <c r="M534" s="42" t="str">
        <f ca="1">IFERROR(__xludf.DUMMYFUNCTION("""COMPUTED_VALUE"""),"MUJERES ADULTAS")</f>
        <v>MUJERES ADULTAS</v>
      </c>
    </row>
    <row r="535" spans="1:13">
      <c r="A535" s="42" t="str">
        <f ca="1">IFERROR(__xludf.DUMMYFUNCTION("""COMPUTED_VALUE"""),"2.1.1.6")</f>
        <v>2.1.1.6</v>
      </c>
      <c r="B535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35" s="42" t="str">
        <f ca="1">IFERROR(__xludf.DUMMYFUNCTION("""COMPUTED_VALUE"""),"3. Operación")</f>
        <v>3. Operación</v>
      </c>
      <c r="D535" s="42" t="str">
        <f ca="1">IFERROR(__xludf.DUMMYFUNCTION("""COMPUTED_VALUE"""),"Guadalajara en Paz")</f>
        <v>Guadalajara en Paz</v>
      </c>
      <c r="E535" s="42" t="str">
        <f ca="1">IFERROR(__xludf.DUMMYFUNCTION("""COMPUTED_VALUE"""),"Asistencia Alimentaria y Nutrición")</f>
        <v>Asistencia Alimentaria y Nutrición</v>
      </c>
      <c r="F535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535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535" s="42" t="str">
        <f ca="1">IFERROR(__xludf.DUMMYFUNCTION("""COMPUTED_VALUE"""),"HOM Mayo")</f>
        <v>HOM Mayo</v>
      </c>
      <c r="I535" s="42" t="str">
        <f ca="1">IFERROR(__xludf.DUMMYFUNCTION("""COMPUTED_VALUE"""),"Mayo")</f>
        <v>Mayo</v>
      </c>
      <c r="J535" s="42" t="str">
        <f ca="1">IFERROR(__xludf.DUMMYFUNCTION("""COMPUTED_VALUE"""),"HOM")</f>
        <v>HOM</v>
      </c>
      <c r="K535" s="98">
        <f ca="1">IFERROR(__xludf.DUMMYFUNCTION("""COMPUTED_VALUE"""),182)</f>
        <v>182</v>
      </c>
      <c r="L535" s="42" t="str">
        <f ca="1">IFERROR(__xludf.DUMMYFUNCTION("""COMPUTED_VALUE"""),"TRIMESTRE 2")</f>
        <v>TRIMESTRE 2</v>
      </c>
      <c r="M535" s="42" t="str">
        <f ca="1">IFERROR(__xludf.DUMMYFUNCTION("""COMPUTED_VALUE"""),"HOMBRES ADULTOS")</f>
        <v>HOMBRES ADULTOS</v>
      </c>
    </row>
    <row r="536" spans="1:13">
      <c r="A536" s="42" t="str">
        <f ca="1">IFERROR(__xludf.DUMMYFUNCTION("""COMPUTED_VALUE"""),"2.1.1.6")</f>
        <v>2.1.1.6</v>
      </c>
      <c r="B536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36" s="42" t="str">
        <f ca="1">IFERROR(__xludf.DUMMYFUNCTION("""COMPUTED_VALUE"""),"3. Operación")</f>
        <v>3. Operación</v>
      </c>
      <c r="D536" s="42" t="str">
        <f ca="1">IFERROR(__xludf.DUMMYFUNCTION("""COMPUTED_VALUE"""),"Guadalajara en Paz")</f>
        <v>Guadalajara en Paz</v>
      </c>
      <c r="E536" s="42" t="str">
        <f ca="1">IFERROR(__xludf.DUMMYFUNCTION("""COMPUTED_VALUE"""),"Asistencia Alimentaria y Nutrición")</f>
        <v>Asistencia Alimentaria y Nutrición</v>
      </c>
      <c r="F536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536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536" s="42" t="str">
        <f ca="1">IFERROR(__xludf.DUMMYFUNCTION("""COMPUTED_VALUE"""),"AMM Mayo")</f>
        <v>AMM Mayo</v>
      </c>
      <c r="I536" s="42" t="str">
        <f ca="1">IFERROR(__xludf.DUMMYFUNCTION("""COMPUTED_VALUE"""),"Mayo")</f>
        <v>Mayo</v>
      </c>
      <c r="J536" s="42" t="str">
        <f ca="1">IFERROR(__xludf.DUMMYFUNCTION("""COMPUTED_VALUE"""),"AMM")</f>
        <v>AMM</v>
      </c>
      <c r="K536" s="98">
        <f ca="1">IFERROR(__xludf.DUMMYFUNCTION("""COMPUTED_VALUE"""),2476)</f>
        <v>2476</v>
      </c>
      <c r="L536" s="42" t="str">
        <f ca="1">IFERROR(__xludf.DUMMYFUNCTION("""COMPUTED_VALUE"""),"TRIMESTRE 2")</f>
        <v>TRIMESTRE 2</v>
      </c>
      <c r="M536" s="42" t="str">
        <f ca="1">IFERROR(__xludf.DUMMYFUNCTION("""COMPUTED_VALUE"""),"ADULTA MAYOR MUJER")</f>
        <v>ADULTA MAYOR MUJER</v>
      </c>
    </row>
    <row r="537" spans="1:13">
      <c r="A537" s="42" t="str">
        <f ca="1">IFERROR(__xludf.DUMMYFUNCTION("""COMPUTED_VALUE"""),"2.1.1.6")</f>
        <v>2.1.1.6</v>
      </c>
      <c r="B537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37" s="42" t="str">
        <f ca="1">IFERROR(__xludf.DUMMYFUNCTION("""COMPUTED_VALUE"""),"3. Operación")</f>
        <v>3. Operación</v>
      </c>
      <c r="D537" s="42" t="str">
        <f ca="1">IFERROR(__xludf.DUMMYFUNCTION("""COMPUTED_VALUE"""),"Guadalajara en Paz")</f>
        <v>Guadalajara en Paz</v>
      </c>
      <c r="E537" s="42" t="str">
        <f ca="1">IFERROR(__xludf.DUMMYFUNCTION("""COMPUTED_VALUE"""),"Asistencia Alimentaria y Nutrición")</f>
        <v>Asistencia Alimentaria y Nutrición</v>
      </c>
      <c r="F537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537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537" s="42" t="str">
        <f ca="1">IFERROR(__xludf.DUMMYFUNCTION("""COMPUTED_VALUE"""),"AMH Mayo")</f>
        <v>AMH Mayo</v>
      </c>
      <c r="I537" s="42" t="str">
        <f ca="1">IFERROR(__xludf.DUMMYFUNCTION("""COMPUTED_VALUE"""),"Mayo")</f>
        <v>Mayo</v>
      </c>
      <c r="J537" s="42" t="str">
        <f ca="1">IFERROR(__xludf.DUMMYFUNCTION("""COMPUTED_VALUE"""),"AMH")</f>
        <v>AMH</v>
      </c>
      <c r="K537" s="98">
        <f ca="1">IFERROR(__xludf.DUMMYFUNCTION("""COMPUTED_VALUE"""),636)</f>
        <v>636</v>
      </c>
      <c r="L537" s="42" t="str">
        <f ca="1">IFERROR(__xludf.DUMMYFUNCTION("""COMPUTED_VALUE"""),"TRIMESTRE 2")</f>
        <v>TRIMESTRE 2</v>
      </c>
      <c r="M537" s="42" t="str">
        <f ca="1">IFERROR(__xludf.DUMMYFUNCTION("""COMPUTED_VALUE"""),"ADULTO MAYOR HOMBRE")</f>
        <v>ADULTO MAYOR HOMBRE</v>
      </c>
    </row>
    <row r="538" spans="1:13">
      <c r="A538" s="42" t="str">
        <f ca="1">IFERROR(__xludf.DUMMYFUNCTION("""COMPUTED_VALUE"""),"2.1.1.7")</f>
        <v>2.1.1.7</v>
      </c>
      <c r="B538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38" s="42" t="str">
        <f ca="1">IFERROR(__xludf.DUMMYFUNCTION("""COMPUTED_VALUE"""),"3. Operación")</f>
        <v>3. Operación</v>
      </c>
      <c r="D538" s="42" t="str">
        <f ca="1">IFERROR(__xludf.DUMMYFUNCTION("""COMPUTED_VALUE"""),"Guadalajara en Paz")</f>
        <v>Guadalajara en Paz</v>
      </c>
      <c r="E538" s="42" t="str">
        <f ca="1">IFERROR(__xludf.DUMMYFUNCTION("""COMPUTED_VALUE"""),"Asistencia Alimentaria y Nutrición")</f>
        <v>Asistencia Alimentaria y Nutrición</v>
      </c>
      <c r="F538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538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538" s="42" t="str">
        <f ca="1">IFERROR(__xludf.DUMMYFUNCTION("""COMPUTED_VALUE"""),"NAS Mayo")</f>
        <v>NAS Mayo</v>
      </c>
      <c r="I538" s="42" t="str">
        <f ca="1">IFERROR(__xludf.DUMMYFUNCTION("""COMPUTED_VALUE"""),"Mayo")</f>
        <v>Mayo</v>
      </c>
      <c r="J538" s="42" t="str">
        <f ca="1">IFERROR(__xludf.DUMMYFUNCTION("""COMPUTED_VALUE"""),"NAS")</f>
        <v>NAS</v>
      </c>
      <c r="K538" s="98">
        <f ca="1">IFERROR(__xludf.DUMMYFUNCTION("""COMPUTED_VALUE"""),128)</f>
        <v>128</v>
      </c>
      <c r="L538" s="42" t="str">
        <f ca="1">IFERROR(__xludf.DUMMYFUNCTION("""COMPUTED_VALUE"""),"TRIMESTRE 2")</f>
        <v>TRIMESTRE 2</v>
      </c>
      <c r="M538" s="42" t="str">
        <f ca="1">IFERROR(__xludf.DUMMYFUNCTION("""COMPUTED_VALUE"""),"NIÑAS")</f>
        <v>NIÑAS</v>
      </c>
    </row>
    <row r="539" spans="1:13">
      <c r="A539" s="42" t="str">
        <f ca="1">IFERROR(__xludf.DUMMYFUNCTION("""COMPUTED_VALUE"""),"2.1.1.7")</f>
        <v>2.1.1.7</v>
      </c>
      <c r="B539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39" s="42" t="str">
        <f ca="1">IFERROR(__xludf.DUMMYFUNCTION("""COMPUTED_VALUE"""),"3. Operación")</f>
        <v>3. Operación</v>
      </c>
      <c r="D539" s="42" t="str">
        <f ca="1">IFERROR(__xludf.DUMMYFUNCTION("""COMPUTED_VALUE"""),"Guadalajara en Paz")</f>
        <v>Guadalajara en Paz</v>
      </c>
      <c r="E539" s="42" t="str">
        <f ca="1">IFERROR(__xludf.DUMMYFUNCTION("""COMPUTED_VALUE"""),"Asistencia Alimentaria y Nutrición")</f>
        <v>Asistencia Alimentaria y Nutrición</v>
      </c>
      <c r="F539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539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539" s="42" t="str">
        <f ca="1">IFERROR(__xludf.DUMMYFUNCTION("""COMPUTED_VALUE"""),"NOS Mayo")</f>
        <v>NOS Mayo</v>
      </c>
      <c r="I539" s="42" t="str">
        <f ca="1">IFERROR(__xludf.DUMMYFUNCTION("""COMPUTED_VALUE"""),"Mayo")</f>
        <v>Mayo</v>
      </c>
      <c r="J539" s="42" t="str">
        <f ca="1">IFERROR(__xludf.DUMMYFUNCTION("""COMPUTED_VALUE"""),"NOS")</f>
        <v>NOS</v>
      </c>
      <c r="K539" s="98">
        <f ca="1">IFERROR(__xludf.DUMMYFUNCTION("""COMPUTED_VALUE"""),122)</f>
        <v>122</v>
      </c>
      <c r="L539" s="42" t="str">
        <f ca="1">IFERROR(__xludf.DUMMYFUNCTION("""COMPUTED_VALUE"""),"TRIMESTRE 2")</f>
        <v>TRIMESTRE 2</v>
      </c>
      <c r="M539" s="42" t="str">
        <f ca="1">IFERROR(__xludf.DUMMYFUNCTION("""COMPUTED_VALUE"""),"NIÑOS")</f>
        <v>NIÑOS</v>
      </c>
    </row>
    <row r="540" spans="1:13">
      <c r="A540" s="42" t="str">
        <f ca="1">IFERROR(__xludf.DUMMYFUNCTION("""COMPUTED_VALUE"""),"2.1.1.7")</f>
        <v>2.1.1.7</v>
      </c>
      <c r="B540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40" s="42" t="str">
        <f ca="1">IFERROR(__xludf.DUMMYFUNCTION("""COMPUTED_VALUE"""),"3. Operación")</f>
        <v>3. Operación</v>
      </c>
      <c r="D540" s="42" t="str">
        <f ca="1">IFERROR(__xludf.DUMMYFUNCTION("""COMPUTED_VALUE"""),"Guadalajara en Paz")</f>
        <v>Guadalajara en Paz</v>
      </c>
      <c r="E540" s="42" t="str">
        <f ca="1">IFERROR(__xludf.DUMMYFUNCTION("""COMPUTED_VALUE"""),"Asistencia Alimentaria y Nutrición")</f>
        <v>Asistencia Alimentaria y Nutrición</v>
      </c>
      <c r="F540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540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540" s="42" t="str">
        <f ca="1">IFERROR(__xludf.DUMMYFUNCTION("""COMPUTED_VALUE"""),"AM MAYO")</f>
        <v>AM MAYO</v>
      </c>
      <c r="I540" s="42" t="str">
        <f ca="1">IFERROR(__xludf.DUMMYFUNCTION("""COMPUTED_VALUE"""),"Mayo")</f>
        <v>Mayo</v>
      </c>
      <c r="J540" s="42" t="str">
        <f ca="1">IFERROR(__xludf.DUMMYFUNCTION("""COMPUTED_VALUE"""),"AM")</f>
        <v>AM</v>
      </c>
      <c r="K540" s="98">
        <f ca="1">IFERROR(__xludf.DUMMYFUNCTION("""COMPUTED_VALUE"""),0)</f>
        <v>0</v>
      </c>
      <c r="L540" s="42" t="str">
        <f ca="1">IFERROR(__xludf.DUMMYFUNCTION("""COMPUTED_VALUE"""),"TRIMESTRE 2")</f>
        <v>TRIMESTRE 2</v>
      </c>
      <c r="M540" s="42" t="str">
        <f ca="1">IFERROR(__xludf.DUMMYFUNCTION("""COMPUTED_VALUE"""),"ADOLESCENTES MUJERES")</f>
        <v>ADOLESCENTES MUJERES</v>
      </c>
    </row>
    <row r="541" spans="1:13">
      <c r="A541" s="42" t="str">
        <f ca="1">IFERROR(__xludf.DUMMYFUNCTION("""COMPUTED_VALUE"""),"2.1.1.7")</f>
        <v>2.1.1.7</v>
      </c>
      <c r="B541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41" s="42" t="str">
        <f ca="1">IFERROR(__xludf.DUMMYFUNCTION("""COMPUTED_VALUE"""),"3. Operación")</f>
        <v>3. Operación</v>
      </c>
      <c r="D541" s="42" t="str">
        <f ca="1">IFERROR(__xludf.DUMMYFUNCTION("""COMPUTED_VALUE"""),"Guadalajara en Paz")</f>
        <v>Guadalajara en Paz</v>
      </c>
      <c r="E541" s="42" t="str">
        <f ca="1">IFERROR(__xludf.DUMMYFUNCTION("""COMPUTED_VALUE"""),"Asistencia Alimentaria y Nutrición")</f>
        <v>Asistencia Alimentaria y Nutrición</v>
      </c>
      <c r="F541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541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541" s="42" t="str">
        <f ca="1">IFERROR(__xludf.DUMMYFUNCTION("""COMPUTED_VALUE"""),"AH MAYO")</f>
        <v>AH MAYO</v>
      </c>
      <c r="I541" s="42" t="str">
        <f ca="1">IFERROR(__xludf.DUMMYFUNCTION("""COMPUTED_VALUE"""),"Mayo")</f>
        <v>Mayo</v>
      </c>
      <c r="J541" s="42" t="str">
        <f ca="1">IFERROR(__xludf.DUMMYFUNCTION("""COMPUTED_VALUE"""),"AH")</f>
        <v>AH</v>
      </c>
      <c r="K541" s="98">
        <f ca="1">IFERROR(__xludf.DUMMYFUNCTION("""COMPUTED_VALUE"""),0)</f>
        <v>0</v>
      </c>
      <c r="L541" s="42" t="str">
        <f ca="1">IFERROR(__xludf.DUMMYFUNCTION("""COMPUTED_VALUE"""),"TRIMESTRE 2")</f>
        <v>TRIMESTRE 2</v>
      </c>
      <c r="M541" s="42" t="str">
        <f ca="1">IFERROR(__xludf.DUMMYFUNCTION("""COMPUTED_VALUE"""),"ADOLESCENTES HOMBRES")</f>
        <v>ADOLESCENTES HOMBRES</v>
      </c>
    </row>
    <row r="542" spans="1:13">
      <c r="A542" s="42" t="str">
        <f ca="1">IFERROR(__xludf.DUMMYFUNCTION("""COMPUTED_VALUE"""),"2.1.1.7")</f>
        <v>2.1.1.7</v>
      </c>
      <c r="B542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42" s="42" t="str">
        <f ca="1">IFERROR(__xludf.DUMMYFUNCTION("""COMPUTED_VALUE"""),"3. Operación")</f>
        <v>3. Operación</v>
      </c>
      <c r="D542" s="42" t="str">
        <f ca="1">IFERROR(__xludf.DUMMYFUNCTION("""COMPUTED_VALUE"""),"Guadalajara en Paz")</f>
        <v>Guadalajara en Paz</v>
      </c>
      <c r="E542" s="42" t="str">
        <f ca="1">IFERROR(__xludf.DUMMYFUNCTION("""COMPUTED_VALUE"""),"Asistencia Alimentaria y Nutrición")</f>
        <v>Asistencia Alimentaria y Nutrición</v>
      </c>
      <c r="F542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542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542" s="42" t="str">
        <f ca="1">IFERROR(__xludf.DUMMYFUNCTION("""COMPUTED_VALUE"""),"MUJ Mayo")</f>
        <v>MUJ Mayo</v>
      </c>
      <c r="I542" s="42" t="str">
        <f ca="1">IFERROR(__xludf.DUMMYFUNCTION("""COMPUTED_VALUE"""),"Mayo")</f>
        <v>Mayo</v>
      </c>
      <c r="J542" s="42" t="str">
        <f ca="1">IFERROR(__xludf.DUMMYFUNCTION("""COMPUTED_VALUE"""),"MUJ")</f>
        <v>MUJ</v>
      </c>
      <c r="K542" s="98">
        <f ca="1">IFERROR(__xludf.DUMMYFUNCTION("""COMPUTED_VALUE"""),420)</f>
        <v>420</v>
      </c>
      <c r="L542" s="42" t="str">
        <f ca="1">IFERROR(__xludf.DUMMYFUNCTION("""COMPUTED_VALUE"""),"TRIMESTRE 2")</f>
        <v>TRIMESTRE 2</v>
      </c>
      <c r="M542" s="42" t="str">
        <f ca="1">IFERROR(__xludf.DUMMYFUNCTION("""COMPUTED_VALUE"""),"MUJERES ADULTAS")</f>
        <v>MUJERES ADULTAS</v>
      </c>
    </row>
    <row r="543" spans="1:13">
      <c r="A543" s="42" t="str">
        <f ca="1">IFERROR(__xludf.DUMMYFUNCTION("""COMPUTED_VALUE"""),"2.1.1.7")</f>
        <v>2.1.1.7</v>
      </c>
      <c r="B543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43" s="42" t="str">
        <f ca="1">IFERROR(__xludf.DUMMYFUNCTION("""COMPUTED_VALUE"""),"3. Operación")</f>
        <v>3. Operación</v>
      </c>
      <c r="D543" s="42" t="str">
        <f ca="1">IFERROR(__xludf.DUMMYFUNCTION("""COMPUTED_VALUE"""),"Guadalajara en Paz")</f>
        <v>Guadalajara en Paz</v>
      </c>
      <c r="E543" s="42" t="str">
        <f ca="1">IFERROR(__xludf.DUMMYFUNCTION("""COMPUTED_VALUE"""),"Asistencia Alimentaria y Nutrición")</f>
        <v>Asistencia Alimentaria y Nutrición</v>
      </c>
      <c r="F543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543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543" s="42" t="str">
        <f ca="1">IFERROR(__xludf.DUMMYFUNCTION("""COMPUTED_VALUE"""),"HOM Mayo")</f>
        <v>HOM Mayo</v>
      </c>
      <c r="I543" s="42" t="str">
        <f ca="1">IFERROR(__xludf.DUMMYFUNCTION("""COMPUTED_VALUE"""),"Mayo")</f>
        <v>Mayo</v>
      </c>
      <c r="J543" s="42" t="str">
        <f ca="1">IFERROR(__xludf.DUMMYFUNCTION("""COMPUTED_VALUE"""),"HOM")</f>
        <v>HOM</v>
      </c>
      <c r="K543" s="98">
        <f ca="1">IFERROR(__xludf.DUMMYFUNCTION("""COMPUTED_VALUE"""),0)</f>
        <v>0</v>
      </c>
      <c r="L543" s="42" t="str">
        <f ca="1">IFERROR(__xludf.DUMMYFUNCTION("""COMPUTED_VALUE"""),"TRIMESTRE 2")</f>
        <v>TRIMESTRE 2</v>
      </c>
      <c r="M543" s="42" t="str">
        <f ca="1">IFERROR(__xludf.DUMMYFUNCTION("""COMPUTED_VALUE"""),"HOMBRES ADULTOS")</f>
        <v>HOMBRES ADULTOS</v>
      </c>
    </row>
    <row r="544" spans="1:13">
      <c r="A544" s="42" t="str">
        <f ca="1">IFERROR(__xludf.DUMMYFUNCTION("""COMPUTED_VALUE"""),"2.1.1.7")</f>
        <v>2.1.1.7</v>
      </c>
      <c r="B544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44" s="42" t="str">
        <f ca="1">IFERROR(__xludf.DUMMYFUNCTION("""COMPUTED_VALUE"""),"3. Operación")</f>
        <v>3. Operación</v>
      </c>
      <c r="D544" s="42" t="str">
        <f ca="1">IFERROR(__xludf.DUMMYFUNCTION("""COMPUTED_VALUE"""),"Guadalajara en Paz")</f>
        <v>Guadalajara en Paz</v>
      </c>
      <c r="E544" s="42" t="str">
        <f ca="1">IFERROR(__xludf.DUMMYFUNCTION("""COMPUTED_VALUE"""),"Asistencia Alimentaria y Nutrición")</f>
        <v>Asistencia Alimentaria y Nutrición</v>
      </c>
      <c r="F544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544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544" s="42" t="str">
        <f ca="1">IFERROR(__xludf.DUMMYFUNCTION("""COMPUTED_VALUE"""),"AMM Mayo")</f>
        <v>AMM Mayo</v>
      </c>
      <c r="I544" s="42" t="str">
        <f ca="1">IFERROR(__xludf.DUMMYFUNCTION("""COMPUTED_VALUE"""),"Mayo")</f>
        <v>Mayo</v>
      </c>
      <c r="J544" s="42" t="str">
        <f ca="1">IFERROR(__xludf.DUMMYFUNCTION("""COMPUTED_VALUE"""),"AMM")</f>
        <v>AMM</v>
      </c>
      <c r="K544" s="98">
        <f ca="1">IFERROR(__xludf.DUMMYFUNCTION("""COMPUTED_VALUE"""),0)</f>
        <v>0</v>
      </c>
      <c r="L544" s="42" t="str">
        <f ca="1">IFERROR(__xludf.DUMMYFUNCTION("""COMPUTED_VALUE"""),"TRIMESTRE 2")</f>
        <v>TRIMESTRE 2</v>
      </c>
      <c r="M544" s="42" t="str">
        <f ca="1">IFERROR(__xludf.DUMMYFUNCTION("""COMPUTED_VALUE"""),"ADULTA MAYOR MUJER")</f>
        <v>ADULTA MAYOR MUJER</v>
      </c>
    </row>
    <row r="545" spans="1:13">
      <c r="A545" s="42" t="str">
        <f ca="1">IFERROR(__xludf.DUMMYFUNCTION("""COMPUTED_VALUE"""),"2.1.1.7")</f>
        <v>2.1.1.7</v>
      </c>
      <c r="B545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45" s="42" t="str">
        <f ca="1">IFERROR(__xludf.DUMMYFUNCTION("""COMPUTED_VALUE"""),"3. Operación")</f>
        <v>3. Operación</v>
      </c>
      <c r="D545" s="42" t="str">
        <f ca="1">IFERROR(__xludf.DUMMYFUNCTION("""COMPUTED_VALUE"""),"Guadalajara en Paz")</f>
        <v>Guadalajara en Paz</v>
      </c>
      <c r="E545" s="42" t="str">
        <f ca="1">IFERROR(__xludf.DUMMYFUNCTION("""COMPUTED_VALUE"""),"Asistencia Alimentaria y Nutrición")</f>
        <v>Asistencia Alimentaria y Nutrición</v>
      </c>
      <c r="F545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545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545" s="42" t="str">
        <f ca="1">IFERROR(__xludf.DUMMYFUNCTION("""COMPUTED_VALUE"""),"AMH Mayo")</f>
        <v>AMH Mayo</v>
      </c>
      <c r="I545" s="42" t="str">
        <f ca="1">IFERROR(__xludf.DUMMYFUNCTION("""COMPUTED_VALUE"""),"Mayo")</f>
        <v>Mayo</v>
      </c>
      <c r="J545" s="42" t="str">
        <f ca="1">IFERROR(__xludf.DUMMYFUNCTION("""COMPUTED_VALUE"""),"AMH")</f>
        <v>AMH</v>
      </c>
      <c r="K545" s="98">
        <f ca="1">IFERROR(__xludf.DUMMYFUNCTION("""COMPUTED_VALUE"""),0)</f>
        <v>0</v>
      </c>
      <c r="L545" s="42" t="str">
        <f ca="1">IFERROR(__xludf.DUMMYFUNCTION("""COMPUTED_VALUE"""),"TRIMESTRE 2")</f>
        <v>TRIMESTRE 2</v>
      </c>
      <c r="M545" s="42" t="str">
        <f ca="1">IFERROR(__xludf.DUMMYFUNCTION("""COMPUTED_VALUE"""),"ADULTO MAYOR HOMBRE")</f>
        <v>ADULTO MAYOR HOMBRE</v>
      </c>
    </row>
    <row r="546" spans="1:13">
      <c r="A546" s="42" t="str">
        <f ca="1">IFERROR(__xludf.DUMMYFUNCTION("""COMPUTED_VALUE"""),"2.1.1.4")</f>
        <v>2.1.1.4</v>
      </c>
      <c r="B546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46" s="42" t="str">
        <f ca="1">IFERROR(__xludf.DUMMYFUNCTION("""COMPUTED_VALUE"""),"3. Operación")</f>
        <v>3. Operación</v>
      </c>
      <c r="D546" s="42" t="str">
        <f ca="1">IFERROR(__xludf.DUMMYFUNCTION("""COMPUTED_VALUE"""),"Guadalajara en Paz")</f>
        <v>Guadalajara en Paz</v>
      </c>
      <c r="E546" s="42" t="str">
        <f ca="1">IFERROR(__xludf.DUMMYFUNCTION("""COMPUTED_VALUE"""),"Asistencia Alimentaria y Nutrición")</f>
        <v>Asistencia Alimentaria y Nutrición</v>
      </c>
      <c r="F546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546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546" s="42" t="str">
        <f ca="1">IFERROR(__xludf.DUMMYFUNCTION("""COMPUTED_VALUE"""),"NAS Junio")</f>
        <v>NAS Junio</v>
      </c>
      <c r="I546" s="42" t="str">
        <f ca="1">IFERROR(__xludf.DUMMYFUNCTION("""COMPUTED_VALUE"""),"Junio")</f>
        <v>Junio</v>
      </c>
      <c r="J546" s="42" t="str">
        <f ca="1">IFERROR(__xludf.DUMMYFUNCTION("""COMPUTED_VALUE"""),"NAS")</f>
        <v>NAS</v>
      </c>
      <c r="K546" s="98"/>
      <c r="L546" s="42" t="str">
        <f ca="1">IFERROR(__xludf.DUMMYFUNCTION("""COMPUTED_VALUE"""),"TRIMESTRE 2")</f>
        <v>TRIMESTRE 2</v>
      </c>
      <c r="M546" s="42" t="str">
        <f ca="1">IFERROR(__xludf.DUMMYFUNCTION("""COMPUTED_VALUE"""),"NIÑAS")</f>
        <v>NIÑAS</v>
      </c>
    </row>
    <row r="547" spans="1:13">
      <c r="A547" s="42" t="str">
        <f ca="1">IFERROR(__xludf.DUMMYFUNCTION("""COMPUTED_VALUE"""),"2.1.1.4")</f>
        <v>2.1.1.4</v>
      </c>
      <c r="B547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47" s="42" t="str">
        <f ca="1">IFERROR(__xludf.DUMMYFUNCTION("""COMPUTED_VALUE"""),"3. Operación")</f>
        <v>3. Operación</v>
      </c>
      <c r="D547" s="42" t="str">
        <f ca="1">IFERROR(__xludf.DUMMYFUNCTION("""COMPUTED_VALUE"""),"Guadalajara en Paz")</f>
        <v>Guadalajara en Paz</v>
      </c>
      <c r="E547" s="42" t="str">
        <f ca="1">IFERROR(__xludf.DUMMYFUNCTION("""COMPUTED_VALUE"""),"Asistencia Alimentaria y Nutrición")</f>
        <v>Asistencia Alimentaria y Nutrición</v>
      </c>
      <c r="F547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547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547" s="42" t="str">
        <f ca="1">IFERROR(__xludf.DUMMYFUNCTION("""COMPUTED_VALUE"""),"NOS Junio")</f>
        <v>NOS Junio</v>
      </c>
      <c r="I547" s="42" t="str">
        <f ca="1">IFERROR(__xludf.DUMMYFUNCTION("""COMPUTED_VALUE"""),"Junio")</f>
        <v>Junio</v>
      </c>
      <c r="J547" s="42" t="str">
        <f ca="1">IFERROR(__xludf.DUMMYFUNCTION("""COMPUTED_VALUE"""),"NOS")</f>
        <v>NOS</v>
      </c>
      <c r="K547" s="98"/>
      <c r="L547" s="42" t="str">
        <f ca="1">IFERROR(__xludf.DUMMYFUNCTION("""COMPUTED_VALUE"""),"TRIMESTRE 2")</f>
        <v>TRIMESTRE 2</v>
      </c>
      <c r="M547" s="42" t="str">
        <f ca="1">IFERROR(__xludf.DUMMYFUNCTION("""COMPUTED_VALUE"""),"NIÑOS")</f>
        <v>NIÑOS</v>
      </c>
    </row>
    <row r="548" spans="1:13">
      <c r="A548" s="42" t="str">
        <f ca="1">IFERROR(__xludf.DUMMYFUNCTION("""COMPUTED_VALUE"""),"2.1.1.4")</f>
        <v>2.1.1.4</v>
      </c>
      <c r="B548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48" s="42" t="str">
        <f ca="1">IFERROR(__xludf.DUMMYFUNCTION("""COMPUTED_VALUE"""),"3. Operación")</f>
        <v>3. Operación</v>
      </c>
      <c r="D548" s="42" t="str">
        <f ca="1">IFERROR(__xludf.DUMMYFUNCTION("""COMPUTED_VALUE"""),"Guadalajara en Paz")</f>
        <v>Guadalajara en Paz</v>
      </c>
      <c r="E548" s="42" t="str">
        <f ca="1">IFERROR(__xludf.DUMMYFUNCTION("""COMPUTED_VALUE"""),"Asistencia Alimentaria y Nutrición")</f>
        <v>Asistencia Alimentaria y Nutrición</v>
      </c>
      <c r="F548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548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548" s="42" t="str">
        <f ca="1">IFERROR(__xludf.DUMMYFUNCTION("""COMPUTED_VALUE"""),"AM JUNIO")</f>
        <v>AM JUNIO</v>
      </c>
      <c r="I548" s="42" t="str">
        <f ca="1">IFERROR(__xludf.DUMMYFUNCTION("""COMPUTED_VALUE"""),"Junio")</f>
        <v>Junio</v>
      </c>
      <c r="J548" s="42" t="str">
        <f ca="1">IFERROR(__xludf.DUMMYFUNCTION("""COMPUTED_VALUE"""),"AM")</f>
        <v>AM</v>
      </c>
      <c r="K548" s="98"/>
      <c r="L548" s="42" t="str">
        <f ca="1">IFERROR(__xludf.DUMMYFUNCTION("""COMPUTED_VALUE"""),"TRIMESTRE 2")</f>
        <v>TRIMESTRE 2</v>
      </c>
      <c r="M548" s="42" t="str">
        <f ca="1">IFERROR(__xludf.DUMMYFUNCTION("""COMPUTED_VALUE"""),"ADOLESCENTES MUJERES")</f>
        <v>ADOLESCENTES MUJERES</v>
      </c>
    </row>
    <row r="549" spans="1:13">
      <c r="A549" s="42" t="str">
        <f ca="1">IFERROR(__xludf.DUMMYFUNCTION("""COMPUTED_VALUE"""),"2.1.1.4")</f>
        <v>2.1.1.4</v>
      </c>
      <c r="B549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49" s="42" t="str">
        <f ca="1">IFERROR(__xludf.DUMMYFUNCTION("""COMPUTED_VALUE"""),"3. Operación")</f>
        <v>3. Operación</v>
      </c>
      <c r="D549" s="42" t="str">
        <f ca="1">IFERROR(__xludf.DUMMYFUNCTION("""COMPUTED_VALUE"""),"Guadalajara en Paz")</f>
        <v>Guadalajara en Paz</v>
      </c>
      <c r="E549" s="42" t="str">
        <f ca="1">IFERROR(__xludf.DUMMYFUNCTION("""COMPUTED_VALUE"""),"Asistencia Alimentaria y Nutrición")</f>
        <v>Asistencia Alimentaria y Nutrición</v>
      </c>
      <c r="F549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549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549" s="42" t="str">
        <f ca="1">IFERROR(__xludf.DUMMYFUNCTION("""COMPUTED_VALUE"""),"AH JUNIO")</f>
        <v>AH JUNIO</v>
      </c>
      <c r="I549" s="42" t="str">
        <f ca="1">IFERROR(__xludf.DUMMYFUNCTION("""COMPUTED_VALUE"""),"Junio")</f>
        <v>Junio</v>
      </c>
      <c r="J549" s="42" t="str">
        <f ca="1">IFERROR(__xludf.DUMMYFUNCTION("""COMPUTED_VALUE"""),"AH")</f>
        <v>AH</v>
      </c>
      <c r="K549" s="98"/>
      <c r="L549" s="42" t="str">
        <f ca="1">IFERROR(__xludf.DUMMYFUNCTION("""COMPUTED_VALUE"""),"TRIMESTRE 2")</f>
        <v>TRIMESTRE 2</v>
      </c>
      <c r="M549" s="42" t="str">
        <f ca="1">IFERROR(__xludf.DUMMYFUNCTION("""COMPUTED_VALUE"""),"ADOLESCENTES HOMBRES")</f>
        <v>ADOLESCENTES HOMBRES</v>
      </c>
    </row>
    <row r="550" spans="1:13">
      <c r="A550" s="42" t="str">
        <f ca="1">IFERROR(__xludf.DUMMYFUNCTION("""COMPUTED_VALUE"""),"2.1.1.4")</f>
        <v>2.1.1.4</v>
      </c>
      <c r="B550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50" s="42" t="str">
        <f ca="1">IFERROR(__xludf.DUMMYFUNCTION("""COMPUTED_VALUE"""),"3. Operación")</f>
        <v>3. Operación</v>
      </c>
      <c r="D550" s="42" t="str">
        <f ca="1">IFERROR(__xludf.DUMMYFUNCTION("""COMPUTED_VALUE"""),"Guadalajara en Paz")</f>
        <v>Guadalajara en Paz</v>
      </c>
      <c r="E550" s="42" t="str">
        <f ca="1">IFERROR(__xludf.DUMMYFUNCTION("""COMPUTED_VALUE"""),"Asistencia Alimentaria y Nutrición")</f>
        <v>Asistencia Alimentaria y Nutrición</v>
      </c>
      <c r="F550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550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550" s="42" t="str">
        <f ca="1">IFERROR(__xludf.DUMMYFUNCTION("""COMPUTED_VALUE"""),"MUJ Junio")</f>
        <v>MUJ Junio</v>
      </c>
      <c r="I550" s="42" t="str">
        <f ca="1">IFERROR(__xludf.DUMMYFUNCTION("""COMPUTED_VALUE"""),"Junio")</f>
        <v>Junio</v>
      </c>
      <c r="J550" s="42" t="str">
        <f ca="1">IFERROR(__xludf.DUMMYFUNCTION("""COMPUTED_VALUE"""),"MUJ")</f>
        <v>MUJ</v>
      </c>
      <c r="K550" s="98"/>
      <c r="L550" s="42" t="str">
        <f ca="1">IFERROR(__xludf.DUMMYFUNCTION("""COMPUTED_VALUE"""),"TRIMESTRE 2")</f>
        <v>TRIMESTRE 2</v>
      </c>
      <c r="M550" s="42" t="str">
        <f ca="1">IFERROR(__xludf.DUMMYFUNCTION("""COMPUTED_VALUE"""),"MUJERES ADULTAS")</f>
        <v>MUJERES ADULTAS</v>
      </c>
    </row>
    <row r="551" spans="1:13">
      <c r="A551" s="42" t="str">
        <f ca="1">IFERROR(__xludf.DUMMYFUNCTION("""COMPUTED_VALUE"""),"2.1.1.4")</f>
        <v>2.1.1.4</v>
      </c>
      <c r="B551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51" s="42" t="str">
        <f ca="1">IFERROR(__xludf.DUMMYFUNCTION("""COMPUTED_VALUE"""),"3. Operación")</f>
        <v>3. Operación</v>
      </c>
      <c r="D551" s="42" t="str">
        <f ca="1">IFERROR(__xludf.DUMMYFUNCTION("""COMPUTED_VALUE"""),"Guadalajara en Paz")</f>
        <v>Guadalajara en Paz</v>
      </c>
      <c r="E551" s="42" t="str">
        <f ca="1">IFERROR(__xludf.DUMMYFUNCTION("""COMPUTED_VALUE"""),"Asistencia Alimentaria y Nutrición")</f>
        <v>Asistencia Alimentaria y Nutrición</v>
      </c>
      <c r="F551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551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551" s="42" t="str">
        <f ca="1">IFERROR(__xludf.DUMMYFUNCTION("""COMPUTED_VALUE"""),"HOM Junio")</f>
        <v>HOM Junio</v>
      </c>
      <c r="I551" s="42" t="str">
        <f ca="1">IFERROR(__xludf.DUMMYFUNCTION("""COMPUTED_VALUE"""),"Junio")</f>
        <v>Junio</v>
      </c>
      <c r="J551" s="42" t="str">
        <f ca="1">IFERROR(__xludf.DUMMYFUNCTION("""COMPUTED_VALUE"""),"HOM")</f>
        <v>HOM</v>
      </c>
      <c r="K551" s="98"/>
      <c r="L551" s="42" t="str">
        <f ca="1">IFERROR(__xludf.DUMMYFUNCTION("""COMPUTED_VALUE"""),"TRIMESTRE 2")</f>
        <v>TRIMESTRE 2</v>
      </c>
      <c r="M551" s="42" t="str">
        <f ca="1">IFERROR(__xludf.DUMMYFUNCTION("""COMPUTED_VALUE"""),"HOMBRES ADULTOS")</f>
        <v>HOMBRES ADULTOS</v>
      </c>
    </row>
    <row r="552" spans="1:13">
      <c r="A552" s="42" t="str">
        <f ca="1">IFERROR(__xludf.DUMMYFUNCTION("""COMPUTED_VALUE"""),"2.1.1.4")</f>
        <v>2.1.1.4</v>
      </c>
      <c r="B552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52" s="42" t="str">
        <f ca="1">IFERROR(__xludf.DUMMYFUNCTION("""COMPUTED_VALUE"""),"3. Operación")</f>
        <v>3. Operación</v>
      </c>
      <c r="D552" s="42" t="str">
        <f ca="1">IFERROR(__xludf.DUMMYFUNCTION("""COMPUTED_VALUE"""),"Guadalajara en Paz")</f>
        <v>Guadalajara en Paz</v>
      </c>
      <c r="E552" s="42" t="str">
        <f ca="1">IFERROR(__xludf.DUMMYFUNCTION("""COMPUTED_VALUE"""),"Asistencia Alimentaria y Nutrición")</f>
        <v>Asistencia Alimentaria y Nutrición</v>
      </c>
      <c r="F552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552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552" s="42" t="str">
        <f ca="1">IFERROR(__xludf.DUMMYFUNCTION("""COMPUTED_VALUE"""),"AMM Junio")</f>
        <v>AMM Junio</v>
      </c>
      <c r="I552" s="42" t="str">
        <f ca="1">IFERROR(__xludf.DUMMYFUNCTION("""COMPUTED_VALUE"""),"Junio")</f>
        <v>Junio</v>
      </c>
      <c r="J552" s="42" t="str">
        <f ca="1">IFERROR(__xludf.DUMMYFUNCTION("""COMPUTED_VALUE"""),"AMM")</f>
        <v>AMM</v>
      </c>
      <c r="K552" s="98"/>
      <c r="L552" s="42" t="str">
        <f ca="1">IFERROR(__xludf.DUMMYFUNCTION("""COMPUTED_VALUE"""),"TRIMESTRE 2")</f>
        <v>TRIMESTRE 2</v>
      </c>
      <c r="M552" s="42" t="str">
        <f ca="1">IFERROR(__xludf.DUMMYFUNCTION("""COMPUTED_VALUE"""),"ADULTA MAYOR MUJER")</f>
        <v>ADULTA MAYOR MUJER</v>
      </c>
    </row>
    <row r="553" spans="1:13">
      <c r="A553" s="42" t="str">
        <f ca="1">IFERROR(__xludf.DUMMYFUNCTION("""COMPUTED_VALUE"""),"2.1.1.4")</f>
        <v>2.1.1.4</v>
      </c>
      <c r="B553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53" s="42" t="str">
        <f ca="1">IFERROR(__xludf.DUMMYFUNCTION("""COMPUTED_VALUE"""),"3. Operación")</f>
        <v>3. Operación</v>
      </c>
      <c r="D553" s="42" t="str">
        <f ca="1">IFERROR(__xludf.DUMMYFUNCTION("""COMPUTED_VALUE"""),"Guadalajara en Paz")</f>
        <v>Guadalajara en Paz</v>
      </c>
      <c r="E553" s="42" t="str">
        <f ca="1">IFERROR(__xludf.DUMMYFUNCTION("""COMPUTED_VALUE"""),"Asistencia Alimentaria y Nutrición")</f>
        <v>Asistencia Alimentaria y Nutrición</v>
      </c>
      <c r="F553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553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553" s="42" t="str">
        <f ca="1">IFERROR(__xludf.DUMMYFUNCTION("""COMPUTED_VALUE"""),"AMH Junio")</f>
        <v>AMH Junio</v>
      </c>
      <c r="I553" s="42" t="str">
        <f ca="1">IFERROR(__xludf.DUMMYFUNCTION("""COMPUTED_VALUE"""),"Junio")</f>
        <v>Junio</v>
      </c>
      <c r="J553" s="42" t="str">
        <f ca="1">IFERROR(__xludf.DUMMYFUNCTION("""COMPUTED_VALUE"""),"AMH")</f>
        <v>AMH</v>
      </c>
      <c r="K553" s="98"/>
      <c r="L553" s="42" t="str">
        <f ca="1">IFERROR(__xludf.DUMMYFUNCTION("""COMPUTED_VALUE"""),"TRIMESTRE 2")</f>
        <v>TRIMESTRE 2</v>
      </c>
      <c r="M553" s="42" t="str">
        <f ca="1">IFERROR(__xludf.DUMMYFUNCTION("""COMPUTED_VALUE"""),"ADULTO MAYOR HOMBRE")</f>
        <v>ADULTO MAYOR HOMBRE</v>
      </c>
    </row>
    <row r="554" spans="1:13">
      <c r="A554" s="42" t="str">
        <f ca="1">IFERROR(__xludf.DUMMYFUNCTION("""COMPUTED_VALUE"""),"2.1.1.5")</f>
        <v>2.1.1.5</v>
      </c>
      <c r="B554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54" s="42" t="str">
        <f ca="1">IFERROR(__xludf.DUMMYFUNCTION("""COMPUTED_VALUE"""),"3. Operación")</f>
        <v>3. Operación</v>
      </c>
      <c r="D554" s="42" t="str">
        <f ca="1">IFERROR(__xludf.DUMMYFUNCTION("""COMPUTED_VALUE"""),"Guadalajara en Paz")</f>
        <v>Guadalajara en Paz</v>
      </c>
      <c r="E554" s="42" t="str">
        <f ca="1">IFERROR(__xludf.DUMMYFUNCTION("""COMPUTED_VALUE"""),"Asistencia Alimentaria y Nutrición")</f>
        <v>Asistencia Alimentaria y Nutrición</v>
      </c>
      <c r="F554" s="42" t="str">
        <f ca="1">IFERROR(__xludf.DUMMYFUNCTION("""COMPUTED_VALUE"""),"A5C1. Apoyos del Programa de Alimentación Escolar entregados en 2023")</f>
        <v>A5C1. Apoyos del Programa de Alimentación Escolar entregados en 2023</v>
      </c>
      <c r="G554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554" s="42" t="str">
        <f ca="1">IFERROR(__xludf.DUMMYFUNCTION("""COMPUTED_VALUE"""),"NAS Junio")</f>
        <v>NAS Junio</v>
      </c>
      <c r="I554" s="42" t="str">
        <f ca="1">IFERROR(__xludf.DUMMYFUNCTION("""COMPUTED_VALUE"""),"Junio")</f>
        <v>Junio</v>
      </c>
      <c r="J554" s="42" t="str">
        <f ca="1">IFERROR(__xludf.DUMMYFUNCTION("""COMPUTED_VALUE"""),"NAS")</f>
        <v>NAS</v>
      </c>
      <c r="K554" s="98">
        <f ca="1">IFERROR(__xludf.DUMMYFUNCTION("""COMPUTED_VALUE"""),72176)</f>
        <v>72176</v>
      </c>
      <c r="L554" s="42" t="str">
        <f ca="1">IFERROR(__xludf.DUMMYFUNCTION("""COMPUTED_VALUE"""),"TRIMESTRE 2")</f>
        <v>TRIMESTRE 2</v>
      </c>
      <c r="M554" s="42" t="str">
        <f ca="1">IFERROR(__xludf.DUMMYFUNCTION("""COMPUTED_VALUE"""),"NIÑAS")</f>
        <v>NIÑAS</v>
      </c>
    </row>
    <row r="555" spans="1:13">
      <c r="A555" s="42" t="str">
        <f ca="1">IFERROR(__xludf.DUMMYFUNCTION("""COMPUTED_VALUE"""),"2.1.1.5")</f>
        <v>2.1.1.5</v>
      </c>
      <c r="B555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55" s="42" t="str">
        <f ca="1">IFERROR(__xludf.DUMMYFUNCTION("""COMPUTED_VALUE"""),"3. Operación")</f>
        <v>3. Operación</v>
      </c>
      <c r="D555" s="42" t="str">
        <f ca="1">IFERROR(__xludf.DUMMYFUNCTION("""COMPUTED_VALUE"""),"Guadalajara en Paz")</f>
        <v>Guadalajara en Paz</v>
      </c>
      <c r="E555" s="42" t="str">
        <f ca="1">IFERROR(__xludf.DUMMYFUNCTION("""COMPUTED_VALUE"""),"Asistencia Alimentaria y Nutrición")</f>
        <v>Asistencia Alimentaria y Nutrición</v>
      </c>
      <c r="F555" s="42" t="str">
        <f ca="1">IFERROR(__xludf.DUMMYFUNCTION("""COMPUTED_VALUE"""),"A5C1. Apoyos del Programa de Alimentación Escolar entregados en 2023")</f>
        <v>A5C1. Apoyos del Programa de Alimentación Escolar entregados en 2023</v>
      </c>
      <c r="G555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555" s="42" t="str">
        <f ca="1">IFERROR(__xludf.DUMMYFUNCTION("""COMPUTED_VALUE"""),"NOS Junio")</f>
        <v>NOS Junio</v>
      </c>
      <c r="I555" s="42" t="str">
        <f ca="1">IFERROR(__xludf.DUMMYFUNCTION("""COMPUTED_VALUE"""),"Junio")</f>
        <v>Junio</v>
      </c>
      <c r="J555" s="42" t="str">
        <f ca="1">IFERROR(__xludf.DUMMYFUNCTION("""COMPUTED_VALUE"""),"NOS")</f>
        <v>NOS</v>
      </c>
      <c r="K555" s="98">
        <f ca="1">IFERROR(__xludf.DUMMYFUNCTION("""COMPUTED_VALUE"""),74594)</f>
        <v>74594</v>
      </c>
      <c r="L555" s="42" t="str">
        <f ca="1">IFERROR(__xludf.DUMMYFUNCTION("""COMPUTED_VALUE"""),"TRIMESTRE 2")</f>
        <v>TRIMESTRE 2</v>
      </c>
      <c r="M555" s="42" t="str">
        <f ca="1">IFERROR(__xludf.DUMMYFUNCTION("""COMPUTED_VALUE"""),"NIÑOS")</f>
        <v>NIÑOS</v>
      </c>
    </row>
    <row r="556" spans="1:13">
      <c r="A556" s="42" t="str">
        <f ca="1">IFERROR(__xludf.DUMMYFUNCTION("""COMPUTED_VALUE"""),"2.1.1.5")</f>
        <v>2.1.1.5</v>
      </c>
      <c r="B556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56" s="42" t="str">
        <f ca="1">IFERROR(__xludf.DUMMYFUNCTION("""COMPUTED_VALUE"""),"3. Operación")</f>
        <v>3. Operación</v>
      </c>
      <c r="D556" s="42" t="str">
        <f ca="1">IFERROR(__xludf.DUMMYFUNCTION("""COMPUTED_VALUE"""),"Guadalajara en Paz")</f>
        <v>Guadalajara en Paz</v>
      </c>
      <c r="E556" s="42" t="str">
        <f ca="1">IFERROR(__xludf.DUMMYFUNCTION("""COMPUTED_VALUE"""),"Asistencia Alimentaria y Nutrición")</f>
        <v>Asistencia Alimentaria y Nutrición</v>
      </c>
      <c r="F556" s="42" t="str">
        <f ca="1">IFERROR(__xludf.DUMMYFUNCTION("""COMPUTED_VALUE"""),"A5C1. Apoyos del Programa de Alimentación Escolar entregados en 2023")</f>
        <v>A5C1. Apoyos del Programa de Alimentación Escolar entregados en 2023</v>
      </c>
      <c r="G556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556" s="42" t="str">
        <f ca="1">IFERROR(__xludf.DUMMYFUNCTION("""COMPUTED_VALUE"""),"AM JUNIO")</f>
        <v>AM JUNIO</v>
      </c>
      <c r="I556" s="42" t="str">
        <f ca="1">IFERROR(__xludf.DUMMYFUNCTION("""COMPUTED_VALUE"""),"Junio")</f>
        <v>Junio</v>
      </c>
      <c r="J556" s="42" t="str">
        <f ca="1">IFERROR(__xludf.DUMMYFUNCTION("""COMPUTED_VALUE"""),"AM")</f>
        <v>AM</v>
      </c>
      <c r="K556" s="98">
        <f ca="1">IFERROR(__xludf.DUMMYFUNCTION("""COMPUTED_VALUE"""),8190)</f>
        <v>8190</v>
      </c>
      <c r="L556" s="42" t="str">
        <f ca="1">IFERROR(__xludf.DUMMYFUNCTION("""COMPUTED_VALUE"""),"TRIMESTRE 2")</f>
        <v>TRIMESTRE 2</v>
      </c>
      <c r="M556" s="42" t="str">
        <f ca="1">IFERROR(__xludf.DUMMYFUNCTION("""COMPUTED_VALUE"""),"ADOLESCENTES MUJERES")</f>
        <v>ADOLESCENTES MUJERES</v>
      </c>
    </row>
    <row r="557" spans="1:13">
      <c r="A557" s="42" t="str">
        <f ca="1">IFERROR(__xludf.DUMMYFUNCTION("""COMPUTED_VALUE"""),"2.1.1.5")</f>
        <v>2.1.1.5</v>
      </c>
      <c r="B557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57" s="42" t="str">
        <f ca="1">IFERROR(__xludf.DUMMYFUNCTION("""COMPUTED_VALUE"""),"3. Operación")</f>
        <v>3. Operación</v>
      </c>
      <c r="D557" s="42" t="str">
        <f ca="1">IFERROR(__xludf.DUMMYFUNCTION("""COMPUTED_VALUE"""),"Guadalajara en Paz")</f>
        <v>Guadalajara en Paz</v>
      </c>
      <c r="E557" s="42" t="str">
        <f ca="1">IFERROR(__xludf.DUMMYFUNCTION("""COMPUTED_VALUE"""),"Asistencia Alimentaria y Nutrición")</f>
        <v>Asistencia Alimentaria y Nutrición</v>
      </c>
      <c r="F557" s="42" t="str">
        <f ca="1">IFERROR(__xludf.DUMMYFUNCTION("""COMPUTED_VALUE"""),"A5C1. Apoyos del Programa de Alimentación Escolar entregados en 2023")</f>
        <v>A5C1. Apoyos del Programa de Alimentación Escolar entregados en 2023</v>
      </c>
      <c r="G557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557" s="42" t="str">
        <f ca="1">IFERROR(__xludf.DUMMYFUNCTION("""COMPUTED_VALUE"""),"AH JUNIO")</f>
        <v>AH JUNIO</v>
      </c>
      <c r="I557" s="42" t="str">
        <f ca="1">IFERROR(__xludf.DUMMYFUNCTION("""COMPUTED_VALUE"""),"Junio")</f>
        <v>Junio</v>
      </c>
      <c r="J557" s="42" t="str">
        <f ca="1">IFERROR(__xludf.DUMMYFUNCTION("""COMPUTED_VALUE"""),"AH")</f>
        <v>AH</v>
      </c>
      <c r="K557" s="98">
        <f ca="1">IFERROR(__xludf.DUMMYFUNCTION("""COMPUTED_VALUE"""),7930)</f>
        <v>7930</v>
      </c>
      <c r="L557" s="42" t="str">
        <f ca="1">IFERROR(__xludf.DUMMYFUNCTION("""COMPUTED_VALUE"""),"TRIMESTRE 2")</f>
        <v>TRIMESTRE 2</v>
      </c>
      <c r="M557" s="42" t="str">
        <f ca="1">IFERROR(__xludf.DUMMYFUNCTION("""COMPUTED_VALUE"""),"ADOLESCENTES HOMBRES")</f>
        <v>ADOLESCENTES HOMBRES</v>
      </c>
    </row>
    <row r="558" spans="1:13">
      <c r="A558" s="42" t="str">
        <f ca="1">IFERROR(__xludf.DUMMYFUNCTION("""COMPUTED_VALUE"""),"2.1.1.5")</f>
        <v>2.1.1.5</v>
      </c>
      <c r="B558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58" s="42" t="str">
        <f ca="1">IFERROR(__xludf.DUMMYFUNCTION("""COMPUTED_VALUE"""),"3. Operación")</f>
        <v>3. Operación</v>
      </c>
      <c r="D558" s="42" t="str">
        <f ca="1">IFERROR(__xludf.DUMMYFUNCTION("""COMPUTED_VALUE"""),"Guadalajara en Paz")</f>
        <v>Guadalajara en Paz</v>
      </c>
      <c r="E558" s="42" t="str">
        <f ca="1">IFERROR(__xludf.DUMMYFUNCTION("""COMPUTED_VALUE"""),"Asistencia Alimentaria y Nutrición")</f>
        <v>Asistencia Alimentaria y Nutrición</v>
      </c>
      <c r="F558" s="42" t="str">
        <f ca="1">IFERROR(__xludf.DUMMYFUNCTION("""COMPUTED_VALUE"""),"A5C1. Apoyos del Programa de Alimentación Escolar entregados en 2023")</f>
        <v>A5C1. Apoyos del Programa de Alimentación Escolar entregados en 2023</v>
      </c>
      <c r="G558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558" s="42" t="str">
        <f ca="1">IFERROR(__xludf.DUMMYFUNCTION("""COMPUTED_VALUE"""),"MUJ Junio")</f>
        <v>MUJ Junio</v>
      </c>
      <c r="I558" s="42" t="str">
        <f ca="1">IFERROR(__xludf.DUMMYFUNCTION("""COMPUTED_VALUE"""),"Junio")</f>
        <v>Junio</v>
      </c>
      <c r="J558" s="42" t="str">
        <f ca="1">IFERROR(__xludf.DUMMYFUNCTION("""COMPUTED_VALUE"""),"MUJ")</f>
        <v>MUJ</v>
      </c>
      <c r="K558" s="98">
        <f ca="1">IFERROR(__xludf.DUMMYFUNCTION("""COMPUTED_VALUE"""),0)</f>
        <v>0</v>
      </c>
      <c r="L558" s="42" t="str">
        <f ca="1">IFERROR(__xludf.DUMMYFUNCTION("""COMPUTED_VALUE"""),"TRIMESTRE 2")</f>
        <v>TRIMESTRE 2</v>
      </c>
      <c r="M558" s="42" t="str">
        <f ca="1">IFERROR(__xludf.DUMMYFUNCTION("""COMPUTED_VALUE"""),"MUJERES ADULTAS")</f>
        <v>MUJERES ADULTAS</v>
      </c>
    </row>
    <row r="559" spans="1:13">
      <c r="A559" s="42" t="str">
        <f ca="1">IFERROR(__xludf.DUMMYFUNCTION("""COMPUTED_VALUE"""),"2.1.1.5")</f>
        <v>2.1.1.5</v>
      </c>
      <c r="B559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59" s="42" t="str">
        <f ca="1">IFERROR(__xludf.DUMMYFUNCTION("""COMPUTED_VALUE"""),"3. Operación")</f>
        <v>3. Operación</v>
      </c>
      <c r="D559" s="42" t="str">
        <f ca="1">IFERROR(__xludf.DUMMYFUNCTION("""COMPUTED_VALUE"""),"Guadalajara en Paz")</f>
        <v>Guadalajara en Paz</v>
      </c>
      <c r="E559" s="42" t="str">
        <f ca="1">IFERROR(__xludf.DUMMYFUNCTION("""COMPUTED_VALUE"""),"Asistencia Alimentaria y Nutrición")</f>
        <v>Asistencia Alimentaria y Nutrición</v>
      </c>
      <c r="F559" s="42" t="str">
        <f ca="1">IFERROR(__xludf.DUMMYFUNCTION("""COMPUTED_VALUE"""),"A5C1. Apoyos del Programa de Alimentación Escolar entregados en 2023")</f>
        <v>A5C1. Apoyos del Programa de Alimentación Escolar entregados en 2023</v>
      </c>
      <c r="G559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559" s="42" t="str">
        <f ca="1">IFERROR(__xludf.DUMMYFUNCTION("""COMPUTED_VALUE"""),"HOM Junio")</f>
        <v>HOM Junio</v>
      </c>
      <c r="I559" s="42" t="str">
        <f ca="1">IFERROR(__xludf.DUMMYFUNCTION("""COMPUTED_VALUE"""),"Junio")</f>
        <v>Junio</v>
      </c>
      <c r="J559" s="42" t="str">
        <f ca="1">IFERROR(__xludf.DUMMYFUNCTION("""COMPUTED_VALUE"""),"HOM")</f>
        <v>HOM</v>
      </c>
      <c r="K559" s="98">
        <f ca="1">IFERROR(__xludf.DUMMYFUNCTION("""COMPUTED_VALUE"""),0)</f>
        <v>0</v>
      </c>
      <c r="L559" s="42" t="str">
        <f ca="1">IFERROR(__xludf.DUMMYFUNCTION("""COMPUTED_VALUE"""),"TRIMESTRE 2")</f>
        <v>TRIMESTRE 2</v>
      </c>
      <c r="M559" s="42" t="str">
        <f ca="1">IFERROR(__xludf.DUMMYFUNCTION("""COMPUTED_VALUE"""),"HOMBRES ADULTOS")</f>
        <v>HOMBRES ADULTOS</v>
      </c>
    </row>
    <row r="560" spans="1:13">
      <c r="A560" s="42" t="str">
        <f ca="1">IFERROR(__xludf.DUMMYFUNCTION("""COMPUTED_VALUE"""),"2.1.1.5")</f>
        <v>2.1.1.5</v>
      </c>
      <c r="B560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60" s="42" t="str">
        <f ca="1">IFERROR(__xludf.DUMMYFUNCTION("""COMPUTED_VALUE"""),"3. Operación")</f>
        <v>3. Operación</v>
      </c>
      <c r="D560" s="42" t="str">
        <f ca="1">IFERROR(__xludf.DUMMYFUNCTION("""COMPUTED_VALUE"""),"Guadalajara en Paz")</f>
        <v>Guadalajara en Paz</v>
      </c>
      <c r="E560" s="42" t="str">
        <f ca="1">IFERROR(__xludf.DUMMYFUNCTION("""COMPUTED_VALUE"""),"Asistencia Alimentaria y Nutrición")</f>
        <v>Asistencia Alimentaria y Nutrición</v>
      </c>
      <c r="F560" s="42" t="str">
        <f ca="1">IFERROR(__xludf.DUMMYFUNCTION("""COMPUTED_VALUE"""),"A5C1. Apoyos del Programa de Alimentación Escolar entregados en 2023")</f>
        <v>A5C1. Apoyos del Programa de Alimentación Escolar entregados en 2023</v>
      </c>
      <c r="G560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560" s="42" t="str">
        <f ca="1">IFERROR(__xludf.DUMMYFUNCTION("""COMPUTED_VALUE"""),"AMM Junio")</f>
        <v>AMM Junio</v>
      </c>
      <c r="I560" s="42" t="str">
        <f ca="1">IFERROR(__xludf.DUMMYFUNCTION("""COMPUTED_VALUE"""),"Junio")</f>
        <v>Junio</v>
      </c>
      <c r="J560" s="42" t="str">
        <f ca="1">IFERROR(__xludf.DUMMYFUNCTION("""COMPUTED_VALUE"""),"AMM")</f>
        <v>AMM</v>
      </c>
      <c r="K560" s="98">
        <f ca="1">IFERROR(__xludf.DUMMYFUNCTION("""COMPUTED_VALUE"""),0)</f>
        <v>0</v>
      </c>
      <c r="L560" s="42" t="str">
        <f ca="1">IFERROR(__xludf.DUMMYFUNCTION("""COMPUTED_VALUE"""),"TRIMESTRE 2")</f>
        <v>TRIMESTRE 2</v>
      </c>
      <c r="M560" s="42" t="str">
        <f ca="1">IFERROR(__xludf.DUMMYFUNCTION("""COMPUTED_VALUE"""),"ADULTA MAYOR MUJER")</f>
        <v>ADULTA MAYOR MUJER</v>
      </c>
    </row>
    <row r="561" spans="1:13">
      <c r="A561" s="42" t="str">
        <f ca="1">IFERROR(__xludf.DUMMYFUNCTION("""COMPUTED_VALUE"""),"2.1.1.5")</f>
        <v>2.1.1.5</v>
      </c>
      <c r="B561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61" s="42" t="str">
        <f ca="1">IFERROR(__xludf.DUMMYFUNCTION("""COMPUTED_VALUE"""),"3. Operación")</f>
        <v>3. Operación</v>
      </c>
      <c r="D561" s="42" t="str">
        <f ca="1">IFERROR(__xludf.DUMMYFUNCTION("""COMPUTED_VALUE"""),"Guadalajara en Paz")</f>
        <v>Guadalajara en Paz</v>
      </c>
      <c r="E561" s="42" t="str">
        <f ca="1">IFERROR(__xludf.DUMMYFUNCTION("""COMPUTED_VALUE"""),"Asistencia Alimentaria y Nutrición")</f>
        <v>Asistencia Alimentaria y Nutrición</v>
      </c>
      <c r="F561" s="42" t="str">
        <f ca="1">IFERROR(__xludf.DUMMYFUNCTION("""COMPUTED_VALUE"""),"A5C1. Apoyos del Programa de Alimentación Escolar entregados en 2023")</f>
        <v>A5C1. Apoyos del Programa de Alimentación Escolar entregados en 2023</v>
      </c>
      <c r="G561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561" s="42" t="str">
        <f ca="1">IFERROR(__xludf.DUMMYFUNCTION("""COMPUTED_VALUE"""),"AMH Junio")</f>
        <v>AMH Junio</v>
      </c>
      <c r="I561" s="42" t="str">
        <f ca="1">IFERROR(__xludf.DUMMYFUNCTION("""COMPUTED_VALUE"""),"Junio")</f>
        <v>Junio</v>
      </c>
      <c r="J561" s="42" t="str">
        <f ca="1">IFERROR(__xludf.DUMMYFUNCTION("""COMPUTED_VALUE"""),"AMH")</f>
        <v>AMH</v>
      </c>
      <c r="K561" s="98">
        <f ca="1">IFERROR(__xludf.DUMMYFUNCTION("""COMPUTED_VALUE"""),0)</f>
        <v>0</v>
      </c>
      <c r="L561" s="42" t="str">
        <f ca="1">IFERROR(__xludf.DUMMYFUNCTION("""COMPUTED_VALUE"""),"TRIMESTRE 2")</f>
        <v>TRIMESTRE 2</v>
      </c>
      <c r="M561" s="42" t="str">
        <f ca="1">IFERROR(__xludf.DUMMYFUNCTION("""COMPUTED_VALUE"""),"ADULTO MAYOR HOMBRE")</f>
        <v>ADULTO MAYOR HOMBRE</v>
      </c>
    </row>
    <row r="562" spans="1:13">
      <c r="A562" s="42" t="str">
        <f ca="1">IFERROR(__xludf.DUMMYFUNCTION("""COMPUTED_VALUE"""),"2.1.1.6")</f>
        <v>2.1.1.6</v>
      </c>
      <c r="B562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62" s="42" t="str">
        <f ca="1">IFERROR(__xludf.DUMMYFUNCTION("""COMPUTED_VALUE"""),"3. Operación")</f>
        <v>3. Operación</v>
      </c>
      <c r="D562" s="42" t="str">
        <f ca="1">IFERROR(__xludf.DUMMYFUNCTION("""COMPUTED_VALUE"""),"Guadalajara en Paz")</f>
        <v>Guadalajara en Paz</v>
      </c>
      <c r="E562" s="42" t="str">
        <f ca="1">IFERROR(__xludf.DUMMYFUNCTION("""COMPUTED_VALUE"""),"Asistencia Alimentaria y Nutrición")</f>
        <v>Asistencia Alimentaria y Nutrición</v>
      </c>
      <c r="F562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562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562" s="42" t="str">
        <f ca="1">IFERROR(__xludf.DUMMYFUNCTION("""COMPUTED_VALUE"""),"NAS Junio")</f>
        <v>NAS Junio</v>
      </c>
      <c r="I562" s="42" t="str">
        <f ca="1">IFERROR(__xludf.DUMMYFUNCTION("""COMPUTED_VALUE"""),"Junio")</f>
        <v>Junio</v>
      </c>
      <c r="J562" s="42" t="str">
        <f ca="1">IFERROR(__xludf.DUMMYFUNCTION("""COMPUTED_VALUE"""),"NAS")</f>
        <v>NAS</v>
      </c>
      <c r="K562" s="98">
        <f ca="1">IFERROR(__xludf.DUMMYFUNCTION("""COMPUTED_VALUE"""),133)</f>
        <v>133</v>
      </c>
      <c r="L562" s="42" t="str">
        <f ca="1">IFERROR(__xludf.DUMMYFUNCTION("""COMPUTED_VALUE"""),"TRIMESTRE 2")</f>
        <v>TRIMESTRE 2</v>
      </c>
      <c r="M562" s="42" t="str">
        <f ca="1">IFERROR(__xludf.DUMMYFUNCTION("""COMPUTED_VALUE"""),"NIÑAS")</f>
        <v>NIÑAS</v>
      </c>
    </row>
    <row r="563" spans="1:13">
      <c r="A563" s="42" t="str">
        <f ca="1">IFERROR(__xludf.DUMMYFUNCTION("""COMPUTED_VALUE"""),"2.1.1.6")</f>
        <v>2.1.1.6</v>
      </c>
      <c r="B563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63" s="42" t="str">
        <f ca="1">IFERROR(__xludf.DUMMYFUNCTION("""COMPUTED_VALUE"""),"3. Operación")</f>
        <v>3. Operación</v>
      </c>
      <c r="D563" s="42" t="str">
        <f ca="1">IFERROR(__xludf.DUMMYFUNCTION("""COMPUTED_VALUE"""),"Guadalajara en Paz")</f>
        <v>Guadalajara en Paz</v>
      </c>
      <c r="E563" s="42" t="str">
        <f ca="1">IFERROR(__xludf.DUMMYFUNCTION("""COMPUTED_VALUE"""),"Asistencia Alimentaria y Nutrición")</f>
        <v>Asistencia Alimentaria y Nutrición</v>
      </c>
      <c r="F563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563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563" s="42" t="str">
        <f ca="1">IFERROR(__xludf.DUMMYFUNCTION("""COMPUTED_VALUE"""),"NOS Junio")</f>
        <v>NOS Junio</v>
      </c>
      <c r="I563" s="42" t="str">
        <f ca="1">IFERROR(__xludf.DUMMYFUNCTION("""COMPUTED_VALUE"""),"Junio")</f>
        <v>Junio</v>
      </c>
      <c r="J563" s="42" t="str">
        <f ca="1">IFERROR(__xludf.DUMMYFUNCTION("""COMPUTED_VALUE"""),"NOS")</f>
        <v>NOS</v>
      </c>
      <c r="K563" s="98">
        <f ca="1">IFERROR(__xludf.DUMMYFUNCTION("""COMPUTED_VALUE"""),155)</f>
        <v>155</v>
      </c>
      <c r="L563" s="42" t="str">
        <f ca="1">IFERROR(__xludf.DUMMYFUNCTION("""COMPUTED_VALUE"""),"TRIMESTRE 2")</f>
        <v>TRIMESTRE 2</v>
      </c>
      <c r="M563" s="42" t="str">
        <f ca="1">IFERROR(__xludf.DUMMYFUNCTION("""COMPUTED_VALUE"""),"NIÑOS")</f>
        <v>NIÑOS</v>
      </c>
    </row>
    <row r="564" spans="1:13">
      <c r="A564" s="42" t="str">
        <f ca="1">IFERROR(__xludf.DUMMYFUNCTION("""COMPUTED_VALUE"""),"2.1.1.6")</f>
        <v>2.1.1.6</v>
      </c>
      <c r="B564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64" s="42" t="str">
        <f ca="1">IFERROR(__xludf.DUMMYFUNCTION("""COMPUTED_VALUE"""),"3. Operación")</f>
        <v>3. Operación</v>
      </c>
      <c r="D564" s="42" t="str">
        <f ca="1">IFERROR(__xludf.DUMMYFUNCTION("""COMPUTED_VALUE"""),"Guadalajara en Paz")</f>
        <v>Guadalajara en Paz</v>
      </c>
      <c r="E564" s="42" t="str">
        <f ca="1">IFERROR(__xludf.DUMMYFUNCTION("""COMPUTED_VALUE"""),"Asistencia Alimentaria y Nutrición")</f>
        <v>Asistencia Alimentaria y Nutrición</v>
      </c>
      <c r="F564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564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564" s="42" t="str">
        <f ca="1">IFERROR(__xludf.DUMMYFUNCTION("""COMPUTED_VALUE"""),"AM JUNIO")</f>
        <v>AM JUNIO</v>
      </c>
      <c r="I564" s="42" t="str">
        <f ca="1">IFERROR(__xludf.DUMMYFUNCTION("""COMPUTED_VALUE"""),"Junio")</f>
        <v>Junio</v>
      </c>
      <c r="J564" s="42" t="str">
        <f ca="1">IFERROR(__xludf.DUMMYFUNCTION("""COMPUTED_VALUE"""),"AM")</f>
        <v>AM</v>
      </c>
      <c r="K564" s="98">
        <f ca="1">IFERROR(__xludf.DUMMYFUNCTION("""COMPUTED_VALUE"""),7)</f>
        <v>7</v>
      </c>
      <c r="L564" s="42" t="str">
        <f ca="1">IFERROR(__xludf.DUMMYFUNCTION("""COMPUTED_VALUE"""),"TRIMESTRE 2")</f>
        <v>TRIMESTRE 2</v>
      </c>
      <c r="M564" s="42" t="str">
        <f ca="1">IFERROR(__xludf.DUMMYFUNCTION("""COMPUTED_VALUE"""),"ADOLESCENTES MUJERES")</f>
        <v>ADOLESCENTES MUJERES</v>
      </c>
    </row>
    <row r="565" spans="1:13">
      <c r="A565" s="42" t="str">
        <f ca="1">IFERROR(__xludf.DUMMYFUNCTION("""COMPUTED_VALUE"""),"2.1.1.6")</f>
        <v>2.1.1.6</v>
      </c>
      <c r="B565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65" s="42" t="str">
        <f ca="1">IFERROR(__xludf.DUMMYFUNCTION("""COMPUTED_VALUE"""),"3. Operación")</f>
        <v>3. Operación</v>
      </c>
      <c r="D565" s="42" t="str">
        <f ca="1">IFERROR(__xludf.DUMMYFUNCTION("""COMPUTED_VALUE"""),"Guadalajara en Paz")</f>
        <v>Guadalajara en Paz</v>
      </c>
      <c r="E565" s="42" t="str">
        <f ca="1">IFERROR(__xludf.DUMMYFUNCTION("""COMPUTED_VALUE"""),"Asistencia Alimentaria y Nutrición")</f>
        <v>Asistencia Alimentaria y Nutrición</v>
      </c>
      <c r="F565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565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565" s="42" t="str">
        <f ca="1">IFERROR(__xludf.DUMMYFUNCTION("""COMPUTED_VALUE"""),"AH JUNIO")</f>
        <v>AH JUNIO</v>
      </c>
      <c r="I565" s="42" t="str">
        <f ca="1">IFERROR(__xludf.DUMMYFUNCTION("""COMPUTED_VALUE"""),"Junio")</f>
        <v>Junio</v>
      </c>
      <c r="J565" s="42" t="str">
        <f ca="1">IFERROR(__xludf.DUMMYFUNCTION("""COMPUTED_VALUE"""),"AH")</f>
        <v>AH</v>
      </c>
      <c r="K565" s="98">
        <f ca="1">IFERROR(__xludf.DUMMYFUNCTION("""COMPUTED_VALUE"""),11)</f>
        <v>11</v>
      </c>
      <c r="L565" s="42" t="str">
        <f ca="1">IFERROR(__xludf.DUMMYFUNCTION("""COMPUTED_VALUE"""),"TRIMESTRE 2")</f>
        <v>TRIMESTRE 2</v>
      </c>
      <c r="M565" s="42" t="str">
        <f ca="1">IFERROR(__xludf.DUMMYFUNCTION("""COMPUTED_VALUE"""),"ADOLESCENTES HOMBRES")</f>
        <v>ADOLESCENTES HOMBRES</v>
      </c>
    </row>
    <row r="566" spans="1:13">
      <c r="A566" s="42" t="str">
        <f ca="1">IFERROR(__xludf.DUMMYFUNCTION("""COMPUTED_VALUE"""),"2.1.1.6")</f>
        <v>2.1.1.6</v>
      </c>
      <c r="B566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66" s="42" t="str">
        <f ca="1">IFERROR(__xludf.DUMMYFUNCTION("""COMPUTED_VALUE"""),"3. Operación")</f>
        <v>3. Operación</v>
      </c>
      <c r="D566" s="42" t="str">
        <f ca="1">IFERROR(__xludf.DUMMYFUNCTION("""COMPUTED_VALUE"""),"Guadalajara en Paz")</f>
        <v>Guadalajara en Paz</v>
      </c>
      <c r="E566" s="42" t="str">
        <f ca="1">IFERROR(__xludf.DUMMYFUNCTION("""COMPUTED_VALUE"""),"Asistencia Alimentaria y Nutrición")</f>
        <v>Asistencia Alimentaria y Nutrición</v>
      </c>
      <c r="F566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566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566" s="42" t="str">
        <f ca="1">IFERROR(__xludf.DUMMYFUNCTION("""COMPUTED_VALUE"""),"MUJ Junio")</f>
        <v>MUJ Junio</v>
      </c>
      <c r="I566" s="42" t="str">
        <f ca="1">IFERROR(__xludf.DUMMYFUNCTION("""COMPUTED_VALUE"""),"Junio")</f>
        <v>Junio</v>
      </c>
      <c r="J566" s="42" t="str">
        <f ca="1">IFERROR(__xludf.DUMMYFUNCTION("""COMPUTED_VALUE"""),"MUJ")</f>
        <v>MUJ</v>
      </c>
      <c r="K566" s="98">
        <f ca="1">IFERROR(__xludf.DUMMYFUNCTION("""COMPUTED_VALUE"""),238)</f>
        <v>238</v>
      </c>
      <c r="L566" s="42" t="str">
        <f ca="1">IFERROR(__xludf.DUMMYFUNCTION("""COMPUTED_VALUE"""),"TRIMESTRE 2")</f>
        <v>TRIMESTRE 2</v>
      </c>
      <c r="M566" s="42" t="str">
        <f ca="1">IFERROR(__xludf.DUMMYFUNCTION("""COMPUTED_VALUE"""),"MUJERES ADULTAS")</f>
        <v>MUJERES ADULTAS</v>
      </c>
    </row>
    <row r="567" spans="1:13">
      <c r="A567" s="42" t="str">
        <f ca="1">IFERROR(__xludf.DUMMYFUNCTION("""COMPUTED_VALUE"""),"2.1.1.6")</f>
        <v>2.1.1.6</v>
      </c>
      <c r="B567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67" s="42" t="str">
        <f ca="1">IFERROR(__xludf.DUMMYFUNCTION("""COMPUTED_VALUE"""),"3. Operación")</f>
        <v>3. Operación</v>
      </c>
      <c r="D567" s="42" t="str">
        <f ca="1">IFERROR(__xludf.DUMMYFUNCTION("""COMPUTED_VALUE"""),"Guadalajara en Paz")</f>
        <v>Guadalajara en Paz</v>
      </c>
      <c r="E567" s="42" t="str">
        <f ca="1">IFERROR(__xludf.DUMMYFUNCTION("""COMPUTED_VALUE"""),"Asistencia Alimentaria y Nutrición")</f>
        <v>Asistencia Alimentaria y Nutrición</v>
      </c>
      <c r="F567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567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567" s="42" t="str">
        <f ca="1">IFERROR(__xludf.DUMMYFUNCTION("""COMPUTED_VALUE"""),"HOM Junio")</f>
        <v>HOM Junio</v>
      </c>
      <c r="I567" s="42" t="str">
        <f ca="1">IFERROR(__xludf.DUMMYFUNCTION("""COMPUTED_VALUE"""),"Junio")</f>
        <v>Junio</v>
      </c>
      <c r="J567" s="42" t="str">
        <f ca="1">IFERROR(__xludf.DUMMYFUNCTION("""COMPUTED_VALUE"""),"HOM")</f>
        <v>HOM</v>
      </c>
      <c r="K567" s="98">
        <f ca="1">IFERROR(__xludf.DUMMYFUNCTION("""COMPUTED_VALUE"""),91)</f>
        <v>91</v>
      </c>
      <c r="L567" s="42" t="str">
        <f ca="1">IFERROR(__xludf.DUMMYFUNCTION("""COMPUTED_VALUE"""),"TRIMESTRE 2")</f>
        <v>TRIMESTRE 2</v>
      </c>
      <c r="M567" s="42" t="str">
        <f ca="1">IFERROR(__xludf.DUMMYFUNCTION("""COMPUTED_VALUE"""),"HOMBRES ADULTOS")</f>
        <v>HOMBRES ADULTOS</v>
      </c>
    </row>
    <row r="568" spans="1:13">
      <c r="A568" s="42" t="str">
        <f ca="1">IFERROR(__xludf.DUMMYFUNCTION("""COMPUTED_VALUE"""),"2.1.1.6")</f>
        <v>2.1.1.6</v>
      </c>
      <c r="B568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68" s="42" t="str">
        <f ca="1">IFERROR(__xludf.DUMMYFUNCTION("""COMPUTED_VALUE"""),"3. Operación")</f>
        <v>3. Operación</v>
      </c>
      <c r="D568" s="42" t="str">
        <f ca="1">IFERROR(__xludf.DUMMYFUNCTION("""COMPUTED_VALUE"""),"Guadalajara en Paz")</f>
        <v>Guadalajara en Paz</v>
      </c>
      <c r="E568" s="42" t="str">
        <f ca="1">IFERROR(__xludf.DUMMYFUNCTION("""COMPUTED_VALUE"""),"Asistencia Alimentaria y Nutrición")</f>
        <v>Asistencia Alimentaria y Nutrición</v>
      </c>
      <c r="F568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568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568" s="42" t="str">
        <f ca="1">IFERROR(__xludf.DUMMYFUNCTION("""COMPUTED_VALUE"""),"AMM Junio")</f>
        <v>AMM Junio</v>
      </c>
      <c r="I568" s="42" t="str">
        <f ca="1">IFERROR(__xludf.DUMMYFUNCTION("""COMPUTED_VALUE"""),"Junio")</f>
        <v>Junio</v>
      </c>
      <c r="J568" s="42" t="str">
        <f ca="1">IFERROR(__xludf.DUMMYFUNCTION("""COMPUTED_VALUE"""),"AMM")</f>
        <v>AMM</v>
      </c>
      <c r="K568" s="98">
        <f ca="1">IFERROR(__xludf.DUMMYFUNCTION("""COMPUTED_VALUE"""),1238)</f>
        <v>1238</v>
      </c>
      <c r="L568" s="42" t="str">
        <f ca="1">IFERROR(__xludf.DUMMYFUNCTION("""COMPUTED_VALUE"""),"TRIMESTRE 2")</f>
        <v>TRIMESTRE 2</v>
      </c>
      <c r="M568" s="42" t="str">
        <f ca="1">IFERROR(__xludf.DUMMYFUNCTION("""COMPUTED_VALUE"""),"ADULTA MAYOR MUJER")</f>
        <v>ADULTA MAYOR MUJER</v>
      </c>
    </row>
    <row r="569" spans="1:13">
      <c r="A569" s="42" t="str">
        <f ca="1">IFERROR(__xludf.DUMMYFUNCTION("""COMPUTED_VALUE"""),"2.1.1.6")</f>
        <v>2.1.1.6</v>
      </c>
      <c r="B569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69" s="42" t="str">
        <f ca="1">IFERROR(__xludf.DUMMYFUNCTION("""COMPUTED_VALUE"""),"3. Operación")</f>
        <v>3. Operación</v>
      </c>
      <c r="D569" s="42" t="str">
        <f ca="1">IFERROR(__xludf.DUMMYFUNCTION("""COMPUTED_VALUE"""),"Guadalajara en Paz")</f>
        <v>Guadalajara en Paz</v>
      </c>
      <c r="E569" s="42" t="str">
        <f ca="1">IFERROR(__xludf.DUMMYFUNCTION("""COMPUTED_VALUE"""),"Asistencia Alimentaria y Nutrición")</f>
        <v>Asistencia Alimentaria y Nutrición</v>
      </c>
      <c r="F569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569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569" s="42" t="str">
        <f ca="1">IFERROR(__xludf.DUMMYFUNCTION("""COMPUTED_VALUE"""),"AMH Junio")</f>
        <v>AMH Junio</v>
      </c>
      <c r="I569" s="42" t="str">
        <f ca="1">IFERROR(__xludf.DUMMYFUNCTION("""COMPUTED_VALUE"""),"Junio")</f>
        <v>Junio</v>
      </c>
      <c r="J569" s="42" t="str">
        <f ca="1">IFERROR(__xludf.DUMMYFUNCTION("""COMPUTED_VALUE"""),"AMH")</f>
        <v>AMH</v>
      </c>
      <c r="K569" s="98">
        <f ca="1">IFERROR(__xludf.DUMMYFUNCTION("""COMPUTED_VALUE"""),318)</f>
        <v>318</v>
      </c>
      <c r="L569" s="42" t="str">
        <f ca="1">IFERROR(__xludf.DUMMYFUNCTION("""COMPUTED_VALUE"""),"TRIMESTRE 2")</f>
        <v>TRIMESTRE 2</v>
      </c>
      <c r="M569" s="42" t="str">
        <f ca="1">IFERROR(__xludf.DUMMYFUNCTION("""COMPUTED_VALUE"""),"ADULTO MAYOR HOMBRE")</f>
        <v>ADULTO MAYOR HOMBRE</v>
      </c>
    </row>
    <row r="570" spans="1:13">
      <c r="A570" s="42" t="str">
        <f ca="1">IFERROR(__xludf.DUMMYFUNCTION("""COMPUTED_VALUE"""),"2.1.1.7")</f>
        <v>2.1.1.7</v>
      </c>
      <c r="B570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70" s="42" t="str">
        <f ca="1">IFERROR(__xludf.DUMMYFUNCTION("""COMPUTED_VALUE"""),"3. Operación")</f>
        <v>3. Operación</v>
      </c>
      <c r="D570" s="42" t="str">
        <f ca="1">IFERROR(__xludf.DUMMYFUNCTION("""COMPUTED_VALUE"""),"Guadalajara en Paz")</f>
        <v>Guadalajara en Paz</v>
      </c>
      <c r="E570" s="42" t="str">
        <f ca="1">IFERROR(__xludf.DUMMYFUNCTION("""COMPUTED_VALUE"""),"Asistencia Alimentaria y Nutrición")</f>
        <v>Asistencia Alimentaria y Nutrición</v>
      </c>
      <c r="F570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570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570" s="42" t="str">
        <f ca="1">IFERROR(__xludf.DUMMYFUNCTION("""COMPUTED_VALUE"""),"NAS Junio")</f>
        <v>NAS Junio</v>
      </c>
      <c r="I570" s="42" t="str">
        <f ca="1">IFERROR(__xludf.DUMMYFUNCTION("""COMPUTED_VALUE"""),"Junio")</f>
        <v>Junio</v>
      </c>
      <c r="J570" s="42" t="str">
        <f ca="1">IFERROR(__xludf.DUMMYFUNCTION("""COMPUTED_VALUE"""),"NAS")</f>
        <v>NAS</v>
      </c>
      <c r="K570" s="98">
        <f ca="1">IFERROR(__xludf.DUMMYFUNCTION("""COMPUTED_VALUE"""),65)</f>
        <v>65</v>
      </c>
      <c r="L570" s="42" t="str">
        <f ca="1">IFERROR(__xludf.DUMMYFUNCTION("""COMPUTED_VALUE"""),"TRIMESTRE 2")</f>
        <v>TRIMESTRE 2</v>
      </c>
      <c r="M570" s="42" t="str">
        <f ca="1">IFERROR(__xludf.DUMMYFUNCTION("""COMPUTED_VALUE"""),"NIÑAS")</f>
        <v>NIÑAS</v>
      </c>
    </row>
    <row r="571" spans="1:13">
      <c r="A571" s="42" t="str">
        <f ca="1">IFERROR(__xludf.DUMMYFUNCTION("""COMPUTED_VALUE"""),"2.1.1.7")</f>
        <v>2.1.1.7</v>
      </c>
      <c r="B571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71" s="42" t="str">
        <f ca="1">IFERROR(__xludf.DUMMYFUNCTION("""COMPUTED_VALUE"""),"3. Operación")</f>
        <v>3. Operación</v>
      </c>
      <c r="D571" s="42" t="str">
        <f ca="1">IFERROR(__xludf.DUMMYFUNCTION("""COMPUTED_VALUE"""),"Guadalajara en Paz")</f>
        <v>Guadalajara en Paz</v>
      </c>
      <c r="E571" s="42" t="str">
        <f ca="1">IFERROR(__xludf.DUMMYFUNCTION("""COMPUTED_VALUE"""),"Asistencia Alimentaria y Nutrición")</f>
        <v>Asistencia Alimentaria y Nutrición</v>
      </c>
      <c r="F571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571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571" s="42" t="str">
        <f ca="1">IFERROR(__xludf.DUMMYFUNCTION("""COMPUTED_VALUE"""),"NOS Junio")</f>
        <v>NOS Junio</v>
      </c>
      <c r="I571" s="42" t="str">
        <f ca="1">IFERROR(__xludf.DUMMYFUNCTION("""COMPUTED_VALUE"""),"Junio")</f>
        <v>Junio</v>
      </c>
      <c r="J571" s="42" t="str">
        <f ca="1">IFERROR(__xludf.DUMMYFUNCTION("""COMPUTED_VALUE"""),"NOS")</f>
        <v>NOS</v>
      </c>
      <c r="K571" s="98">
        <f ca="1">IFERROR(__xludf.DUMMYFUNCTION("""COMPUTED_VALUE"""),60)</f>
        <v>60</v>
      </c>
      <c r="L571" s="42" t="str">
        <f ca="1">IFERROR(__xludf.DUMMYFUNCTION("""COMPUTED_VALUE"""),"TRIMESTRE 2")</f>
        <v>TRIMESTRE 2</v>
      </c>
      <c r="M571" s="42" t="str">
        <f ca="1">IFERROR(__xludf.DUMMYFUNCTION("""COMPUTED_VALUE"""),"NIÑOS")</f>
        <v>NIÑOS</v>
      </c>
    </row>
    <row r="572" spans="1:13">
      <c r="A572" s="42" t="str">
        <f ca="1">IFERROR(__xludf.DUMMYFUNCTION("""COMPUTED_VALUE"""),"2.1.1.7")</f>
        <v>2.1.1.7</v>
      </c>
      <c r="B572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72" s="42" t="str">
        <f ca="1">IFERROR(__xludf.DUMMYFUNCTION("""COMPUTED_VALUE"""),"3. Operación")</f>
        <v>3. Operación</v>
      </c>
      <c r="D572" s="42" t="str">
        <f ca="1">IFERROR(__xludf.DUMMYFUNCTION("""COMPUTED_VALUE"""),"Guadalajara en Paz")</f>
        <v>Guadalajara en Paz</v>
      </c>
      <c r="E572" s="42" t="str">
        <f ca="1">IFERROR(__xludf.DUMMYFUNCTION("""COMPUTED_VALUE"""),"Asistencia Alimentaria y Nutrición")</f>
        <v>Asistencia Alimentaria y Nutrición</v>
      </c>
      <c r="F572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572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572" s="42" t="str">
        <f ca="1">IFERROR(__xludf.DUMMYFUNCTION("""COMPUTED_VALUE"""),"AM JUNIO")</f>
        <v>AM JUNIO</v>
      </c>
      <c r="I572" s="42" t="str">
        <f ca="1">IFERROR(__xludf.DUMMYFUNCTION("""COMPUTED_VALUE"""),"Junio")</f>
        <v>Junio</v>
      </c>
      <c r="J572" s="42" t="str">
        <f ca="1">IFERROR(__xludf.DUMMYFUNCTION("""COMPUTED_VALUE"""),"AM")</f>
        <v>AM</v>
      </c>
      <c r="K572" s="98">
        <f ca="1">IFERROR(__xludf.DUMMYFUNCTION("""COMPUTED_VALUE"""),0)</f>
        <v>0</v>
      </c>
      <c r="L572" s="42" t="str">
        <f ca="1">IFERROR(__xludf.DUMMYFUNCTION("""COMPUTED_VALUE"""),"TRIMESTRE 2")</f>
        <v>TRIMESTRE 2</v>
      </c>
      <c r="M572" s="42" t="str">
        <f ca="1">IFERROR(__xludf.DUMMYFUNCTION("""COMPUTED_VALUE"""),"ADOLESCENTES MUJERES")</f>
        <v>ADOLESCENTES MUJERES</v>
      </c>
    </row>
    <row r="573" spans="1:13">
      <c r="A573" s="42" t="str">
        <f ca="1">IFERROR(__xludf.DUMMYFUNCTION("""COMPUTED_VALUE"""),"2.1.1.7")</f>
        <v>2.1.1.7</v>
      </c>
      <c r="B573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73" s="42" t="str">
        <f ca="1">IFERROR(__xludf.DUMMYFUNCTION("""COMPUTED_VALUE"""),"3. Operación")</f>
        <v>3. Operación</v>
      </c>
      <c r="D573" s="42" t="str">
        <f ca="1">IFERROR(__xludf.DUMMYFUNCTION("""COMPUTED_VALUE"""),"Guadalajara en Paz")</f>
        <v>Guadalajara en Paz</v>
      </c>
      <c r="E573" s="42" t="str">
        <f ca="1">IFERROR(__xludf.DUMMYFUNCTION("""COMPUTED_VALUE"""),"Asistencia Alimentaria y Nutrición")</f>
        <v>Asistencia Alimentaria y Nutrición</v>
      </c>
      <c r="F573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573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573" s="42" t="str">
        <f ca="1">IFERROR(__xludf.DUMMYFUNCTION("""COMPUTED_VALUE"""),"AH JUNIO")</f>
        <v>AH JUNIO</v>
      </c>
      <c r="I573" s="42" t="str">
        <f ca="1">IFERROR(__xludf.DUMMYFUNCTION("""COMPUTED_VALUE"""),"Junio")</f>
        <v>Junio</v>
      </c>
      <c r="J573" s="42" t="str">
        <f ca="1">IFERROR(__xludf.DUMMYFUNCTION("""COMPUTED_VALUE"""),"AH")</f>
        <v>AH</v>
      </c>
      <c r="K573" s="98">
        <f ca="1">IFERROR(__xludf.DUMMYFUNCTION("""COMPUTED_VALUE"""),0)</f>
        <v>0</v>
      </c>
      <c r="L573" s="42" t="str">
        <f ca="1">IFERROR(__xludf.DUMMYFUNCTION("""COMPUTED_VALUE"""),"TRIMESTRE 2")</f>
        <v>TRIMESTRE 2</v>
      </c>
      <c r="M573" s="42" t="str">
        <f ca="1">IFERROR(__xludf.DUMMYFUNCTION("""COMPUTED_VALUE"""),"ADOLESCENTES HOMBRES")</f>
        <v>ADOLESCENTES HOMBRES</v>
      </c>
    </row>
    <row r="574" spans="1:13">
      <c r="A574" s="42" t="str">
        <f ca="1">IFERROR(__xludf.DUMMYFUNCTION("""COMPUTED_VALUE"""),"2.1.1.7")</f>
        <v>2.1.1.7</v>
      </c>
      <c r="B574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74" s="42" t="str">
        <f ca="1">IFERROR(__xludf.DUMMYFUNCTION("""COMPUTED_VALUE"""),"3. Operación")</f>
        <v>3. Operación</v>
      </c>
      <c r="D574" s="42" t="str">
        <f ca="1">IFERROR(__xludf.DUMMYFUNCTION("""COMPUTED_VALUE"""),"Guadalajara en Paz")</f>
        <v>Guadalajara en Paz</v>
      </c>
      <c r="E574" s="42" t="str">
        <f ca="1">IFERROR(__xludf.DUMMYFUNCTION("""COMPUTED_VALUE"""),"Asistencia Alimentaria y Nutrición")</f>
        <v>Asistencia Alimentaria y Nutrición</v>
      </c>
      <c r="F574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574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574" s="42" t="str">
        <f ca="1">IFERROR(__xludf.DUMMYFUNCTION("""COMPUTED_VALUE"""),"MUJ Junio")</f>
        <v>MUJ Junio</v>
      </c>
      <c r="I574" s="42" t="str">
        <f ca="1">IFERROR(__xludf.DUMMYFUNCTION("""COMPUTED_VALUE"""),"Junio")</f>
        <v>Junio</v>
      </c>
      <c r="J574" s="42" t="str">
        <f ca="1">IFERROR(__xludf.DUMMYFUNCTION("""COMPUTED_VALUE"""),"MUJ")</f>
        <v>MUJ</v>
      </c>
      <c r="K574" s="98">
        <f ca="1">IFERROR(__xludf.DUMMYFUNCTION("""COMPUTED_VALUE"""),210)</f>
        <v>210</v>
      </c>
      <c r="L574" s="42" t="str">
        <f ca="1">IFERROR(__xludf.DUMMYFUNCTION("""COMPUTED_VALUE"""),"TRIMESTRE 2")</f>
        <v>TRIMESTRE 2</v>
      </c>
      <c r="M574" s="42" t="str">
        <f ca="1">IFERROR(__xludf.DUMMYFUNCTION("""COMPUTED_VALUE"""),"MUJERES ADULTAS")</f>
        <v>MUJERES ADULTAS</v>
      </c>
    </row>
    <row r="575" spans="1:13">
      <c r="A575" s="42" t="str">
        <f ca="1">IFERROR(__xludf.DUMMYFUNCTION("""COMPUTED_VALUE"""),"2.1.1.7")</f>
        <v>2.1.1.7</v>
      </c>
      <c r="B575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75" s="42" t="str">
        <f ca="1">IFERROR(__xludf.DUMMYFUNCTION("""COMPUTED_VALUE"""),"3. Operación")</f>
        <v>3. Operación</v>
      </c>
      <c r="D575" s="42" t="str">
        <f ca="1">IFERROR(__xludf.DUMMYFUNCTION("""COMPUTED_VALUE"""),"Guadalajara en Paz")</f>
        <v>Guadalajara en Paz</v>
      </c>
      <c r="E575" s="42" t="str">
        <f ca="1">IFERROR(__xludf.DUMMYFUNCTION("""COMPUTED_VALUE"""),"Asistencia Alimentaria y Nutrición")</f>
        <v>Asistencia Alimentaria y Nutrición</v>
      </c>
      <c r="F575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575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575" s="42" t="str">
        <f ca="1">IFERROR(__xludf.DUMMYFUNCTION("""COMPUTED_VALUE"""),"HOM Junio")</f>
        <v>HOM Junio</v>
      </c>
      <c r="I575" s="42" t="str">
        <f ca="1">IFERROR(__xludf.DUMMYFUNCTION("""COMPUTED_VALUE"""),"Junio")</f>
        <v>Junio</v>
      </c>
      <c r="J575" s="42" t="str">
        <f ca="1">IFERROR(__xludf.DUMMYFUNCTION("""COMPUTED_VALUE"""),"HOM")</f>
        <v>HOM</v>
      </c>
      <c r="K575" s="98">
        <f ca="1">IFERROR(__xludf.DUMMYFUNCTION("""COMPUTED_VALUE"""),0)</f>
        <v>0</v>
      </c>
      <c r="L575" s="42" t="str">
        <f ca="1">IFERROR(__xludf.DUMMYFUNCTION("""COMPUTED_VALUE"""),"TRIMESTRE 2")</f>
        <v>TRIMESTRE 2</v>
      </c>
      <c r="M575" s="42" t="str">
        <f ca="1">IFERROR(__xludf.DUMMYFUNCTION("""COMPUTED_VALUE"""),"HOMBRES ADULTOS")</f>
        <v>HOMBRES ADULTOS</v>
      </c>
    </row>
    <row r="576" spans="1:13">
      <c r="A576" s="42" t="str">
        <f ca="1">IFERROR(__xludf.DUMMYFUNCTION("""COMPUTED_VALUE"""),"2.1.1.7")</f>
        <v>2.1.1.7</v>
      </c>
      <c r="B576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76" s="42" t="str">
        <f ca="1">IFERROR(__xludf.DUMMYFUNCTION("""COMPUTED_VALUE"""),"3. Operación")</f>
        <v>3. Operación</v>
      </c>
      <c r="D576" s="42" t="str">
        <f ca="1">IFERROR(__xludf.DUMMYFUNCTION("""COMPUTED_VALUE"""),"Guadalajara en Paz")</f>
        <v>Guadalajara en Paz</v>
      </c>
      <c r="E576" s="42" t="str">
        <f ca="1">IFERROR(__xludf.DUMMYFUNCTION("""COMPUTED_VALUE"""),"Asistencia Alimentaria y Nutrición")</f>
        <v>Asistencia Alimentaria y Nutrición</v>
      </c>
      <c r="F576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576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576" s="42" t="str">
        <f ca="1">IFERROR(__xludf.DUMMYFUNCTION("""COMPUTED_VALUE"""),"AMM Junio")</f>
        <v>AMM Junio</v>
      </c>
      <c r="I576" s="42" t="str">
        <f ca="1">IFERROR(__xludf.DUMMYFUNCTION("""COMPUTED_VALUE"""),"Junio")</f>
        <v>Junio</v>
      </c>
      <c r="J576" s="42" t="str">
        <f ca="1">IFERROR(__xludf.DUMMYFUNCTION("""COMPUTED_VALUE"""),"AMM")</f>
        <v>AMM</v>
      </c>
      <c r="K576" s="98">
        <f ca="1">IFERROR(__xludf.DUMMYFUNCTION("""COMPUTED_VALUE"""),0)</f>
        <v>0</v>
      </c>
      <c r="L576" s="42" t="str">
        <f ca="1">IFERROR(__xludf.DUMMYFUNCTION("""COMPUTED_VALUE"""),"TRIMESTRE 2")</f>
        <v>TRIMESTRE 2</v>
      </c>
      <c r="M576" s="42" t="str">
        <f ca="1">IFERROR(__xludf.DUMMYFUNCTION("""COMPUTED_VALUE"""),"ADULTA MAYOR MUJER")</f>
        <v>ADULTA MAYOR MUJER</v>
      </c>
    </row>
    <row r="577" spans="1:13">
      <c r="A577" s="42" t="str">
        <f ca="1">IFERROR(__xludf.DUMMYFUNCTION("""COMPUTED_VALUE"""),"2.1.1.7")</f>
        <v>2.1.1.7</v>
      </c>
      <c r="B577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77" s="42" t="str">
        <f ca="1">IFERROR(__xludf.DUMMYFUNCTION("""COMPUTED_VALUE"""),"3. Operación")</f>
        <v>3. Operación</v>
      </c>
      <c r="D577" s="42" t="str">
        <f ca="1">IFERROR(__xludf.DUMMYFUNCTION("""COMPUTED_VALUE"""),"Guadalajara en Paz")</f>
        <v>Guadalajara en Paz</v>
      </c>
      <c r="E577" s="42" t="str">
        <f ca="1">IFERROR(__xludf.DUMMYFUNCTION("""COMPUTED_VALUE"""),"Asistencia Alimentaria y Nutrición")</f>
        <v>Asistencia Alimentaria y Nutrición</v>
      </c>
      <c r="F577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577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577" s="42" t="str">
        <f ca="1">IFERROR(__xludf.DUMMYFUNCTION("""COMPUTED_VALUE"""),"AMH Junio")</f>
        <v>AMH Junio</v>
      </c>
      <c r="I577" s="42" t="str">
        <f ca="1">IFERROR(__xludf.DUMMYFUNCTION("""COMPUTED_VALUE"""),"Junio")</f>
        <v>Junio</v>
      </c>
      <c r="J577" s="42" t="str">
        <f ca="1">IFERROR(__xludf.DUMMYFUNCTION("""COMPUTED_VALUE"""),"AMH")</f>
        <v>AMH</v>
      </c>
      <c r="K577" s="98">
        <f ca="1">IFERROR(__xludf.DUMMYFUNCTION("""COMPUTED_VALUE"""),0)</f>
        <v>0</v>
      </c>
      <c r="L577" s="42" t="str">
        <f ca="1">IFERROR(__xludf.DUMMYFUNCTION("""COMPUTED_VALUE"""),"TRIMESTRE 2")</f>
        <v>TRIMESTRE 2</v>
      </c>
      <c r="M577" s="42" t="str">
        <f ca="1">IFERROR(__xludf.DUMMYFUNCTION("""COMPUTED_VALUE"""),"ADULTO MAYOR HOMBRE")</f>
        <v>ADULTO MAYOR HOMBRE</v>
      </c>
    </row>
    <row r="578" spans="1:13">
      <c r="A578" s="42" t="str">
        <f ca="1">IFERROR(__xludf.DUMMYFUNCTION("""COMPUTED_VALUE"""),"2.1.1.4")</f>
        <v>2.1.1.4</v>
      </c>
      <c r="B578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78" s="42" t="str">
        <f ca="1">IFERROR(__xludf.DUMMYFUNCTION("""COMPUTED_VALUE"""),"3. Operación")</f>
        <v>3. Operación</v>
      </c>
      <c r="D578" s="42" t="str">
        <f ca="1">IFERROR(__xludf.DUMMYFUNCTION("""COMPUTED_VALUE"""),"Guadalajara en Paz")</f>
        <v>Guadalajara en Paz</v>
      </c>
      <c r="E578" s="42" t="str">
        <f ca="1">IFERROR(__xludf.DUMMYFUNCTION("""COMPUTED_VALUE"""),"Asistencia Alimentaria y Nutrición")</f>
        <v>Asistencia Alimentaria y Nutrición</v>
      </c>
      <c r="F578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578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578" s="42" t="str">
        <f ca="1">IFERROR(__xludf.DUMMYFUNCTION("""COMPUTED_VALUE"""),"NAS Julio")</f>
        <v>NAS Julio</v>
      </c>
      <c r="I578" s="42" t="str">
        <f ca="1">IFERROR(__xludf.DUMMYFUNCTION("""COMPUTED_VALUE"""),"Julio")</f>
        <v>Julio</v>
      </c>
      <c r="J578" s="42" t="str">
        <f ca="1">IFERROR(__xludf.DUMMYFUNCTION("""COMPUTED_VALUE"""),"NAS")</f>
        <v>NAS</v>
      </c>
      <c r="K578" s="98">
        <f ca="1">IFERROR(__xludf.DUMMYFUNCTION("""COMPUTED_VALUE"""),0)</f>
        <v>0</v>
      </c>
      <c r="L578" s="42" t="str">
        <f ca="1">IFERROR(__xludf.DUMMYFUNCTION("""COMPUTED_VALUE"""),"TRIMESTRE 3")</f>
        <v>TRIMESTRE 3</v>
      </c>
      <c r="M578" s="42" t="str">
        <f ca="1">IFERROR(__xludf.DUMMYFUNCTION("""COMPUTED_VALUE"""),"NIÑAS")</f>
        <v>NIÑAS</v>
      </c>
    </row>
    <row r="579" spans="1:13">
      <c r="A579" s="42" t="str">
        <f ca="1">IFERROR(__xludf.DUMMYFUNCTION("""COMPUTED_VALUE"""),"2.1.1.4")</f>
        <v>2.1.1.4</v>
      </c>
      <c r="B579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79" s="42" t="str">
        <f ca="1">IFERROR(__xludf.DUMMYFUNCTION("""COMPUTED_VALUE"""),"3. Operación")</f>
        <v>3. Operación</v>
      </c>
      <c r="D579" s="42" t="str">
        <f ca="1">IFERROR(__xludf.DUMMYFUNCTION("""COMPUTED_VALUE"""),"Guadalajara en Paz")</f>
        <v>Guadalajara en Paz</v>
      </c>
      <c r="E579" s="42" t="str">
        <f ca="1">IFERROR(__xludf.DUMMYFUNCTION("""COMPUTED_VALUE"""),"Asistencia Alimentaria y Nutrición")</f>
        <v>Asistencia Alimentaria y Nutrición</v>
      </c>
      <c r="F579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579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579" s="42" t="str">
        <f ca="1">IFERROR(__xludf.DUMMYFUNCTION("""COMPUTED_VALUE"""),"NOS Julio")</f>
        <v>NOS Julio</v>
      </c>
      <c r="I579" s="42" t="str">
        <f ca="1">IFERROR(__xludf.DUMMYFUNCTION("""COMPUTED_VALUE"""),"Julio")</f>
        <v>Julio</v>
      </c>
      <c r="J579" s="42" t="str">
        <f ca="1">IFERROR(__xludf.DUMMYFUNCTION("""COMPUTED_VALUE"""),"NOS")</f>
        <v>NOS</v>
      </c>
      <c r="K579" s="98">
        <f ca="1">IFERROR(__xludf.DUMMYFUNCTION("""COMPUTED_VALUE"""),0)</f>
        <v>0</v>
      </c>
      <c r="L579" s="42" t="str">
        <f ca="1">IFERROR(__xludf.DUMMYFUNCTION("""COMPUTED_VALUE"""),"TRIMESTRE 3")</f>
        <v>TRIMESTRE 3</v>
      </c>
      <c r="M579" s="42" t="str">
        <f ca="1">IFERROR(__xludf.DUMMYFUNCTION("""COMPUTED_VALUE"""),"NIÑOS")</f>
        <v>NIÑOS</v>
      </c>
    </row>
    <row r="580" spans="1:13">
      <c r="A580" s="42" t="str">
        <f ca="1">IFERROR(__xludf.DUMMYFUNCTION("""COMPUTED_VALUE"""),"2.1.1.4")</f>
        <v>2.1.1.4</v>
      </c>
      <c r="B580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80" s="42" t="str">
        <f ca="1">IFERROR(__xludf.DUMMYFUNCTION("""COMPUTED_VALUE"""),"3. Operación")</f>
        <v>3. Operación</v>
      </c>
      <c r="D580" s="42" t="str">
        <f ca="1">IFERROR(__xludf.DUMMYFUNCTION("""COMPUTED_VALUE"""),"Guadalajara en Paz")</f>
        <v>Guadalajara en Paz</v>
      </c>
      <c r="E580" s="42" t="str">
        <f ca="1">IFERROR(__xludf.DUMMYFUNCTION("""COMPUTED_VALUE"""),"Asistencia Alimentaria y Nutrición")</f>
        <v>Asistencia Alimentaria y Nutrición</v>
      </c>
      <c r="F580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580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580" s="42" t="str">
        <f ca="1">IFERROR(__xludf.DUMMYFUNCTION("""COMPUTED_VALUE"""),"AM JULIO")</f>
        <v>AM JULIO</v>
      </c>
      <c r="I580" s="42" t="str">
        <f ca="1">IFERROR(__xludf.DUMMYFUNCTION("""COMPUTED_VALUE"""),"Julio")</f>
        <v>Julio</v>
      </c>
      <c r="J580" s="42" t="str">
        <f ca="1">IFERROR(__xludf.DUMMYFUNCTION("""COMPUTED_VALUE"""),"AM")</f>
        <v>AM</v>
      </c>
      <c r="K580" s="98">
        <f ca="1">IFERROR(__xludf.DUMMYFUNCTION("""COMPUTED_VALUE"""),0)</f>
        <v>0</v>
      </c>
      <c r="L580" s="42" t="str">
        <f ca="1">IFERROR(__xludf.DUMMYFUNCTION("""COMPUTED_VALUE"""),"TRIMESTRE 3")</f>
        <v>TRIMESTRE 3</v>
      </c>
      <c r="M580" s="42" t="str">
        <f ca="1">IFERROR(__xludf.DUMMYFUNCTION("""COMPUTED_VALUE"""),"ADOLESCENTES MUJERES")</f>
        <v>ADOLESCENTES MUJERES</v>
      </c>
    </row>
    <row r="581" spans="1:13">
      <c r="A581" s="42" t="str">
        <f ca="1">IFERROR(__xludf.DUMMYFUNCTION("""COMPUTED_VALUE"""),"2.1.1.4")</f>
        <v>2.1.1.4</v>
      </c>
      <c r="B581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81" s="42" t="str">
        <f ca="1">IFERROR(__xludf.DUMMYFUNCTION("""COMPUTED_VALUE"""),"3. Operación")</f>
        <v>3. Operación</v>
      </c>
      <c r="D581" s="42" t="str">
        <f ca="1">IFERROR(__xludf.DUMMYFUNCTION("""COMPUTED_VALUE"""),"Guadalajara en Paz")</f>
        <v>Guadalajara en Paz</v>
      </c>
      <c r="E581" s="42" t="str">
        <f ca="1">IFERROR(__xludf.DUMMYFUNCTION("""COMPUTED_VALUE"""),"Asistencia Alimentaria y Nutrición")</f>
        <v>Asistencia Alimentaria y Nutrición</v>
      </c>
      <c r="F581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581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581" s="42" t="str">
        <f ca="1">IFERROR(__xludf.DUMMYFUNCTION("""COMPUTED_VALUE"""),"AH JULIO")</f>
        <v>AH JULIO</v>
      </c>
      <c r="I581" s="42" t="str">
        <f ca="1">IFERROR(__xludf.DUMMYFUNCTION("""COMPUTED_VALUE"""),"Julio")</f>
        <v>Julio</v>
      </c>
      <c r="J581" s="42" t="str">
        <f ca="1">IFERROR(__xludf.DUMMYFUNCTION("""COMPUTED_VALUE"""),"AH")</f>
        <v>AH</v>
      </c>
      <c r="K581" s="98">
        <f ca="1">IFERROR(__xludf.DUMMYFUNCTION("""COMPUTED_VALUE"""),0)</f>
        <v>0</v>
      </c>
      <c r="L581" s="42" t="str">
        <f ca="1">IFERROR(__xludf.DUMMYFUNCTION("""COMPUTED_VALUE"""),"TRIMESTRE 3")</f>
        <v>TRIMESTRE 3</v>
      </c>
      <c r="M581" s="42" t="str">
        <f ca="1">IFERROR(__xludf.DUMMYFUNCTION("""COMPUTED_VALUE"""),"ADOLESCENTES HOMBRES")</f>
        <v>ADOLESCENTES HOMBRES</v>
      </c>
    </row>
    <row r="582" spans="1:13">
      <c r="A582" s="42" t="str">
        <f ca="1">IFERROR(__xludf.DUMMYFUNCTION("""COMPUTED_VALUE"""),"2.1.1.4")</f>
        <v>2.1.1.4</v>
      </c>
      <c r="B582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82" s="42" t="str">
        <f ca="1">IFERROR(__xludf.DUMMYFUNCTION("""COMPUTED_VALUE"""),"3. Operación")</f>
        <v>3. Operación</v>
      </c>
      <c r="D582" s="42" t="str">
        <f ca="1">IFERROR(__xludf.DUMMYFUNCTION("""COMPUTED_VALUE"""),"Guadalajara en Paz")</f>
        <v>Guadalajara en Paz</v>
      </c>
      <c r="E582" s="42" t="str">
        <f ca="1">IFERROR(__xludf.DUMMYFUNCTION("""COMPUTED_VALUE"""),"Asistencia Alimentaria y Nutrición")</f>
        <v>Asistencia Alimentaria y Nutrición</v>
      </c>
      <c r="F582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582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582" s="42" t="str">
        <f ca="1">IFERROR(__xludf.DUMMYFUNCTION("""COMPUTED_VALUE"""),"MUJ Julio")</f>
        <v>MUJ Julio</v>
      </c>
      <c r="I582" s="42" t="str">
        <f ca="1">IFERROR(__xludf.DUMMYFUNCTION("""COMPUTED_VALUE"""),"Julio")</f>
        <v>Julio</v>
      </c>
      <c r="J582" s="42" t="str">
        <f ca="1">IFERROR(__xludf.DUMMYFUNCTION("""COMPUTED_VALUE"""),"MUJ")</f>
        <v>MUJ</v>
      </c>
      <c r="K582" s="98">
        <f ca="1">IFERROR(__xludf.DUMMYFUNCTION("""COMPUTED_VALUE"""),0)</f>
        <v>0</v>
      </c>
      <c r="L582" s="42" t="str">
        <f ca="1">IFERROR(__xludf.DUMMYFUNCTION("""COMPUTED_VALUE"""),"TRIMESTRE 3")</f>
        <v>TRIMESTRE 3</v>
      </c>
      <c r="M582" s="42" t="str">
        <f ca="1">IFERROR(__xludf.DUMMYFUNCTION("""COMPUTED_VALUE"""),"MUJERES ADULTAS")</f>
        <v>MUJERES ADULTAS</v>
      </c>
    </row>
    <row r="583" spans="1:13">
      <c r="A583" s="42" t="str">
        <f ca="1">IFERROR(__xludf.DUMMYFUNCTION("""COMPUTED_VALUE"""),"2.1.1.4")</f>
        <v>2.1.1.4</v>
      </c>
      <c r="B583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83" s="42" t="str">
        <f ca="1">IFERROR(__xludf.DUMMYFUNCTION("""COMPUTED_VALUE"""),"3. Operación")</f>
        <v>3. Operación</v>
      </c>
      <c r="D583" s="42" t="str">
        <f ca="1">IFERROR(__xludf.DUMMYFUNCTION("""COMPUTED_VALUE"""),"Guadalajara en Paz")</f>
        <v>Guadalajara en Paz</v>
      </c>
      <c r="E583" s="42" t="str">
        <f ca="1">IFERROR(__xludf.DUMMYFUNCTION("""COMPUTED_VALUE"""),"Asistencia Alimentaria y Nutrición")</f>
        <v>Asistencia Alimentaria y Nutrición</v>
      </c>
      <c r="F583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583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583" s="42" t="str">
        <f ca="1">IFERROR(__xludf.DUMMYFUNCTION("""COMPUTED_VALUE"""),"HOM Julio")</f>
        <v>HOM Julio</v>
      </c>
      <c r="I583" s="42" t="str">
        <f ca="1">IFERROR(__xludf.DUMMYFUNCTION("""COMPUTED_VALUE"""),"Julio")</f>
        <v>Julio</v>
      </c>
      <c r="J583" s="42" t="str">
        <f ca="1">IFERROR(__xludf.DUMMYFUNCTION("""COMPUTED_VALUE"""),"HOM")</f>
        <v>HOM</v>
      </c>
      <c r="K583" s="98">
        <f ca="1">IFERROR(__xludf.DUMMYFUNCTION("""COMPUTED_VALUE"""),0)</f>
        <v>0</v>
      </c>
      <c r="L583" s="42" t="str">
        <f ca="1">IFERROR(__xludf.DUMMYFUNCTION("""COMPUTED_VALUE"""),"TRIMESTRE 3")</f>
        <v>TRIMESTRE 3</v>
      </c>
      <c r="M583" s="42" t="str">
        <f ca="1">IFERROR(__xludf.DUMMYFUNCTION("""COMPUTED_VALUE"""),"HOMBRES ADULTOS")</f>
        <v>HOMBRES ADULTOS</v>
      </c>
    </row>
    <row r="584" spans="1:13">
      <c r="A584" s="42" t="str">
        <f ca="1">IFERROR(__xludf.DUMMYFUNCTION("""COMPUTED_VALUE"""),"2.1.1.4")</f>
        <v>2.1.1.4</v>
      </c>
      <c r="B584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84" s="42" t="str">
        <f ca="1">IFERROR(__xludf.DUMMYFUNCTION("""COMPUTED_VALUE"""),"3. Operación")</f>
        <v>3. Operación</v>
      </c>
      <c r="D584" s="42" t="str">
        <f ca="1">IFERROR(__xludf.DUMMYFUNCTION("""COMPUTED_VALUE"""),"Guadalajara en Paz")</f>
        <v>Guadalajara en Paz</v>
      </c>
      <c r="E584" s="42" t="str">
        <f ca="1">IFERROR(__xludf.DUMMYFUNCTION("""COMPUTED_VALUE"""),"Asistencia Alimentaria y Nutrición")</f>
        <v>Asistencia Alimentaria y Nutrición</v>
      </c>
      <c r="F584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584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584" s="42" t="str">
        <f ca="1">IFERROR(__xludf.DUMMYFUNCTION("""COMPUTED_VALUE"""),"AMM Julio")</f>
        <v>AMM Julio</v>
      </c>
      <c r="I584" s="42" t="str">
        <f ca="1">IFERROR(__xludf.DUMMYFUNCTION("""COMPUTED_VALUE"""),"Julio")</f>
        <v>Julio</v>
      </c>
      <c r="J584" s="42" t="str">
        <f ca="1">IFERROR(__xludf.DUMMYFUNCTION("""COMPUTED_VALUE"""),"AMM")</f>
        <v>AMM</v>
      </c>
      <c r="K584" s="98">
        <f ca="1">IFERROR(__xludf.DUMMYFUNCTION("""COMPUTED_VALUE"""),0)</f>
        <v>0</v>
      </c>
      <c r="L584" s="42" t="str">
        <f ca="1">IFERROR(__xludf.DUMMYFUNCTION("""COMPUTED_VALUE"""),"TRIMESTRE 3")</f>
        <v>TRIMESTRE 3</v>
      </c>
      <c r="M584" s="42" t="str">
        <f ca="1">IFERROR(__xludf.DUMMYFUNCTION("""COMPUTED_VALUE"""),"ADULTA MAYOR MUJER")</f>
        <v>ADULTA MAYOR MUJER</v>
      </c>
    </row>
    <row r="585" spans="1:13">
      <c r="A585" s="42" t="str">
        <f ca="1">IFERROR(__xludf.DUMMYFUNCTION("""COMPUTED_VALUE"""),"2.1.1.4")</f>
        <v>2.1.1.4</v>
      </c>
      <c r="B585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85" s="42" t="str">
        <f ca="1">IFERROR(__xludf.DUMMYFUNCTION("""COMPUTED_VALUE"""),"3. Operación")</f>
        <v>3. Operación</v>
      </c>
      <c r="D585" s="42" t="str">
        <f ca="1">IFERROR(__xludf.DUMMYFUNCTION("""COMPUTED_VALUE"""),"Guadalajara en Paz")</f>
        <v>Guadalajara en Paz</v>
      </c>
      <c r="E585" s="42" t="str">
        <f ca="1">IFERROR(__xludf.DUMMYFUNCTION("""COMPUTED_VALUE"""),"Asistencia Alimentaria y Nutrición")</f>
        <v>Asistencia Alimentaria y Nutrición</v>
      </c>
      <c r="F585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585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585" s="42" t="str">
        <f ca="1">IFERROR(__xludf.DUMMYFUNCTION("""COMPUTED_VALUE"""),"AMH Julio")</f>
        <v>AMH Julio</v>
      </c>
      <c r="I585" s="42" t="str">
        <f ca="1">IFERROR(__xludf.DUMMYFUNCTION("""COMPUTED_VALUE"""),"Julio")</f>
        <v>Julio</v>
      </c>
      <c r="J585" s="42" t="str">
        <f ca="1">IFERROR(__xludf.DUMMYFUNCTION("""COMPUTED_VALUE"""),"AMH")</f>
        <v>AMH</v>
      </c>
      <c r="K585" s="98">
        <f ca="1">IFERROR(__xludf.DUMMYFUNCTION("""COMPUTED_VALUE"""),0)</f>
        <v>0</v>
      </c>
      <c r="L585" s="42" t="str">
        <f ca="1">IFERROR(__xludf.DUMMYFUNCTION("""COMPUTED_VALUE"""),"TRIMESTRE 3")</f>
        <v>TRIMESTRE 3</v>
      </c>
      <c r="M585" s="42" t="str">
        <f ca="1">IFERROR(__xludf.DUMMYFUNCTION("""COMPUTED_VALUE"""),"ADULTO MAYOR HOMBRE")</f>
        <v>ADULTO MAYOR HOMBRE</v>
      </c>
    </row>
    <row r="586" spans="1:13">
      <c r="A586" s="42" t="str">
        <f ca="1">IFERROR(__xludf.DUMMYFUNCTION("""COMPUTED_VALUE"""),"2.1.1.5")</f>
        <v>2.1.1.5</v>
      </c>
      <c r="B586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86" s="42" t="str">
        <f ca="1">IFERROR(__xludf.DUMMYFUNCTION("""COMPUTED_VALUE"""),"3. Operación")</f>
        <v>3. Operación</v>
      </c>
      <c r="D586" s="42" t="str">
        <f ca="1">IFERROR(__xludf.DUMMYFUNCTION("""COMPUTED_VALUE"""),"Guadalajara en Paz")</f>
        <v>Guadalajara en Paz</v>
      </c>
      <c r="E586" s="42" t="str">
        <f ca="1">IFERROR(__xludf.DUMMYFUNCTION("""COMPUTED_VALUE"""),"Asistencia Alimentaria y Nutrición")</f>
        <v>Asistencia Alimentaria y Nutrición</v>
      </c>
      <c r="F586" s="42" t="str">
        <f ca="1">IFERROR(__xludf.DUMMYFUNCTION("""COMPUTED_VALUE"""),"A5C1. Apoyos del Programa de Alimentación Escolar entregados en 2023")</f>
        <v>A5C1. Apoyos del Programa de Alimentación Escolar entregados en 2023</v>
      </c>
      <c r="G586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586" s="42" t="str">
        <f ca="1">IFERROR(__xludf.DUMMYFUNCTION("""COMPUTED_VALUE"""),"NAS Julio")</f>
        <v>NAS Julio</v>
      </c>
      <c r="I586" s="42" t="str">
        <f ca="1">IFERROR(__xludf.DUMMYFUNCTION("""COMPUTED_VALUE"""),"Julio")</f>
        <v>Julio</v>
      </c>
      <c r="J586" s="42" t="str">
        <f ca="1">IFERROR(__xludf.DUMMYFUNCTION("""COMPUTED_VALUE"""),"NAS")</f>
        <v>NAS</v>
      </c>
      <c r="K586" s="98">
        <f ca="1">IFERROR(__xludf.DUMMYFUNCTION("""COMPUTED_VALUE"""),0)</f>
        <v>0</v>
      </c>
      <c r="L586" s="42" t="str">
        <f ca="1">IFERROR(__xludf.DUMMYFUNCTION("""COMPUTED_VALUE"""),"TRIMESTRE 3")</f>
        <v>TRIMESTRE 3</v>
      </c>
      <c r="M586" s="42" t="str">
        <f ca="1">IFERROR(__xludf.DUMMYFUNCTION("""COMPUTED_VALUE"""),"NIÑAS")</f>
        <v>NIÑAS</v>
      </c>
    </row>
    <row r="587" spans="1:13">
      <c r="A587" s="42" t="str">
        <f ca="1">IFERROR(__xludf.DUMMYFUNCTION("""COMPUTED_VALUE"""),"2.1.1.5")</f>
        <v>2.1.1.5</v>
      </c>
      <c r="B587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87" s="42" t="str">
        <f ca="1">IFERROR(__xludf.DUMMYFUNCTION("""COMPUTED_VALUE"""),"3. Operación")</f>
        <v>3. Operación</v>
      </c>
      <c r="D587" s="42" t="str">
        <f ca="1">IFERROR(__xludf.DUMMYFUNCTION("""COMPUTED_VALUE"""),"Guadalajara en Paz")</f>
        <v>Guadalajara en Paz</v>
      </c>
      <c r="E587" s="42" t="str">
        <f ca="1">IFERROR(__xludf.DUMMYFUNCTION("""COMPUTED_VALUE"""),"Asistencia Alimentaria y Nutrición")</f>
        <v>Asistencia Alimentaria y Nutrición</v>
      </c>
      <c r="F587" s="42" t="str">
        <f ca="1">IFERROR(__xludf.DUMMYFUNCTION("""COMPUTED_VALUE"""),"A5C1. Apoyos del Programa de Alimentación Escolar entregados en 2023")</f>
        <v>A5C1. Apoyos del Programa de Alimentación Escolar entregados en 2023</v>
      </c>
      <c r="G587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587" s="42" t="str">
        <f ca="1">IFERROR(__xludf.DUMMYFUNCTION("""COMPUTED_VALUE"""),"NOS Julio")</f>
        <v>NOS Julio</v>
      </c>
      <c r="I587" s="42" t="str">
        <f ca="1">IFERROR(__xludf.DUMMYFUNCTION("""COMPUTED_VALUE"""),"Julio")</f>
        <v>Julio</v>
      </c>
      <c r="J587" s="42" t="str">
        <f ca="1">IFERROR(__xludf.DUMMYFUNCTION("""COMPUTED_VALUE"""),"NOS")</f>
        <v>NOS</v>
      </c>
      <c r="K587" s="98">
        <f ca="1">IFERROR(__xludf.DUMMYFUNCTION("""COMPUTED_VALUE"""),0)</f>
        <v>0</v>
      </c>
      <c r="L587" s="42" t="str">
        <f ca="1">IFERROR(__xludf.DUMMYFUNCTION("""COMPUTED_VALUE"""),"TRIMESTRE 3")</f>
        <v>TRIMESTRE 3</v>
      </c>
      <c r="M587" s="42" t="str">
        <f ca="1">IFERROR(__xludf.DUMMYFUNCTION("""COMPUTED_VALUE"""),"NIÑOS")</f>
        <v>NIÑOS</v>
      </c>
    </row>
    <row r="588" spans="1:13">
      <c r="A588" s="42" t="str">
        <f ca="1">IFERROR(__xludf.DUMMYFUNCTION("""COMPUTED_VALUE"""),"2.1.1.5")</f>
        <v>2.1.1.5</v>
      </c>
      <c r="B588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88" s="42" t="str">
        <f ca="1">IFERROR(__xludf.DUMMYFUNCTION("""COMPUTED_VALUE"""),"3. Operación")</f>
        <v>3. Operación</v>
      </c>
      <c r="D588" s="42" t="str">
        <f ca="1">IFERROR(__xludf.DUMMYFUNCTION("""COMPUTED_VALUE"""),"Guadalajara en Paz")</f>
        <v>Guadalajara en Paz</v>
      </c>
      <c r="E588" s="42" t="str">
        <f ca="1">IFERROR(__xludf.DUMMYFUNCTION("""COMPUTED_VALUE"""),"Asistencia Alimentaria y Nutrición")</f>
        <v>Asistencia Alimentaria y Nutrición</v>
      </c>
      <c r="F588" s="42" t="str">
        <f ca="1">IFERROR(__xludf.DUMMYFUNCTION("""COMPUTED_VALUE"""),"A5C1. Apoyos del Programa de Alimentación Escolar entregados en 2023")</f>
        <v>A5C1. Apoyos del Programa de Alimentación Escolar entregados en 2023</v>
      </c>
      <c r="G588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588" s="42" t="str">
        <f ca="1">IFERROR(__xludf.DUMMYFUNCTION("""COMPUTED_VALUE"""),"AM JULIO")</f>
        <v>AM JULIO</v>
      </c>
      <c r="I588" s="42" t="str">
        <f ca="1">IFERROR(__xludf.DUMMYFUNCTION("""COMPUTED_VALUE"""),"Julio")</f>
        <v>Julio</v>
      </c>
      <c r="J588" s="42" t="str">
        <f ca="1">IFERROR(__xludf.DUMMYFUNCTION("""COMPUTED_VALUE"""),"AM")</f>
        <v>AM</v>
      </c>
      <c r="K588" s="98">
        <f ca="1">IFERROR(__xludf.DUMMYFUNCTION("""COMPUTED_VALUE"""),0)</f>
        <v>0</v>
      </c>
      <c r="L588" s="42" t="str">
        <f ca="1">IFERROR(__xludf.DUMMYFUNCTION("""COMPUTED_VALUE"""),"TRIMESTRE 3")</f>
        <v>TRIMESTRE 3</v>
      </c>
      <c r="M588" s="42" t="str">
        <f ca="1">IFERROR(__xludf.DUMMYFUNCTION("""COMPUTED_VALUE"""),"ADOLESCENTES MUJERES")</f>
        <v>ADOLESCENTES MUJERES</v>
      </c>
    </row>
    <row r="589" spans="1:13">
      <c r="A589" s="42" t="str">
        <f ca="1">IFERROR(__xludf.DUMMYFUNCTION("""COMPUTED_VALUE"""),"2.1.1.5")</f>
        <v>2.1.1.5</v>
      </c>
      <c r="B589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89" s="42" t="str">
        <f ca="1">IFERROR(__xludf.DUMMYFUNCTION("""COMPUTED_VALUE"""),"3. Operación")</f>
        <v>3. Operación</v>
      </c>
      <c r="D589" s="42" t="str">
        <f ca="1">IFERROR(__xludf.DUMMYFUNCTION("""COMPUTED_VALUE"""),"Guadalajara en Paz")</f>
        <v>Guadalajara en Paz</v>
      </c>
      <c r="E589" s="42" t="str">
        <f ca="1">IFERROR(__xludf.DUMMYFUNCTION("""COMPUTED_VALUE"""),"Asistencia Alimentaria y Nutrición")</f>
        <v>Asistencia Alimentaria y Nutrición</v>
      </c>
      <c r="F589" s="42" t="str">
        <f ca="1">IFERROR(__xludf.DUMMYFUNCTION("""COMPUTED_VALUE"""),"A5C1. Apoyos del Programa de Alimentación Escolar entregados en 2023")</f>
        <v>A5C1. Apoyos del Programa de Alimentación Escolar entregados en 2023</v>
      </c>
      <c r="G589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589" s="42" t="str">
        <f ca="1">IFERROR(__xludf.DUMMYFUNCTION("""COMPUTED_VALUE"""),"AH JULIO")</f>
        <v>AH JULIO</v>
      </c>
      <c r="I589" s="42" t="str">
        <f ca="1">IFERROR(__xludf.DUMMYFUNCTION("""COMPUTED_VALUE"""),"Julio")</f>
        <v>Julio</v>
      </c>
      <c r="J589" s="42" t="str">
        <f ca="1">IFERROR(__xludf.DUMMYFUNCTION("""COMPUTED_VALUE"""),"AH")</f>
        <v>AH</v>
      </c>
      <c r="K589" s="98">
        <f ca="1">IFERROR(__xludf.DUMMYFUNCTION("""COMPUTED_VALUE"""),0)</f>
        <v>0</v>
      </c>
      <c r="L589" s="42" t="str">
        <f ca="1">IFERROR(__xludf.DUMMYFUNCTION("""COMPUTED_VALUE"""),"TRIMESTRE 3")</f>
        <v>TRIMESTRE 3</v>
      </c>
      <c r="M589" s="42" t="str">
        <f ca="1">IFERROR(__xludf.DUMMYFUNCTION("""COMPUTED_VALUE"""),"ADOLESCENTES HOMBRES")</f>
        <v>ADOLESCENTES HOMBRES</v>
      </c>
    </row>
    <row r="590" spans="1:13">
      <c r="A590" s="42" t="str">
        <f ca="1">IFERROR(__xludf.DUMMYFUNCTION("""COMPUTED_VALUE"""),"2.1.1.5")</f>
        <v>2.1.1.5</v>
      </c>
      <c r="B590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90" s="42" t="str">
        <f ca="1">IFERROR(__xludf.DUMMYFUNCTION("""COMPUTED_VALUE"""),"3. Operación")</f>
        <v>3. Operación</v>
      </c>
      <c r="D590" s="42" t="str">
        <f ca="1">IFERROR(__xludf.DUMMYFUNCTION("""COMPUTED_VALUE"""),"Guadalajara en Paz")</f>
        <v>Guadalajara en Paz</v>
      </c>
      <c r="E590" s="42" t="str">
        <f ca="1">IFERROR(__xludf.DUMMYFUNCTION("""COMPUTED_VALUE"""),"Asistencia Alimentaria y Nutrición")</f>
        <v>Asistencia Alimentaria y Nutrición</v>
      </c>
      <c r="F590" s="42" t="str">
        <f ca="1">IFERROR(__xludf.DUMMYFUNCTION("""COMPUTED_VALUE"""),"A5C1. Apoyos del Programa de Alimentación Escolar entregados en 2023")</f>
        <v>A5C1. Apoyos del Programa de Alimentación Escolar entregados en 2023</v>
      </c>
      <c r="G590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590" s="42" t="str">
        <f ca="1">IFERROR(__xludf.DUMMYFUNCTION("""COMPUTED_VALUE"""),"MUJ Julio")</f>
        <v>MUJ Julio</v>
      </c>
      <c r="I590" s="42" t="str">
        <f ca="1">IFERROR(__xludf.DUMMYFUNCTION("""COMPUTED_VALUE"""),"Julio")</f>
        <v>Julio</v>
      </c>
      <c r="J590" s="42" t="str">
        <f ca="1">IFERROR(__xludf.DUMMYFUNCTION("""COMPUTED_VALUE"""),"MUJ")</f>
        <v>MUJ</v>
      </c>
      <c r="K590" s="98">
        <f ca="1">IFERROR(__xludf.DUMMYFUNCTION("""COMPUTED_VALUE"""),0)</f>
        <v>0</v>
      </c>
      <c r="L590" s="42" t="str">
        <f ca="1">IFERROR(__xludf.DUMMYFUNCTION("""COMPUTED_VALUE"""),"TRIMESTRE 3")</f>
        <v>TRIMESTRE 3</v>
      </c>
      <c r="M590" s="42" t="str">
        <f ca="1">IFERROR(__xludf.DUMMYFUNCTION("""COMPUTED_VALUE"""),"MUJERES ADULTAS")</f>
        <v>MUJERES ADULTAS</v>
      </c>
    </row>
    <row r="591" spans="1:13">
      <c r="A591" s="42" t="str">
        <f ca="1">IFERROR(__xludf.DUMMYFUNCTION("""COMPUTED_VALUE"""),"2.1.1.5")</f>
        <v>2.1.1.5</v>
      </c>
      <c r="B591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91" s="42" t="str">
        <f ca="1">IFERROR(__xludf.DUMMYFUNCTION("""COMPUTED_VALUE"""),"3. Operación")</f>
        <v>3. Operación</v>
      </c>
      <c r="D591" s="42" t="str">
        <f ca="1">IFERROR(__xludf.DUMMYFUNCTION("""COMPUTED_VALUE"""),"Guadalajara en Paz")</f>
        <v>Guadalajara en Paz</v>
      </c>
      <c r="E591" s="42" t="str">
        <f ca="1">IFERROR(__xludf.DUMMYFUNCTION("""COMPUTED_VALUE"""),"Asistencia Alimentaria y Nutrición")</f>
        <v>Asistencia Alimentaria y Nutrición</v>
      </c>
      <c r="F591" s="42" t="str">
        <f ca="1">IFERROR(__xludf.DUMMYFUNCTION("""COMPUTED_VALUE"""),"A5C1. Apoyos del Programa de Alimentación Escolar entregados en 2023")</f>
        <v>A5C1. Apoyos del Programa de Alimentación Escolar entregados en 2023</v>
      </c>
      <c r="G591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591" s="42" t="str">
        <f ca="1">IFERROR(__xludf.DUMMYFUNCTION("""COMPUTED_VALUE"""),"HOM Julio")</f>
        <v>HOM Julio</v>
      </c>
      <c r="I591" s="42" t="str">
        <f ca="1">IFERROR(__xludf.DUMMYFUNCTION("""COMPUTED_VALUE"""),"Julio")</f>
        <v>Julio</v>
      </c>
      <c r="J591" s="42" t="str">
        <f ca="1">IFERROR(__xludf.DUMMYFUNCTION("""COMPUTED_VALUE"""),"HOM")</f>
        <v>HOM</v>
      </c>
      <c r="K591" s="98">
        <f ca="1">IFERROR(__xludf.DUMMYFUNCTION("""COMPUTED_VALUE"""),0)</f>
        <v>0</v>
      </c>
      <c r="L591" s="42" t="str">
        <f ca="1">IFERROR(__xludf.DUMMYFUNCTION("""COMPUTED_VALUE"""),"TRIMESTRE 3")</f>
        <v>TRIMESTRE 3</v>
      </c>
      <c r="M591" s="42" t="str">
        <f ca="1">IFERROR(__xludf.DUMMYFUNCTION("""COMPUTED_VALUE"""),"HOMBRES ADULTOS")</f>
        <v>HOMBRES ADULTOS</v>
      </c>
    </row>
    <row r="592" spans="1:13">
      <c r="A592" s="42" t="str">
        <f ca="1">IFERROR(__xludf.DUMMYFUNCTION("""COMPUTED_VALUE"""),"2.1.1.5")</f>
        <v>2.1.1.5</v>
      </c>
      <c r="B592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92" s="42" t="str">
        <f ca="1">IFERROR(__xludf.DUMMYFUNCTION("""COMPUTED_VALUE"""),"3. Operación")</f>
        <v>3. Operación</v>
      </c>
      <c r="D592" s="42" t="str">
        <f ca="1">IFERROR(__xludf.DUMMYFUNCTION("""COMPUTED_VALUE"""),"Guadalajara en Paz")</f>
        <v>Guadalajara en Paz</v>
      </c>
      <c r="E592" s="42" t="str">
        <f ca="1">IFERROR(__xludf.DUMMYFUNCTION("""COMPUTED_VALUE"""),"Asistencia Alimentaria y Nutrición")</f>
        <v>Asistencia Alimentaria y Nutrición</v>
      </c>
      <c r="F592" s="42" t="str">
        <f ca="1">IFERROR(__xludf.DUMMYFUNCTION("""COMPUTED_VALUE"""),"A5C1. Apoyos del Programa de Alimentación Escolar entregados en 2023")</f>
        <v>A5C1. Apoyos del Programa de Alimentación Escolar entregados en 2023</v>
      </c>
      <c r="G592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592" s="42" t="str">
        <f ca="1">IFERROR(__xludf.DUMMYFUNCTION("""COMPUTED_VALUE"""),"AMM Julio")</f>
        <v>AMM Julio</v>
      </c>
      <c r="I592" s="42" t="str">
        <f ca="1">IFERROR(__xludf.DUMMYFUNCTION("""COMPUTED_VALUE"""),"Julio")</f>
        <v>Julio</v>
      </c>
      <c r="J592" s="42" t="str">
        <f ca="1">IFERROR(__xludf.DUMMYFUNCTION("""COMPUTED_VALUE"""),"AMM")</f>
        <v>AMM</v>
      </c>
      <c r="K592" s="98">
        <f ca="1">IFERROR(__xludf.DUMMYFUNCTION("""COMPUTED_VALUE"""),0)</f>
        <v>0</v>
      </c>
      <c r="L592" s="42" t="str">
        <f ca="1">IFERROR(__xludf.DUMMYFUNCTION("""COMPUTED_VALUE"""),"TRIMESTRE 3")</f>
        <v>TRIMESTRE 3</v>
      </c>
      <c r="M592" s="42" t="str">
        <f ca="1">IFERROR(__xludf.DUMMYFUNCTION("""COMPUTED_VALUE"""),"ADULTA MAYOR MUJER")</f>
        <v>ADULTA MAYOR MUJER</v>
      </c>
    </row>
    <row r="593" spans="1:13">
      <c r="A593" s="42" t="str">
        <f ca="1">IFERROR(__xludf.DUMMYFUNCTION("""COMPUTED_VALUE"""),"2.1.1.5")</f>
        <v>2.1.1.5</v>
      </c>
      <c r="B593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93" s="42" t="str">
        <f ca="1">IFERROR(__xludf.DUMMYFUNCTION("""COMPUTED_VALUE"""),"3. Operación")</f>
        <v>3. Operación</v>
      </c>
      <c r="D593" s="42" t="str">
        <f ca="1">IFERROR(__xludf.DUMMYFUNCTION("""COMPUTED_VALUE"""),"Guadalajara en Paz")</f>
        <v>Guadalajara en Paz</v>
      </c>
      <c r="E593" s="42" t="str">
        <f ca="1">IFERROR(__xludf.DUMMYFUNCTION("""COMPUTED_VALUE"""),"Asistencia Alimentaria y Nutrición")</f>
        <v>Asistencia Alimentaria y Nutrición</v>
      </c>
      <c r="F593" s="42" t="str">
        <f ca="1">IFERROR(__xludf.DUMMYFUNCTION("""COMPUTED_VALUE"""),"A5C1. Apoyos del Programa de Alimentación Escolar entregados en 2023")</f>
        <v>A5C1. Apoyos del Programa de Alimentación Escolar entregados en 2023</v>
      </c>
      <c r="G593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593" s="42" t="str">
        <f ca="1">IFERROR(__xludf.DUMMYFUNCTION("""COMPUTED_VALUE"""),"AMH Julio")</f>
        <v>AMH Julio</v>
      </c>
      <c r="I593" s="42" t="str">
        <f ca="1">IFERROR(__xludf.DUMMYFUNCTION("""COMPUTED_VALUE"""),"Julio")</f>
        <v>Julio</v>
      </c>
      <c r="J593" s="42" t="str">
        <f ca="1">IFERROR(__xludf.DUMMYFUNCTION("""COMPUTED_VALUE"""),"AMH")</f>
        <v>AMH</v>
      </c>
      <c r="K593" s="98">
        <f ca="1">IFERROR(__xludf.DUMMYFUNCTION("""COMPUTED_VALUE"""),0)</f>
        <v>0</v>
      </c>
      <c r="L593" s="42" t="str">
        <f ca="1">IFERROR(__xludf.DUMMYFUNCTION("""COMPUTED_VALUE"""),"TRIMESTRE 3")</f>
        <v>TRIMESTRE 3</v>
      </c>
      <c r="M593" s="42" t="str">
        <f ca="1">IFERROR(__xludf.DUMMYFUNCTION("""COMPUTED_VALUE"""),"ADULTO MAYOR HOMBRE")</f>
        <v>ADULTO MAYOR HOMBRE</v>
      </c>
    </row>
    <row r="594" spans="1:13">
      <c r="A594" s="42" t="str">
        <f ca="1">IFERROR(__xludf.DUMMYFUNCTION("""COMPUTED_VALUE"""),"2.1.1.6")</f>
        <v>2.1.1.6</v>
      </c>
      <c r="B594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94" s="42" t="str">
        <f ca="1">IFERROR(__xludf.DUMMYFUNCTION("""COMPUTED_VALUE"""),"3. Operación")</f>
        <v>3. Operación</v>
      </c>
      <c r="D594" s="42" t="str">
        <f ca="1">IFERROR(__xludf.DUMMYFUNCTION("""COMPUTED_VALUE"""),"Guadalajara en Paz")</f>
        <v>Guadalajara en Paz</v>
      </c>
      <c r="E594" s="42" t="str">
        <f ca="1">IFERROR(__xludf.DUMMYFUNCTION("""COMPUTED_VALUE"""),"Asistencia Alimentaria y Nutrición")</f>
        <v>Asistencia Alimentaria y Nutrición</v>
      </c>
      <c r="F594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594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594" s="42" t="str">
        <f ca="1">IFERROR(__xludf.DUMMYFUNCTION("""COMPUTED_VALUE"""),"NAS Julio")</f>
        <v>NAS Julio</v>
      </c>
      <c r="I594" s="42" t="str">
        <f ca="1">IFERROR(__xludf.DUMMYFUNCTION("""COMPUTED_VALUE"""),"Julio")</f>
        <v>Julio</v>
      </c>
      <c r="J594" s="42" t="str">
        <f ca="1">IFERROR(__xludf.DUMMYFUNCTION("""COMPUTED_VALUE"""),"NAS")</f>
        <v>NAS</v>
      </c>
      <c r="K594" s="98">
        <f ca="1">IFERROR(__xludf.DUMMYFUNCTION("""COMPUTED_VALUE"""),133)</f>
        <v>133</v>
      </c>
      <c r="L594" s="42" t="str">
        <f ca="1">IFERROR(__xludf.DUMMYFUNCTION("""COMPUTED_VALUE"""),"TRIMESTRE 3")</f>
        <v>TRIMESTRE 3</v>
      </c>
      <c r="M594" s="42" t="str">
        <f ca="1">IFERROR(__xludf.DUMMYFUNCTION("""COMPUTED_VALUE"""),"NIÑAS")</f>
        <v>NIÑAS</v>
      </c>
    </row>
    <row r="595" spans="1:13">
      <c r="A595" s="42" t="str">
        <f ca="1">IFERROR(__xludf.DUMMYFUNCTION("""COMPUTED_VALUE"""),"2.1.1.6")</f>
        <v>2.1.1.6</v>
      </c>
      <c r="B595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95" s="42" t="str">
        <f ca="1">IFERROR(__xludf.DUMMYFUNCTION("""COMPUTED_VALUE"""),"3. Operación")</f>
        <v>3. Operación</v>
      </c>
      <c r="D595" s="42" t="str">
        <f ca="1">IFERROR(__xludf.DUMMYFUNCTION("""COMPUTED_VALUE"""),"Guadalajara en Paz")</f>
        <v>Guadalajara en Paz</v>
      </c>
      <c r="E595" s="42" t="str">
        <f ca="1">IFERROR(__xludf.DUMMYFUNCTION("""COMPUTED_VALUE"""),"Asistencia Alimentaria y Nutrición")</f>
        <v>Asistencia Alimentaria y Nutrición</v>
      </c>
      <c r="F595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595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595" s="42" t="str">
        <f ca="1">IFERROR(__xludf.DUMMYFUNCTION("""COMPUTED_VALUE"""),"NOS Julio")</f>
        <v>NOS Julio</v>
      </c>
      <c r="I595" s="42" t="str">
        <f ca="1">IFERROR(__xludf.DUMMYFUNCTION("""COMPUTED_VALUE"""),"Julio")</f>
        <v>Julio</v>
      </c>
      <c r="J595" s="42" t="str">
        <f ca="1">IFERROR(__xludf.DUMMYFUNCTION("""COMPUTED_VALUE"""),"NOS")</f>
        <v>NOS</v>
      </c>
      <c r="K595" s="98">
        <f ca="1">IFERROR(__xludf.DUMMYFUNCTION("""COMPUTED_VALUE"""),155)</f>
        <v>155</v>
      </c>
      <c r="L595" s="42" t="str">
        <f ca="1">IFERROR(__xludf.DUMMYFUNCTION("""COMPUTED_VALUE"""),"TRIMESTRE 3")</f>
        <v>TRIMESTRE 3</v>
      </c>
      <c r="M595" s="42" t="str">
        <f ca="1">IFERROR(__xludf.DUMMYFUNCTION("""COMPUTED_VALUE"""),"NIÑOS")</f>
        <v>NIÑOS</v>
      </c>
    </row>
    <row r="596" spans="1:13">
      <c r="A596" s="42" t="str">
        <f ca="1">IFERROR(__xludf.DUMMYFUNCTION("""COMPUTED_VALUE"""),"2.1.1.6")</f>
        <v>2.1.1.6</v>
      </c>
      <c r="B596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96" s="42" t="str">
        <f ca="1">IFERROR(__xludf.DUMMYFUNCTION("""COMPUTED_VALUE"""),"3. Operación")</f>
        <v>3. Operación</v>
      </c>
      <c r="D596" s="42" t="str">
        <f ca="1">IFERROR(__xludf.DUMMYFUNCTION("""COMPUTED_VALUE"""),"Guadalajara en Paz")</f>
        <v>Guadalajara en Paz</v>
      </c>
      <c r="E596" s="42" t="str">
        <f ca="1">IFERROR(__xludf.DUMMYFUNCTION("""COMPUTED_VALUE"""),"Asistencia Alimentaria y Nutrición")</f>
        <v>Asistencia Alimentaria y Nutrición</v>
      </c>
      <c r="F596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596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596" s="42" t="str">
        <f ca="1">IFERROR(__xludf.DUMMYFUNCTION("""COMPUTED_VALUE"""),"AM JULIO")</f>
        <v>AM JULIO</v>
      </c>
      <c r="I596" s="42" t="str">
        <f ca="1">IFERROR(__xludf.DUMMYFUNCTION("""COMPUTED_VALUE"""),"Julio")</f>
        <v>Julio</v>
      </c>
      <c r="J596" s="42" t="str">
        <f ca="1">IFERROR(__xludf.DUMMYFUNCTION("""COMPUTED_VALUE"""),"AM")</f>
        <v>AM</v>
      </c>
      <c r="K596" s="98">
        <f ca="1">IFERROR(__xludf.DUMMYFUNCTION("""COMPUTED_VALUE"""),7)</f>
        <v>7</v>
      </c>
      <c r="L596" s="42" t="str">
        <f ca="1">IFERROR(__xludf.DUMMYFUNCTION("""COMPUTED_VALUE"""),"TRIMESTRE 3")</f>
        <v>TRIMESTRE 3</v>
      </c>
      <c r="M596" s="42" t="str">
        <f ca="1">IFERROR(__xludf.DUMMYFUNCTION("""COMPUTED_VALUE"""),"ADOLESCENTES MUJERES")</f>
        <v>ADOLESCENTES MUJERES</v>
      </c>
    </row>
    <row r="597" spans="1:13">
      <c r="A597" s="42" t="str">
        <f ca="1">IFERROR(__xludf.DUMMYFUNCTION("""COMPUTED_VALUE"""),"2.1.1.6")</f>
        <v>2.1.1.6</v>
      </c>
      <c r="B597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97" s="42" t="str">
        <f ca="1">IFERROR(__xludf.DUMMYFUNCTION("""COMPUTED_VALUE"""),"3. Operación")</f>
        <v>3. Operación</v>
      </c>
      <c r="D597" s="42" t="str">
        <f ca="1">IFERROR(__xludf.DUMMYFUNCTION("""COMPUTED_VALUE"""),"Guadalajara en Paz")</f>
        <v>Guadalajara en Paz</v>
      </c>
      <c r="E597" s="42" t="str">
        <f ca="1">IFERROR(__xludf.DUMMYFUNCTION("""COMPUTED_VALUE"""),"Asistencia Alimentaria y Nutrición")</f>
        <v>Asistencia Alimentaria y Nutrición</v>
      </c>
      <c r="F597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597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597" s="42" t="str">
        <f ca="1">IFERROR(__xludf.DUMMYFUNCTION("""COMPUTED_VALUE"""),"AH JULIO")</f>
        <v>AH JULIO</v>
      </c>
      <c r="I597" s="42" t="str">
        <f ca="1">IFERROR(__xludf.DUMMYFUNCTION("""COMPUTED_VALUE"""),"Julio")</f>
        <v>Julio</v>
      </c>
      <c r="J597" s="42" t="str">
        <f ca="1">IFERROR(__xludf.DUMMYFUNCTION("""COMPUTED_VALUE"""),"AH")</f>
        <v>AH</v>
      </c>
      <c r="K597" s="98">
        <f ca="1">IFERROR(__xludf.DUMMYFUNCTION("""COMPUTED_VALUE"""),11)</f>
        <v>11</v>
      </c>
      <c r="L597" s="42" t="str">
        <f ca="1">IFERROR(__xludf.DUMMYFUNCTION("""COMPUTED_VALUE"""),"TRIMESTRE 3")</f>
        <v>TRIMESTRE 3</v>
      </c>
      <c r="M597" s="42" t="str">
        <f ca="1">IFERROR(__xludf.DUMMYFUNCTION("""COMPUTED_VALUE"""),"ADOLESCENTES HOMBRES")</f>
        <v>ADOLESCENTES HOMBRES</v>
      </c>
    </row>
    <row r="598" spans="1:13">
      <c r="A598" s="42" t="str">
        <f ca="1">IFERROR(__xludf.DUMMYFUNCTION("""COMPUTED_VALUE"""),"2.1.1.6")</f>
        <v>2.1.1.6</v>
      </c>
      <c r="B598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98" s="42" t="str">
        <f ca="1">IFERROR(__xludf.DUMMYFUNCTION("""COMPUTED_VALUE"""),"3. Operación")</f>
        <v>3. Operación</v>
      </c>
      <c r="D598" s="42" t="str">
        <f ca="1">IFERROR(__xludf.DUMMYFUNCTION("""COMPUTED_VALUE"""),"Guadalajara en Paz")</f>
        <v>Guadalajara en Paz</v>
      </c>
      <c r="E598" s="42" t="str">
        <f ca="1">IFERROR(__xludf.DUMMYFUNCTION("""COMPUTED_VALUE"""),"Asistencia Alimentaria y Nutrición")</f>
        <v>Asistencia Alimentaria y Nutrición</v>
      </c>
      <c r="F598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598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598" s="42" t="str">
        <f ca="1">IFERROR(__xludf.DUMMYFUNCTION("""COMPUTED_VALUE"""),"MUJ Julio")</f>
        <v>MUJ Julio</v>
      </c>
      <c r="I598" s="42" t="str">
        <f ca="1">IFERROR(__xludf.DUMMYFUNCTION("""COMPUTED_VALUE"""),"Julio")</f>
        <v>Julio</v>
      </c>
      <c r="J598" s="42" t="str">
        <f ca="1">IFERROR(__xludf.DUMMYFUNCTION("""COMPUTED_VALUE"""),"MUJ")</f>
        <v>MUJ</v>
      </c>
      <c r="K598" s="98">
        <f ca="1">IFERROR(__xludf.DUMMYFUNCTION("""COMPUTED_VALUE"""),238)</f>
        <v>238</v>
      </c>
      <c r="L598" s="42" t="str">
        <f ca="1">IFERROR(__xludf.DUMMYFUNCTION("""COMPUTED_VALUE"""),"TRIMESTRE 3")</f>
        <v>TRIMESTRE 3</v>
      </c>
      <c r="M598" s="42" t="str">
        <f ca="1">IFERROR(__xludf.DUMMYFUNCTION("""COMPUTED_VALUE"""),"MUJERES ADULTAS")</f>
        <v>MUJERES ADULTAS</v>
      </c>
    </row>
    <row r="599" spans="1:13">
      <c r="A599" s="42" t="str">
        <f ca="1">IFERROR(__xludf.DUMMYFUNCTION("""COMPUTED_VALUE"""),"2.1.1.6")</f>
        <v>2.1.1.6</v>
      </c>
      <c r="B599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599" s="42" t="str">
        <f ca="1">IFERROR(__xludf.DUMMYFUNCTION("""COMPUTED_VALUE"""),"3. Operación")</f>
        <v>3. Operación</v>
      </c>
      <c r="D599" s="42" t="str">
        <f ca="1">IFERROR(__xludf.DUMMYFUNCTION("""COMPUTED_VALUE"""),"Guadalajara en Paz")</f>
        <v>Guadalajara en Paz</v>
      </c>
      <c r="E599" s="42" t="str">
        <f ca="1">IFERROR(__xludf.DUMMYFUNCTION("""COMPUTED_VALUE"""),"Asistencia Alimentaria y Nutrición")</f>
        <v>Asistencia Alimentaria y Nutrición</v>
      </c>
      <c r="F599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599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599" s="42" t="str">
        <f ca="1">IFERROR(__xludf.DUMMYFUNCTION("""COMPUTED_VALUE"""),"HOM Julio")</f>
        <v>HOM Julio</v>
      </c>
      <c r="I599" s="42" t="str">
        <f ca="1">IFERROR(__xludf.DUMMYFUNCTION("""COMPUTED_VALUE"""),"Julio")</f>
        <v>Julio</v>
      </c>
      <c r="J599" s="42" t="str">
        <f ca="1">IFERROR(__xludf.DUMMYFUNCTION("""COMPUTED_VALUE"""),"HOM")</f>
        <v>HOM</v>
      </c>
      <c r="K599" s="98">
        <f ca="1">IFERROR(__xludf.DUMMYFUNCTION("""COMPUTED_VALUE"""),91)</f>
        <v>91</v>
      </c>
      <c r="L599" s="42" t="str">
        <f ca="1">IFERROR(__xludf.DUMMYFUNCTION("""COMPUTED_VALUE"""),"TRIMESTRE 3")</f>
        <v>TRIMESTRE 3</v>
      </c>
      <c r="M599" s="42" t="str">
        <f ca="1">IFERROR(__xludf.DUMMYFUNCTION("""COMPUTED_VALUE"""),"HOMBRES ADULTOS")</f>
        <v>HOMBRES ADULTOS</v>
      </c>
    </row>
    <row r="600" spans="1:13">
      <c r="A600" s="42" t="str">
        <f ca="1">IFERROR(__xludf.DUMMYFUNCTION("""COMPUTED_VALUE"""),"2.1.1.6")</f>
        <v>2.1.1.6</v>
      </c>
      <c r="B600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00" s="42" t="str">
        <f ca="1">IFERROR(__xludf.DUMMYFUNCTION("""COMPUTED_VALUE"""),"3. Operación")</f>
        <v>3. Operación</v>
      </c>
      <c r="D600" s="42" t="str">
        <f ca="1">IFERROR(__xludf.DUMMYFUNCTION("""COMPUTED_VALUE"""),"Guadalajara en Paz")</f>
        <v>Guadalajara en Paz</v>
      </c>
      <c r="E600" s="42" t="str">
        <f ca="1">IFERROR(__xludf.DUMMYFUNCTION("""COMPUTED_VALUE"""),"Asistencia Alimentaria y Nutrición")</f>
        <v>Asistencia Alimentaria y Nutrición</v>
      </c>
      <c r="F600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600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600" s="42" t="str">
        <f ca="1">IFERROR(__xludf.DUMMYFUNCTION("""COMPUTED_VALUE"""),"AMM Julio")</f>
        <v>AMM Julio</v>
      </c>
      <c r="I600" s="42" t="str">
        <f ca="1">IFERROR(__xludf.DUMMYFUNCTION("""COMPUTED_VALUE"""),"Julio")</f>
        <v>Julio</v>
      </c>
      <c r="J600" s="42" t="str">
        <f ca="1">IFERROR(__xludf.DUMMYFUNCTION("""COMPUTED_VALUE"""),"AMM")</f>
        <v>AMM</v>
      </c>
      <c r="K600" s="98">
        <f ca="1">IFERROR(__xludf.DUMMYFUNCTION("""COMPUTED_VALUE"""),1329)</f>
        <v>1329</v>
      </c>
      <c r="L600" s="42" t="str">
        <f ca="1">IFERROR(__xludf.DUMMYFUNCTION("""COMPUTED_VALUE"""),"TRIMESTRE 3")</f>
        <v>TRIMESTRE 3</v>
      </c>
      <c r="M600" s="42" t="str">
        <f ca="1">IFERROR(__xludf.DUMMYFUNCTION("""COMPUTED_VALUE"""),"ADULTA MAYOR MUJER")</f>
        <v>ADULTA MAYOR MUJER</v>
      </c>
    </row>
    <row r="601" spans="1:13">
      <c r="A601" s="42" t="str">
        <f ca="1">IFERROR(__xludf.DUMMYFUNCTION("""COMPUTED_VALUE"""),"2.1.1.6")</f>
        <v>2.1.1.6</v>
      </c>
      <c r="B601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01" s="42" t="str">
        <f ca="1">IFERROR(__xludf.DUMMYFUNCTION("""COMPUTED_VALUE"""),"3. Operación")</f>
        <v>3. Operación</v>
      </c>
      <c r="D601" s="42" t="str">
        <f ca="1">IFERROR(__xludf.DUMMYFUNCTION("""COMPUTED_VALUE"""),"Guadalajara en Paz")</f>
        <v>Guadalajara en Paz</v>
      </c>
      <c r="E601" s="42" t="str">
        <f ca="1">IFERROR(__xludf.DUMMYFUNCTION("""COMPUTED_VALUE"""),"Asistencia Alimentaria y Nutrición")</f>
        <v>Asistencia Alimentaria y Nutrición</v>
      </c>
      <c r="F601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601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601" s="42" t="str">
        <f ca="1">IFERROR(__xludf.DUMMYFUNCTION("""COMPUTED_VALUE"""),"AMH Julio")</f>
        <v>AMH Julio</v>
      </c>
      <c r="I601" s="42" t="str">
        <f ca="1">IFERROR(__xludf.DUMMYFUNCTION("""COMPUTED_VALUE"""),"Julio")</f>
        <v>Julio</v>
      </c>
      <c r="J601" s="42" t="str">
        <f ca="1">IFERROR(__xludf.DUMMYFUNCTION("""COMPUTED_VALUE"""),"AMH")</f>
        <v>AMH</v>
      </c>
      <c r="K601" s="98">
        <f ca="1">IFERROR(__xludf.DUMMYFUNCTION("""COMPUTED_VALUE"""),358)</f>
        <v>358</v>
      </c>
      <c r="L601" s="42" t="str">
        <f ca="1">IFERROR(__xludf.DUMMYFUNCTION("""COMPUTED_VALUE"""),"TRIMESTRE 3")</f>
        <v>TRIMESTRE 3</v>
      </c>
      <c r="M601" s="42" t="str">
        <f ca="1">IFERROR(__xludf.DUMMYFUNCTION("""COMPUTED_VALUE"""),"ADULTO MAYOR HOMBRE")</f>
        <v>ADULTO MAYOR HOMBRE</v>
      </c>
    </row>
    <row r="602" spans="1:13">
      <c r="A602" s="42" t="str">
        <f ca="1">IFERROR(__xludf.DUMMYFUNCTION("""COMPUTED_VALUE"""),"2.1.1.7")</f>
        <v>2.1.1.7</v>
      </c>
      <c r="B602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02" s="42" t="str">
        <f ca="1">IFERROR(__xludf.DUMMYFUNCTION("""COMPUTED_VALUE"""),"3. Operación")</f>
        <v>3. Operación</v>
      </c>
      <c r="D602" s="42" t="str">
        <f ca="1">IFERROR(__xludf.DUMMYFUNCTION("""COMPUTED_VALUE"""),"Guadalajara en Paz")</f>
        <v>Guadalajara en Paz</v>
      </c>
      <c r="E602" s="42" t="str">
        <f ca="1">IFERROR(__xludf.DUMMYFUNCTION("""COMPUTED_VALUE"""),"Asistencia Alimentaria y Nutrición")</f>
        <v>Asistencia Alimentaria y Nutrición</v>
      </c>
      <c r="F602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602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602" s="42" t="str">
        <f ca="1">IFERROR(__xludf.DUMMYFUNCTION("""COMPUTED_VALUE"""),"NAS Julio")</f>
        <v>NAS Julio</v>
      </c>
      <c r="I602" s="42" t="str">
        <f ca="1">IFERROR(__xludf.DUMMYFUNCTION("""COMPUTED_VALUE"""),"Julio")</f>
        <v>Julio</v>
      </c>
      <c r="J602" s="42" t="str">
        <f ca="1">IFERROR(__xludf.DUMMYFUNCTION("""COMPUTED_VALUE"""),"NAS")</f>
        <v>NAS</v>
      </c>
      <c r="K602" s="98">
        <f ca="1">IFERROR(__xludf.DUMMYFUNCTION("""COMPUTED_VALUE"""),65)</f>
        <v>65</v>
      </c>
      <c r="L602" s="42" t="str">
        <f ca="1">IFERROR(__xludf.DUMMYFUNCTION("""COMPUTED_VALUE"""),"TRIMESTRE 3")</f>
        <v>TRIMESTRE 3</v>
      </c>
      <c r="M602" s="42" t="str">
        <f ca="1">IFERROR(__xludf.DUMMYFUNCTION("""COMPUTED_VALUE"""),"NIÑAS")</f>
        <v>NIÑAS</v>
      </c>
    </row>
    <row r="603" spans="1:13">
      <c r="A603" s="42" t="str">
        <f ca="1">IFERROR(__xludf.DUMMYFUNCTION("""COMPUTED_VALUE"""),"2.1.1.7")</f>
        <v>2.1.1.7</v>
      </c>
      <c r="B603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03" s="42" t="str">
        <f ca="1">IFERROR(__xludf.DUMMYFUNCTION("""COMPUTED_VALUE"""),"3. Operación")</f>
        <v>3. Operación</v>
      </c>
      <c r="D603" s="42" t="str">
        <f ca="1">IFERROR(__xludf.DUMMYFUNCTION("""COMPUTED_VALUE"""),"Guadalajara en Paz")</f>
        <v>Guadalajara en Paz</v>
      </c>
      <c r="E603" s="42" t="str">
        <f ca="1">IFERROR(__xludf.DUMMYFUNCTION("""COMPUTED_VALUE"""),"Asistencia Alimentaria y Nutrición")</f>
        <v>Asistencia Alimentaria y Nutrición</v>
      </c>
      <c r="F603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603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603" s="42" t="str">
        <f ca="1">IFERROR(__xludf.DUMMYFUNCTION("""COMPUTED_VALUE"""),"NOS Julio")</f>
        <v>NOS Julio</v>
      </c>
      <c r="I603" s="42" t="str">
        <f ca="1">IFERROR(__xludf.DUMMYFUNCTION("""COMPUTED_VALUE"""),"Julio")</f>
        <v>Julio</v>
      </c>
      <c r="J603" s="42" t="str">
        <f ca="1">IFERROR(__xludf.DUMMYFUNCTION("""COMPUTED_VALUE"""),"NOS")</f>
        <v>NOS</v>
      </c>
      <c r="K603" s="98">
        <f ca="1">IFERROR(__xludf.DUMMYFUNCTION("""COMPUTED_VALUE"""),60)</f>
        <v>60</v>
      </c>
      <c r="L603" s="42" t="str">
        <f ca="1">IFERROR(__xludf.DUMMYFUNCTION("""COMPUTED_VALUE"""),"TRIMESTRE 3")</f>
        <v>TRIMESTRE 3</v>
      </c>
      <c r="M603" s="42" t="str">
        <f ca="1">IFERROR(__xludf.DUMMYFUNCTION("""COMPUTED_VALUE"""),"NIÑOS")</f>
        <v>NIÑOS</v>
      </c>
    </row>
    <row r="604" spans="1:13">
      <c r="A604" s="42" t="str">
        <f ca="1">IFERROR(__xludf.DUMMYFUNCTION("""COMPUTED_VALUE"""),"2.1.1.7")</f>
        <v>2.1.1.7</v>
      </c>
      <c r="B604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04" s="42" t="str">
        <f ca="1">IFERROR(__xludf.DUMMYFUNCTION("""COMPUTED_VALUE"""),"3. Operación")</f>
        <v>3. Operación</v>
      </c>
      <c r="D604" s="42" t="str">
        <f ca="1">IFERROR(__xludf.DUMMYFUNCTION("""COMPUTED_VALUE"""),"Guadalajara en Paz")</f>
        <v>Guadalajara en Paz</v>
      </c>
      <c r="E604" s="42" t="str">
        <f ca="1">IFERROR(__xludf.DUMMYFUNCTION("""COMPUTED_VALUE"""),"Asistencia Alimentaria y Nutrición")</f>
        <v>Asistencia Alimentaria y Nutrición</v>
      </c>
      <c r="F604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604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604" s="42" t="str">
        <f ca="1">IFERROR(__xludf.DUMMYFUNCTION("""COMPUTED_VALUE"""),"AM JULIO")</f>
        <v>AM JULIO</v>
      </c>
      <c r="I604" s="42" t="str">
        <f ca="1">IFERROR(__xludf.DUMMYFUNCTION("""COMPUTED_VALUE"""),"Julio")</f>
        <v>Julio</v>
      </c>
      <c r="J604" s="42" t="str">
        <f ca="1">IFERROR(__xludf.DUMMYFUNCTION("""COMPUTED_VALUE"""),"AM")</f>
        <v>AM</v>
      </c>
      <c r="K604" s="98">
        <f ca="1">IFERROR(__xludf.DUMMYFUNCTION("""COMPUTED_VALUE"""),0)</f>
        <v>0</v>
      </c>
      <c r="L604" s="42" t="str">
        <f ca="1">IFERROR(__xludf.DUMMYFUNCTION("""COMPUTED_VALUE"""),"TRIMESTRE 3")</f>
        <v>TRIMESTRE 3</v>
      </c>
      <c r="M604" s="42" t="str">
        <f ca="1">IFERROR(__xludf.DUMMYFUNCTION("""COMPUTED_VALUE"""),"ADOLESCENTES MUJERES")</f>
        <v>ADOLESCENTES MUJERES</v>
      </c>
    </row>
    <row r="605" spans="1:13">
      <c r="A605" s="42" t="str">
        <f ca="1">IFERROR(__xludf.DUMMYFUNCTION("""COMPUTED_VALUE"""),"2.1.1.7")</f>
        <v>2.1.1.7</v>
      </c>
      <c r="B605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05" s="42" t="str">
        <f ca="1">IFERROR(__xludf.DUMMYFUNCTION("""COMPUTED_VALUE"""),"3. Operación")</f>
        <v>3. Operación</v>
      </c>
      <c r="D605" s="42" t="str">
        <f ca="1">IFERROR(__xludf.DUMMYFUNCTION("""COMPUTED_VALUE"""),"Guadalajara en Paz")</f>
        <v>Guadalajara en Paz</v>
      </c>
      <c r="E605" s="42" t="str">
        <f ca="1">IFERROR(__xludf.DUMMYFUNCTION("""COMPUTED_VALUE"""),"Asistencia Alimentaria y Nutrición")</f>
        <v>Asistencia Alimentaria y Nutrición</v>
      </c>
      <c r="F605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605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605" s="42" t="str">
        <f ca="1">IFERROR(__xludf.DUMMYFUNCTION("""COMPUTED_VALUE"""),"AH JULIO")</f>
        <v>AH JULIO</v>
      </c>
      <c r="I605" s="42" t="str">
        <f ca="1">IFERROR(__xludf.DUMMYFUNCTION("""COMPUTED_VALUE"""),"Julio")</f>
        <v>Julio</v>
      </c>
      <c r="J605" s="42" t="str">
        <f ca="1">IFERROR(__xludf.DUMMYFUNCTION("""COMPUTED_VALUE"""),"AH")</f>
        <v>AH</v>
      </c>
      <c r="K605" s="98">
        <f ca="1">IFERROR(__xludf.DUMMYFUNCTION("""COMPUTED_VALUE"""),0)</f>
        <v>0</v>
      </c>
      <c r="L605" s="42" t="str">
        <f ca="1">IFERROR(__xludf.DUMMYFUNCTION("""COMPUTED_VALUE"""),"TRIMESTRE 3")</f>
        <v>TRIMESTRE 3</v>
      </c>
      <c r="M605" s="42" t="str">
        <f ca="1">IFERROR(__xludf.DUMMYFUNCTION("""COMPUTED_VALUE"""),"ADOLESCENTES HOMBRES")</f>
        <v>ADOLESCENTES HOMBRES</v>
      </c>
    </row>
    <row r="606" spans="1:13">
      <c r="A606" s="42" t="str">
        <f ca="1">IFERROR(__xludf.DUMMYFUNCTION("""COMPUTED_VALUE"""),"2.1.1.7")</f>
        <v>2.1.1.7</v>
      </c>
      <c r="B606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06" s="42" t="str">
        <f ca="1">IFERROR(__xludf.DUMMYFUNCTION("""COMPUTED_VALUE"""),"3. Operación")</f>
        <v>3. Operación</v>
      </c>
      <c r="D606" s="42" t="str">
        <f ca="1">IFERROR(__xludf.DUMMYFUNCTION("""COMPUTED_VALUE"""),"Guadalajara en Paz")</f>
        <v>Guadalajara en Paz</v>
      </c>
      <c r="E606" s="42" t="str">
        <f ca="1">IFERROR(__xludf.DUMMYFUNCTION("""COMPUTED_VALUE"""),"Asistencia Alimentaria y Nutrición")</f>
        <v>Asistencia Alimentaria y Nutrición</v>
      </c>
      <c r="F606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606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606" s="42" t="str">
        <f ca="1">IFERROR(__xludf.DUMMYFUNCTION("""COMPUTED_VALUE"""),"MUJ Julio")</f>
        <v>MUJ Julio</v>
      </c>
      <c r="I606" s="42" t="str">
        <f ca="1">IFERROR(__xludf.DUMMYFUNCTION("""COMPUTED_VALUE"""),"Julio")</f>
        <v>Julio</v>
      </c>
      <c r="J606" s="42" t="str">
        <f ca="1">IFERROR(__xludf.DUMMYFUNCTION("""COMPUTED_VALUE"""),"MUJ")</f>
        <v>MUJ</v>
      </c>
      <c r="K606" s="98">
        <f ca="1">IFERROR(__xludf.DUMMYFUNCTION("""COMPUTED_VALUE"""),210)</f>
        <v>210</v>
      </c>
      <c r="L606" s="42" t="str">
        <f ca="1">IFERROR(__xludf.DUMMYFUNCTION("""COMPUTED_VALUE"""),"TRIMESTRE 3")</f>
        <v>TRIMESTRE 3</v>
      </c>
      <c r="M606" s="42" t="str">
        <f ca="1">IFERROR(__xludf.DUMMYFUNCTION("""COMPUTED_VALUE"""),"MUJERES ADULTAS")</f>
        <v>MUJERES ADULTAS</v>
      </c>
    </row>
    <row r="607" spans="1:13">
      <c r="A607" s="42" t="str">
        <f ca="1">IFERROR(__xludf.DUMMYFUNCTION("""COMPUTED_VALUE"""),"2.1.1.7")</f>
        <v>2.1.1.7</v>
      </c>
      <c r="B607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07" s="42" t="str">
        <f ca="1">IFERROR(__xludf.DUMMYFUNCTION("""COMPUTED_VALUE"""),"3. Operación")</f>
        <v>3. Operación</v>
      </c>
      <c r="D607" s="42" t="str">
        <f ca="1">IFERROR(__xludf.DUMMYFUNCTION("""COMPUTED_VALUE"""),"Guadalajara en Paz")</f>
        <v>Guadalajara en Paz</v>
      </c>
      <c r="E607" s="42" t="str">
        <f ca="1">IFERROR(__xludf.DUMMYFUNCTION("""COMPUTED_VALUE"""),"Asistencia Alimentaria y Nutrición")</f>
        <v>Asistencia Alimentaria y Nutrición</v>
      </c>
      <c r="F607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607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607" s="42" t="str">
        <f ca="1">IFERROR(__xludf.DUMMYFUNCTION("""COMPUTED_VALUE"""),"HOM Julio")</f>
        <v>HOM Julio</v>
      </c>
      <c r="I607" s="42" t="str">
        <f ca="1">IFERROR(__xludf.DUMMYFUNCTION("""COMPUTED_VALUE"""),"Julio")</f>
        <v>Julio</v>
      </c>
      <c r="J607" s="42" t="str">
        <f ca="1">IFERROR(__xludf.DUMMYFUNCTION("""COMPUTED_VALUE"""),"HOM")</f>
        <v>HOM</v>
      </c>
      <c r="K607" s="98">
        <f ca="1">IFERROR(__xludf.DUMMYFUNCTION("""COMPUTED_VALUE"""),0)</f>
        <v>0</v>
      </c>
      <c r="L607" s="42" t="str">
        <f ca="1">IFERROR(__xludf.DUMMYFUNCTION("""COMPUTED_VALUE"""),"TRIMESTRE 3")</f>
        <v>TRIMESTRE 3</v>
      </c>
      <c r="M607" s="42" t="str">
        <f ca="1">IFERROR(__xludf.DUMMYFUNCTION("""COMPUTED_VALUE"""),"HOMBRES ADULTOS")</f>
        <v>HOMBRES ADULTOS</v>
      </c>
    </row>
    <row r="608" spans="1:13">
      <c r="A608" s="42" t="str">
        <f ca="1">IFERROR(__xludf.DUMMYFUNCTION("""COMPUTED_VALUE"""),"2.1.1.7")</f>
        <v>2.1.1.7</v>
      </c>
      <c r="B608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08" s="42" t="str">
        <f ca="1">IFERROR(__xludf.DUMMYFUNCTION("""COMPUTED_VALUE"""),"3. Operación")</f>
        <v>3. Operación</v>
      </c>
      <c r="D608" s="42" t="str">
        <f ca="1">IFERROR(__xludf.DUMMYFUNCTION("""COMPUTED_VALUE"""),"Guadalajara en Paz")</f>
        <v>Guadalajara en Paz</v>
      </c>
      <c r="E608" s="42" t="str">
        <f ca="1">IFERROR(__xludf.DUMMYFUNCTION("""COMPUTED_VALUE"""),"Asistencia Alimentaria y Nutrición")</f>
        <v>Asistencia Alimentaria y Nutrición</v>
      </c>
      <c r="F608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608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608" s="42" t="str">
        <f ca="1">IFERROR(__xludf.DUMMYFUNCTION("""COMPUTED_VALUE"""),"AMM Julio")</f>
        <v>AMM Julio</v>
      </c>
      <c r="I608" s="42" t="str">
        <f ca="1">IFERROR(__xludf.DUMMYFUNCTION("""COMPUTED_VALUE"""),"Julio")</f>
        <v>Julio</v>
      </c>
      <c r="J608" s="42" t="str">
        <f ca="1">IFERROR(__xludf.DUMMYFUNCTION("""COMPUTED_VALUE"""),"AMM")</f>
        <v>AMM</v>
      </c>
      <c r="K608" s="98">
        <f ca="1">IFERROR(__xludf.DUMMYFUNCTION("""COMPUTED_VALUE"""),0)</f>
        <v>0</v>
      </c>
      <c r="L608" s="42" t="str">
        <f ca="1">IFERROR(__xludf.DUMMYFUNCTION("""COMPUTED_VALUE"""),"TRIMESTRE 3")</f>
        <v>TRIMESTRE 3</v>
      </c>
      <c r="M608" s="42" t="str">
        <f ca="1">IFERROR(__xludf.DUMMYFUNCTION("""COMPUTED_VALUE"""),"ADULTA MAYOR MUJER")</f>
        <v>ADULTA MAYOR MUJER</v>
      </c>
    </row>
    <row r="609" spans="1:13">
      <c r="A609" s="42" t="str">
        <f ca="1">IFERROR(__xludf.DUMMYFUNCTION("""COMPUTED_VALUE"""),"2.1.1.7")</f>
        <v>2.1.1.7</v>
      </c>
      <c r="B609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09" s="42" t="str">
        <f ca="1">IFERROR(__xludf.DUMMYFUNCTION("""COMPUTED_VALUE"""),"3. Operación")</f>
        <v>3. Operación</v>
      </c>
      <c r="D609" s="42" t="str">
        <f ca="1">IFERROR(__xludf.DUMMYFUNCTION("""COMPUTED_VALUE"""),"Guadalajara en Paz")</f>
        <v>Guadalajara en Paz</v>
      </c>
      <c r="E609" s="42" t="str">
        <f ca="1">IFERROR(__xludf.DUMMYFUNCTION("""COMPUTED_VALUE"""),"Asistencia Alimentaria y Nutrición")</f>
        <v>Asistencia Alimentaria y Nutrición</v>
      </c>
      <c r="F609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609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609" s="42" t="str">
        <f ca="1">IFERROR(__xludf.DUMMYFUNCTION("""COMPUTED_VALUE"""),"AMH Julio")</f>
        <v>AMH Julio</v>
      </c>
      <c r="I609" s="42" t="str">
        <f ca="1">IFERROR(__xludf.DUMMYFUNCTION("""COMPUTED_VALUE"""),"Julio")</f>
        <v>Julio</v>
      </c>
      <c r="J609" s="42" t="str">
        <f ca="1">IFERROR(__xludf.DUMMYFUNCTION("""COMPUTED_VALUE"""),"AMH")</f>
        <v>AMH</v>
      </c>
      <c r="K609" s="98">
        <f ca="1">IFERROR(__xludf.DUMMYFUNCTION("""COMPUTED_VALUE"""),0)</f>
        <v>0</v>
      </c>
      <c r="L609" s="42" t="str">
        <f ca="1">IFERROR(__xludf.DUMMYFUNCTION("""COMPUTED_VALUE"""),"TRIMESTRE 3")</f>
        <v>TRIMESTRE 3</v>
      </c>
      <c r="M609" s="42" t="str">
        <f ca="1">IFERROR(__xludf.DUMMYFUNCTION("""COMPUTED_VALUE"""),"ADULTO MAYOR HOMBRE")</f>
        <v>ADULTO MAYOR HOMBRE</v>
      </c>
    </row>
    <row r="610" spans="1:13">
      <c r="A610" s="42" t="str">
        <f ca="1">IFERROR(__xludf.DUMMYFUNCTION("""COMPUTED_VALUE"""),"2.1.1.4")</f>
        <v>2.1.1.4</v>
      </c>
      <c r="B610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10" s="42" t="str">
        <f ca="1">IFERROR(__xludf.DUMMYFUNCTION("""COMPUTED_VALUE"""),"3. Operación")</f>
        <v>3. Operación</v>
      </c>
      <c r="D610" s="42" t="str">
        <f ca="1">IFERROR(__xludf.DUMMYFUNCTION("""COMPUTED_VALUE"""),"Guadalajara en Paz")</f>
        <v>Guadalajara en Paz</v>
      </c>
      <c r="E610" s="42" t="str">
        <f ca="1">IFERROR(__xludf.DUMMYFUNCTION("""COMPUTED_VALUE"""),"Asistencia Alimentaria y Nutrición")</f>
        <v>Asistencia Alimentaria y Nutrición</v>
      </c>
      <c r="F610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610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610" s="42" t="str">
        <f ca="1">IFERROR(__xludf.DUMMYFUNCTION("""COMPUTED_VALUE"""),"NAS Agosto")</f>
        <v>NAS Agosto</v>
      </c>
      <c r="I610" s="42" t="str">
        <f ca="1">IFERROR(__xludf.DUMMYFUNCTION("""COMPUTED_VALUE"""),"Agosto")</f>
        <v>Agosto</v>
      </c>
      <c r="J610" s="42" t="str">
        <f ca="1">IFERROR(__xludf.DUMMYFUNCTION("""COMPUTED_VALUE"""),"NAS")</f>
        <v>NAS</v>
      </c>
      <c r="K610" s="98">
        <f ca="1">IFERROR(__xludf.DUMMYFUNCTION("""COMPUTED_VALUE"""),0)</f>
        <v>0</v>
      </c>
      <c r="L610" s="42" t="str">
        <f ca="1">IFERROR(__xludf.DUMMYFUNCTION("""COMPUTED_VALUE"""),"TRIMESTRE 3")</f>
        <v>TRIMESTRE 3</v>
      </c>
      <c r="M610" s="42" t="str">
        <f ca="1">IFERROR(__xludf.DUMMYFUNCTION("""COMPUTED_VALUE"""),"NIÑAS")</f>
        <v>NIÑAS</v>
      </c>
    </row>
    <row r="611" spans="1:13">
      <c r="A611" s="42" t="str">
        <f ca="1">IFERROR(__xludf.DUMMYFUNCTION("""COMPUTED_VALUE"""),"2.1.1.4")</f>
        <v>2.1.1.4</v>
      </c>
      <c r="B611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11" s="42" t="str">
        <f ca="1">IFERROR(__xludf.DUMMYFUNCTION("""COMPUTED_VALUE"""),"3. Operación")</f>
        <v>3. Operación</v>
      </c>
      <c r="D611" s="42" t="str">
        <f ca="1">IFERROR(__xludf.DUMMYFUNCTION("""COMPUTED_VALUE"""),"Guadalajara en Paz")</f>
        <v>Guadalajara en Paz</v>
      </c>
      <c r="E611" s="42" t="str">
        <f ca="1">IFERROR(__xludf.DUMMYFUNCTION("""COMPUTED_VALUE"""),"Asistencia Alimentaria y Nutrición")</f>
        <v>Asistencia Alimentaria y Nutrición</v>
      </c>
      <c r="F611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611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611" s="42" t="str">
        <f ca="1">IFERROR(__xludf.DUMMYFUNCTION("""COMPUTED_VALUE"""),"NOS Agosto")</f>
        <v>NOS Agosto</v>
      </c>
      <c r="I611" s="42" t="str">
        <f ca="1">IFERROR(__xludf.DUMMYFUNCTION("""COMPUTED_VALUE"""),"Agosto")</f>
        <v>Agosto</v>
      </c>
      <c r="J611" s="42" t="str">
        <f ca="1">IFERROR(__xludf.DUMMYFUNCTION("""COMPUTED_VALUE"""),"NOS")</f>
        <v>NOS</v>
      </c>
      <c r="K611" s="98">
        <f ca="1">IFERROR(__xludf.DUMMYFUNCTION("""COMPUTED_VALUE"""),0)</f>
        <v>0</v>
      </c>
      <c r="L611" s="42" t="str">
        <f ca="1">IFERROR(__xludf.DUMMYFUNCTION("""COMPUTED_VALUE"""),"TRIMESTRE 3")</f>
        <v>TRIMESTRE 3</v>
      </c>
      <c r="M611" s="42" t="str">
        <f ca="1">IFERROR(__xludf.DUMMYFUNCTION("""COMPUTED_VALUE"""),"NIÑOS")</f>
        <v>NIÑOS</v>
      </c>
    </row>
    <row r="612" spans="1:13">
      <c r="A612" s="42" t="str">
        <f ca="1">IFERROR(__xludf.DUMMYFUNCTION("""COMPUTED_VALUE"""),"2.1.1.4")</f>
        <v>2.1.1.4</v>
      </c>
      <c r="B612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12" s="42" t="str">
        <f ca="1">IFERROR(__xludf.DUMMYFUNCTION("""COMPUTED_VALUE"""),"3. Operación")</f>
        <v>3. Operación</v>
      </c>
      <c r="D612" s="42" t="str">
        <f ca="1">IFERROR(__xludf.DUMMYFUNCTION("""COMPUTED_VALUE"""),"Guadalajara en Paz")</f>
        <v>Guadalajara en Paz</v>
      </c>
      <c r="E612" s="42" t="str">
        <f ca="1">IFERROR(__xludf.DUMMYFUNCTION("""COMPUTED_VALUE"""),"Asistencia Alimentaria y Nutrición")</f>
        <v>Asistencia Alimentaria y Nutrición</v>
      </c>
      <c r="F612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612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612" s="42" t="str">
        <f ca="1">IFERROR(__xludf.DUMMYFUNCTION("""COMPUTED_VALUE"""),"AM AGOSTO")</f>
        <v>AM AGOSTO</v>
      </c>
      <c r="I612" s="42" t="str">
        <f ca="1">IFERROR(__xludf.DUMMYFUNCTION("""COMPUTED_VALUE"""),"Agosto")</f>
        <v>Agosto</v>
      </c>
      <c r="J612" s="42" t="str">
        <f ca="1">IFERROR(__xludf.DUMMYFUNCTION("""COMPUTED_VALUE"""),"AM")</f>
        <v>AM</v>
      </c>
      <c r="K612" s="98">
        <f ca="1">IFERROR(__xludf.DUMMYFUNCTION("""COMPUTED_VALUE"""),0)</f>
        <v>0</v>
      </c>
      <c r="L612" s="42" t="str">
        <f ca="1">IFERROR(__xludf.DUMMYFUNCTION("""COMPUTED_VALUE"""),"TRIMESTRE 3")</f>
        <v>TRIMESTRE 3</v>
      </c>
      <c r="M612" s="42" t="str">
        <f ca="1">IFERROR(__xludf.DUMMYFUNCTION("""COMPUTED_VALUE"""),"ADOLESCENTES MUJERES")</f>
        <v>ADOLESCENTES MUJERES</v>
      </c>
    </row>
    <row r="613" spans="1:13">
      <c r="A613" s="42" t="str">
        <f ca="1">IFERROR(__xludf.DUMMYFUNCTION("""COMPUTED_VALUE"""),"2.1.1.4")</f>
        <v>2.1.1.4</v>
      </c>
      <c r="B613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13" s="42" t="str">
        <f ca="1">IFERROR(__xludf.DUMMYFUNCTION("""COMPUTED_VALUE"""),"3. Operación")</f>
        <v>3. Operación</v>
      </c>
      <c r="D613" s="42" t="str">
        <f ca="1">IFERROR(__xludf.DUMMYFUNCTION("""COMPUTED_VALUE"""),"Guadalajara en Paz")</f>
        <v>Guadalajara en Paz</v>
      </c>
      <c r="E613" s="42" t="str">
        <f ca="1">IFERROR(__xludf.DUMMYFUNCTION("""COMPUTED_VALUE"""),"Asistencia Alimentaria y Nutrición")</f>
        <v>Asistencia Alimentaria y Nutrición</v>
      </c>
      <c r="F613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613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613" s="42" t="str">
        <f ca="1">IFERROR(__xludf.DUMMYFUNCTION("""COMPUTED_VALUE"""),"AH AGOSTO")</f>
        <v>AH AGOSTO</v>
      </c>
      <c r="I613" s="42" t="str">
        <f ca="1">IFERROR(__xludf.DUMMYFUNCTION("""COMPUTED_VALUE"""),"Agosto")</f>
        <v>Agosto</v>
      </c>
      <c r="J613" s="42" t="str">
        <f ca="1">IFERROR(__xludf.DUMMYFUNCTION("""COMPUTED_VALUE"""),"AH")</f>
        <v>AH</v>
      </c>
      <c r="K613" s="98">
        <f ca="1">IFERROR(__xludf.DUMMYFUNCTION("""COMPUTED_VALUE"""),0)</f>
        <v>0</v>
      </c>
      <c r="L613" s="42" t="str">
        <f ca="1">IFERROR(__xludf.DUMMYFUNCTION("""COMPUTED_VALUE"""),"TRIMESTRE 3")</f>
        <v>TRIMESTRE 3</v>
      </c>
      <c r="M613" s="42" t="str">
        <f ca="1">IFERROR(__xludf.DUMMYFUNCTION("""COMPUTED_VALUE"""),"ADOLESCENTES HOMBRES")</f>
        <v>ADOLESCENTES HOMBRES</v>
      </c>
    </row>
    <row r="614" spans="1:13">
      <c r="A614" s="42" t="str">
        <f ca="1">IFERROR(__xludf.DUMMYFUNCTION("""COMPUTED_VALUE"""),"2.1.1.4")</f>
        <v>2.1.1.4</v>
      </c>
      <c r="B614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14" s="42" t="str">
        <f ca="1">IFERROR(__xludf.DUMMYFUNCTION("""COMPUTED_VALUE"""),"3. Operación")</f>
        <v>3. Operación</v>
      </c>
      <c r="D614" s="42" t="str">
        <f ca="1">IFERROR(__xludf.DUMMYFUNCTION("""COMPUTED_VALUE"""),"Guadalajara en Paz")</f>
        <v>Guadalajara en Paz</v>
      </c>
      <c r="E614" s="42" t="str">
        <f ca="1">IFERROR(__xludf.DUMMYFUNCTION("""COMPUTED_VALUE"""),"Asistencia Alimentaria y Nutrición")</f>
        <v>Asistencia Alimentaria y Nutrición</v>
      </c>
      <c r="F614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614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614" s="42" t="str">
        <f ca="1">IFERROR(__xludf.DUMMYFUNCTION("""COMPUTED_VALUE"""),"MUJ Agosto")</f>
        <v>MUJ Agosto</v>
      </c>
      <c r="I614" s="42" t="str">
        <f ca="1">IFERROR(__xludf.DUMMYFUNCTION("""COMPUTED_VALUE"""),"Agosto")</f>
        <v>Agosto</v>
      </c>
      <c r="J614" s="42" t="str">
        <f ca="1">IFERROR(__xludf.DUMMYFUNCTION("""COMPUTED_VALUE"""),"MUJ")</f>
        <v>MUJ</v>
      </c>
      <c r="K614" s="98">
        <f ca="1">IFERROR(__xludf.DUMMYFUNCTION("""COMPUTED_VALUE"""),0)</f>
        <v>0</v>
      </c>
      <c r="L614" s="42" t="str">
        <f ca="1">IFERROR(__xludf.DUMMYFUNCTION("""COMPUTED_VALUE"""),"TRIMESTRE 3")</f>
        <v>TRIMESTRE 3</v>
      </c>
      <c r="M614" s="42" t="str">
        <f ca="1">IFERROR(__xludf.DUMMYFUNCTION("""COMPUTED_VALUE"""),"MUJERES ADULTAS")</f>
        <v>MUJERES ADULTAS</v>
      </c>
    </row>
    <row r="615" spans="1:13">
      <c r="A615" s="42" t="str">
        <f ca="1">IFERROR(__xludf.DUMMYFUNCTION("""COMPUTED_VALUE"""),"2.1.1.4")</f>
        <v>2.1.1.4</v>
      </c>
      <c r="B615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15" s="42" t="str">
        <f ca="1">IFERROR(__xludf.DUMMYFUNCTION("""COMPUTED_VALUE"""),"3. Operación")</f>
        <v>3. Operación</v>
      </c>
      <c r="D615" s="42" t="str">
        <f ca="1">IFERROR(__xludf.DUMMYFUNCTION("""COMPUTED_VALUE"""),"Guadalajara en Paz")</f>
        <v>Guadalajara en Paz</v>
      </c>
      <c r="E615" s="42" t="str">
        <f ca="1">IFERROR(__xludf.DUMMYFUNCTION("""COMPUTED_VALUE"""),"Asistencia Alimentaria y Nutrición")</f>
        <v>Asistencia Alimentaria y Nutrición</v>
      </c>
      <c r="F615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615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615" s="42" t="str">
        <f ca="1">IFERROR(__xludf.DUMMYFUNCTION("""COMPUTED_VALUE"""),"HOM Agosto")</f>
        <v>HOM Agosto</v>
      </c>
      <c r="I615" s="42" t="str">
        <f ca="1">IFERROR(__xludf.DUMMYFUNCTION("""COMPUTED_VALUE"""),"Agosto")</f>
        <v>Agosto</v>
      </c>
      <c r="J615" s="42" t="str">
        <f ca="1">IFERROR(__xludf.DUMMYFUNCTION("""COMPUTED_VALUE"""),"HOM")</f>
        <v>HOM</v>
      </c>
      <c r="K615" s="98">
        <f ca="1">IFERROR(__xludf.DUMMYFUNCTION("""COMPUTED_VALUE"""),0)</f>
        <v>0</v>
      </c>
      <c r="L615" s="42" t="str">
        <f ca="1">IFERROR(__xludf.DUMMYFUNCTION("""COMPUTED_VALUE"""),"TRIMESTRE 3")</f>
        <v>TRIMESTRE 3</v>
      </c>
      <c r="M615" s="42" t="str">
        <f ca="1">IFERROR(__xludf.DUMMYFUNCTION("""COMPUTED_VALUE"""),"HOMBRES ADULTOS")</f>
        <v>HOMBRES ADULTOS</v>
      </c>
    </row>
    <row r="616" spans="1:13">
      <c r="A616" s="42" t="str">
        <f ca="1">IFERROR(__xludf.DUMMYFUNCTION("""COMPUTED_VALUE"""),"2.1.1.4")</f>
        <v>2.1.1.4</v>
      </c>
      <c r="B616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16" s="42" t="str">
        <f ca="1">IFERROR(__xludf.DUMMYFUNCTION("""COMPUTED_VALUE"""),"3. Operación")</f>
        <v>3. Operación</v>
      </c>
      <c r="D616" s="42" t="str">
        <f ca="1">IFERROR(__xludf.DUMMYFUNCTION("""COMPUTED_VALUE"""),"Guadalajara en Paz")</f>
        <v>Guadalajara en Paz</v>
      </c>
      <c r="E616" s="42" t="str">
        <f ca="1">IFERROR(__xludf.DUMMYFUNCTION("""COMPUTED_VALUE"""),"Asistencia Alimentaria y Nutrición")</f>
        <v>Asistencia Alimentaria y Nutrición</v>
      </c>
      <c r="F616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616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616" s="42" t="str">
        <f ca="1">IFERROR(__xludf.DUMMYFUNCTION("""COMPUTED_VALUE"""),"AMM Agosto")</f>
        <v>AMM Agosto</v>
      </c>
      <c r="I616" s="42" t="str">
        <f ca="1">IFERROR(__xludf.DUMMYFUNCTION("""COMPUTED_VALUE"""),"Agosto")</f>
        <v>Agosto</v>
      </c>
      <c r="J616" s="42" t="str">
        <f ca="1">IFERROR(__xludf.DUMMYFUNCTION("""COMPUTED_VALUE"""),"AMM")</f>
        <v>AMM</v>
      </c>
      <c r="K616" s="98">
        <f ca="1">IFERROR(__xludf.DUMMYFUNCTION("""COMPUTED_VALUE"""),0)</f>
        <v>0</v>
      </c>
      <c r="L616" s="42" t="str">
        <f ca="1">IFERROR(__xludf.DUMMYFUNCTION("""COMPUTED_VALUE"""),"TRIMESTRE 3")</f>
        <v>TRIMESTRE 3</v>
      </c>
      <c r="M616" s="42" t="str">
        <f ca="1">IFERROR(__xludf.DUMMYFUNCTION("""COMPUTED_VALUE"""),"ADULTA MAYOR MUJER")</f>
        <v>ADULTA MAYOR MUJER</v>
      </c>
    </row>
    <row r="617" spans="1:13">
      <c r="A617" s="42" t="str">
        <f ca="1">IFERROR(__xludf.DUMMYFUNCTION("""COMPUTED_VALUE"""),"2.1.1.4")</f>
        <v>2.1.1.4</v>
      </c>
      <c r="B617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17" s="42" t="str">
        <f ca="1">IFERROR(__xludf.DUMMYFUNCTION("""COMPUTED_VALUE"""),"3. Operación")</f>
        <v>3. Operación</v>
      </c>
      <c r="D617" s="42" t="str">
        <f ca="1">IFERROR(__xludf.DUMMYFUNCTION("""COMPUTED_VALUE"""),"Guadalajara en Paz")</f>
        <v>Guadalajara en Paz</v>
      </c>
      <c r="E617" s="42" t="str">
        <f ca="1">IFERROR(__xludf.DUMMYFUNCTION("""COMPUTED_VALUE"""),"Asistencia Alimentaria y Nutrición")</f>
        <v>Asistencia Alimentaria y Nutrición</v>
      </c>
      <c r="F617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617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617" s="42" t="str">
        <f ca="1">IFERROR(__xludf.DUMMYFUNCTION("""COMPUTED_VALUE"""),"AMH Agosto")</f>
        <v>AMH Agosto</v>
      </c>
      <c r="I617" s="42" t="str">
        <f ca="1">IFERROR(__xludf.DUMMYFUNCTION("""COMPUTED_VALUE"""),"Agosto")</f>
        <v>Agosto</v>
      </c>
      <c r="J617" s="42" t="str">
        <f ca="1">IFERROR(__xludf.DUMMYFUNCTION("""COMPUTED_VALUE"""),"AMH")</f>
        <v>AMH</v>
      </c>
      <c r="K617" s="98">
        <f ca="1">IFERROR(__xludf.DUMMYFUNCTION("""COMPUTED_VALUE"""),0)</f>
        <v>0</v>
      </c>
      <c r="L617" s="42" t="str">
        <f ca="1">IFERROR(__xludf.DUMMYFUNCTION("""COMPUTED_VALUE"""),"TRIMESTRE 3")</f>
        <v>TRIMESTRE 3</v>
      </c>
      <c r="M617" s="42" t="str">
        <f ca="1">IFERROR(__xludf.DUMMYFUNCTION("""COMPUTED_VALUE"""),"ADULTO MAYOR HOMBRE")</f>
        <v>ADULTO MAYOR HOMBRE</v>
      </c>
    </row>
    <row r="618" spans="1:13">
      <c r="A618" s="42" t="str">
        <f ca="1">IFERROR(__xludf.DUMMYFUNCTION("""COMPUTED_VALUE"""),"2.1.1.5")</f>
        <v>2.1.1.5</v>
      </c>
      <c r="B618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18" s="42" t="str">
        <f ca="1">IFERROR(__xludf.DUMMYFUNCTION("""COMPUTED_VALUE"""),"3. Operación")</f>
        <v>3. Operación</v>
      </c>
      <c r="D618" s="42" t="str">
        <f ca="1">IFERROR(__xludf.DUMMYFUNCTION("""COMPUTED_VALUE"""),"Guadalajara en Paz")</f>
        <v>Guadalajara en Paz</v>
      </c>
      <c r="E618" s="42" t="str">
        <f ca="1">IFERROR(__xludf.DUMMYFUNCTION("""COMPUTED_VALUE"""),"Asistencia Alimentaria y Nutrición")</f>
        <v>Asistencia Alimentaria y Nutrición</v>
      </c>
      <c r="F618" s="42" t="str">
        <f ca="1">IFERROR(__xludf.DUMMYFUNCTION("""COMPUTED_VALUE"""),"A5C1. Apoyos del Programa de Alimentación Escolar entregados en 2023")</f>
        <v>A5C1. Apoyos del Programa de Alimentación Escolar entregados en 2023</v>
      </c>
      <c r="G618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618" s="42" t="str">
        <f ca="1">IFERROR(__xludf.DUMMYFUNCTION("""COMPUTED_VALUE"""),"NAS Agosto")</f>
        <v>NAS Agosto</v>
      </c>
      <c r="I618" s="42" t="str">
        <f ca="1">IFERROR(__xludf.DUMMYFUNCTION("""COMPUTED_VALUE"""),"Agosto")</f>
        <v>Agosto</v>
      </c>
      <c r="J618" s="42" t="str">
        <f ca="1">IFERROR(__xludf.DUMMYFUNCTION("""COMPUTED_VALUE"""),"NAS")</f>
        <v>NAS</v>
      </c>
      <c r="K618" s="98">
        <f ca="1">IFERROR(__xludf.DUMMYFUNCTION("""COMPUTED_VALUE"""),24984)</f>
        <v>24984</v>
      </c>
      <c r="L618" s="42" t="str">
        <f ca="1">IFERROR(__xludf.DUMMYFUNCTION("""COMPUTED_VALUE"""),"TRIMESTRE 3")</f>
        <v>TRIMESTRE 3</v>
      </c>
      <c r="M618" s="42" t="str">
        <f ca="1">IFERROR(__xludf.DUMMYFUNCTION("""COMPUTED_VALUE"""),"NIÑAS")</f>
        <v>NIÑAS</v>
      </c>
    </row>
    <row r="619" spans="1:13">
      <c r="A619" s="42" t="str">
        <f ca="1">IFERROR(__xludf.DUMMYFUNCTION("""COMPUTED_VALUE"""),"2.1.1.5")</f>
        <v>2.1.1.5</v>
      </c>
      <c r="B619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19" s="42" t="str">
        <f ca="1">IFERROR(__xludf.DUMMYFUNCTION("""COMPUTED_VALUE"""),"3. Operación")</f>
        <v>3. Operación</v>
      </c>
      <c r="D619" s="42" t="str">
        <f ca="1">IFERROR(__xludf.DUMMYFUNCTION("""COMPUTED_VALUE"""),"Guadalajara en Paz")</f>
        <v>Guadalajara en Paz</v>
      </c>
      <c r="E619" s="42" t="str">
        <f ca="1">IFERROR(__xludf.DUMMYFUNCTION("""COMPUTED_VALUE"""),"Asistencia Alimentaria y Nutrición")</f>
        <v>Asistencia Alimentaria y Nutrición</v>
      </c>
      <c r="F619" s="42" t="str">
        <f ca="1">IFERROR(__xludf.DUMMYFUNCTION("""COMPUTED_VALUE"""),"A5C1. Apoyos del Programa de Alimentación Escolar entregados en 2023")</f>
        <v>A5C1. Apoyos del Programa de Alimentación Escolar entregados en 2023</v>
      </c>
      <c r="G619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619" s="42" t="str">
        <f ca="1">IFERROR(__xludf.DUMMYFUNCTION("""COMPUTED_VALUE"""),"NOS Agosto")</f>
        <v>NOS Agosto</v>
      </c>
      <c r="I619" s="42" t="str">
        <f ca="1">IFERROR(__xludf.DUMMYFUNCTION("""COMPUTED_VALUE"""),"Agosto")</f>
        <v>Agosto</v>
      </c>
      <c r="J619" s="42" t="str">
        <f ca="1">IFERROR(__xludf.DUMMYFUNCTION("""COMPUTED_VALUE"""),"NOS")</f>
        <v>NOS</v>
      </c>
      <c r="K619" s="98">
        <f ca="1">IFERROR(__xludf.DUMMYFUNCTION("""COMPUTED_VALUE"""),25821)</f>
        <v>25821</v>
      </c>
      <c r="L619" s="42" t="str">
        <f ca="1">IFERROR(__xludf.DUMMYFUNCTION("""COMPUTED_VALUE"""),"TRIMESTRE 3")</f>
        <v>TRIMESTRE 3</v>
      </c>
      <c r="M619" s="42" t="str">
        <f ca="1">IFERROR(__xludf.DUMMYFUNCTION("""COMPUTED_VALUE"""),"NIÑOS")</f>
        <v>NIÑOS</v>
      </c>
    </row>
    <row r="620" spans="1:13">
      <c r="A620" s="42" t="str">
        <f ca="1">IFERROR(__xludf.DUMMYFUNCTION("""COMPUTED_VALUE"""),"2.1.1.5")</f>
        <v>2.1.1.5</v>
      </c>
      <c r="B620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20" s="42" t="str">
        <f ca="1">IFERROR(__xludf.DUMMYFUNCTION("""COMPUTED_VALUE"""),"3. Operación")</f>
        <v>3. Operación</v>
      </c>
      <c r="D620" s="42" t="str">
        <f ca="1">IFERROR(__xludf.DUMMYFUNCTION("""COMPUTED_VALUE"""),"Guadalajara en Paz")</f>
        <v>Guadalajara en Paz</v>
      </c>
      <c r="E620" s="42" t="str">
        <f ca="1">IFERROR(__xludf.DUMMYFUNCTION("""COMPUTED_VALUE"""),"Asistencia Alimentaria y Nutrición")</f>
        <v>Asistencia Alimentaria y Nutrición</v>
      </c>
      <c r="F620" s="42" t="str">
        <f ca="1">IFERROR(__xludf.DUMMYFUNCTION("""COMPUTED_VALUE"""),"A5C1. Apoyos del Programa de Alimentación Escolar entregados en 2023")</f>
        <v>A5C1. Apoyos del Programa de Alimentación Escolar entregados en 2023</v>
      </c>
      <c r="G620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620" s="42" t="str">
        <f ca="1">IFERROR(__xludf.DUMMYFUNCTION("""COMPUTED_VALUE"""),"AM AGOSTO")</f>
        <v>AM AGOSTO</v>
      </c>
      <c r="I620" s="42" t="str">
        <f ca="1">IFERROR(__xludf.DUMMYFUNCTION("""COMPUTED_VALUE"""),"Agosto")</f>
        <v>Agosto</v>
      </c>
      <c r="J620" s="42" t="str">
        <f ca="1">IFERROR(__xludf.DUMMYFUNCTION("""COMPUTED_VALUE"""),"AM")</f>
        <v>AM</v>
      </c>
      <c r="K620" s="98">
        <f ca="1">IFERROR(__xludf.DUMMYFUNCTION("""COMPUTED_VALUE"""),2835)</f>
        <v>2835</v>
      </c>
      <c r="L620" s="42" t="str">
        <f ca="1">IFERROR(__xludf.DUMMYFUNCTION("""COMPUTED_VALUE"""),"TRIMESTRE 3")</f>
        <v>TRIMESTRE 3</v>
      </c>
      <c r="M620" s="42" t="str">
        <f ca="1">IFERROR(__xludf.DUMMYFUNCTION("""COMPUTED_VALUE"""),"ADOLESCENTES MUJERES")</f>
        <v>ADOLESCENTES MUJERES</v>
      </c>
    </row>
    <row r="621" spans="1:13">
      <c r="A621" s="42" t="str">
        <f ca="1">IFERROR(__xludf.DUMMYFUNCTION("""COMPUTED_VALUE"""),"2.1.1.5")</f>
        <v>2.1.1.5</v>
      </c>
      <c r="B621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21" s="42" t="str">
        <f ca="1">IFERROR(__xludf.DUMMYFUNCTION("""COMPUTED_VALUE"""),"3. Operación")</f>
        <v>3. Operación</v>
      </c>
      <c r="D621" s="42" t="str">
        <f ca="1">IFERROR(__xludf.DUMMYFUNCTION("""COMPUTED_VALUE"""),"Guadalajara en Paz")</f>
        <v>Guadalajara en Paz</v>
      </c>
      <c r="E621" s="42" t="str">
        <f ca="1">IFERROR(__xludf.DUMMYFUNCTION("""COMPUTED_VALUE"""),"Asistencia Alimentaria y Nutrición")</f>
        <v>Asistencia Alimentaria y Nutrición</v>
      </c>
      <c r="F621" s="42" t="str">
        <f ca="1">IFERROR(__xludf.DUMMYFUNCTION("""COMPUTED_VALUE"""),"A5C1. Apoyos del Programa de Alimentación Escolar entregados en 2023")</f>
        <v>A5C1. Apoyos del Programa de Alimentación Escolar entregados en 2023</v>
      </c>
      <c r="G621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621" s="42" t="str">
        <f ca="1">IFERROR(__xludf.DUMMYFUNCTION("""COMPUTED_VALUE"""),"AH AGOSTO")</f>
        <v>AH AGOSTO</v>
      </c>
      <c r="I621" s="42" t="str">
        <f ca="1">IFERROR(__xludf.DUMMYFUNCTION("""COMPUTED_VALUE"""),"Agosto")</f>
        <v>Agosto</v>
      </c>
      <c r="J621" s="42" t="str">
        <f ca="1">IFERROR(__xludf.DUMMYFUNCTION("""COMPUTED_VALUE"""),"AH")</f>
        <v>AH</v>
      </c>
      <c r="K621" s="98">
        <f ca="1">IFERROR(__xludf.DUMMYFUNCTION("""COMPUTED_VALUE"""),2745)</f>
        <v>2745</v>
      </c>
      <c r="L621" s="42" t="str">
        <f ca="1">IFERROR(__xludf.DUMMYFUNCTION("""COMPUTED_VALUE"""),"TRIMESTRE 3")</f>
        <v>TRIMESTRE 3</v>
      </c>
      <c r="M621" s="42" t="str">
        <f ca="1">IFERROR(__xludf.DUMMYFUNCTION("""COMPUTED_VALUE"""),"ADOLESCENTES HOMBRES")</f>
        <v>ADOLESCENTES HOMBRES</v>
      </c>
    </row>
    <row r="622" spans="1:13">
      <c r="A622" s="42" t="str">
        <f ca="1">IFERROR(__xludf.DUMMYFUNCTION("""COMPUTED_VALUE"""),"2.1.1.5")</f>
        <v>2.1.1.5</v>
      </c>
      <c r="B622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22" s="42" t="str">
        <f ca="1">IFERROR(__xludf.DUMMYFUNCTION("""COMPUTED_VALUE"""),"3. Operación")</f>
        <v>3. Operación</v>
      </c>
      <c r="D622" s="42" t="str">
        <f ca="1">IFERROR(__xludf.DUMMYFUNCTION("""COMPUTED_VALUE"""),"Guadalajara en Paz")</f>
        <v>Guadalajara en Paz</v>
      </c>
      <c r="E622" s="42" t="str">
        <f ca="1">IFERROR(__xludf.DUMMYFUNCTION("""COMPUTED_VALUE"""),"Asistencia Alimentaria y Nutrición")</f>
        <v>Asistencia Alimentaria y Nutrición</v>
      </c>
      <c r="F622" s="42" t="str">
        <f ca="1">IFERROR(__xludf.DUMMYFUNCTION("""COMPUTED_VALUE"""),"A5C1. Apoyos del Programa de Alimentación Escolar entregados en 2023")</f>
        <v>A5C1. Apoyos del Programa de Alimentación Escolar entregados en 2023</v>
      </c>
      <c r="G622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622" s="42" t="str">
        <f ca="1">IFERROR(__xludf.DUMMYFUNCTION("""COMPUTED_VALUE"""),"MUJ Agosto")</f>
        <v>MUJ Agosto</v>
      </c>
      <c r="I622" s="42" t="str">
        <f ca="1">IFERROR(__xludf.DUMMYFUNCTION("""COMPUTED_VALUE"""),"Agosto")</f>
        <v>Agosto</v>
      </c>
      <c r="J622" s="42" t="str">
        <f ca="1">IFERROR(__xludf.DUMMYFUNCTION("""COMPUTED_VALUE"""),"MUJ")</f>
        <v>MUJ</v>
      </c>
      <c r="K622" s="98">
        <f ca="1">IFERROR(__xludf.DUMMYFUNCTION("""COMPUTED_VALUE"""),0)</f>
        <v>0</v>
      </c>
      <c r="L622" s="42" t="str">
        <f ca="1">IFERROR(__xludf.DUMMYFUNCTION("""COMPUTED_VALUE"""),"TRIMESTRE 3")</f>
        <v>TRIMESTRE 3</v>
      </c>
      <c r="M622" s="42" t="str">
        <f ca="1">IFERROR(__xludf.DUMMYFUNCTION("""COMPUTED_VALUE"""),"MUJERES ADULTAS")</f>
        <v>MUJERES ADULTAS</v>
      </c>
    </row>
    <row r="623" spans="1:13">
      <c r="A623" s="42" t="str">
        <f ca="1">IFERROR(__xludf.DUMMYFUNCTION("""COMPUTED_VALUE"""),"2.1.1.5")</f>
        <v>2.1.1.5</v>
      </c>
      <c r="B623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23" s="42" t="str">
        <f ca="1">IFERROR(__xludf.DUMMYFUNCTION("""COMPUTED_VALUE"""),"3. Operación")</f>
        <v>3. Operación</v>
      </c>
      <c r="D623" s="42" t="str">
        <f ca="1">IFERROR(__xludf.DUMMYFUNCTION("""COMPUTED_VALUE"""),"Guadalajara en Paz")</f>
        <v>Guadalajara en Paz</v>
      </c>
      <c r="E623" s="42" t="str">
        <f ca="1">IFERROR(__xludf.DUMMYFUNCTION("""COMPUTED_VALUE"""),"Asistencia Alimentaria y Nutrición")</f>
        <v>Asistencia Alimentaria y Nutrición</v>
      </c>
      <c r="F623" s="42" t="str">
        <f ca="1">IFERROR(__xludf.DUMMYFUNCTION("""COMPUTED_VALUE"""),"A5C1. Apoyos del Programa de Alimentación Escolar entregados en 2023")</f>
        <v>A5C1. Apoyos del Programa de Alimentación Escolar entregados en 2023</v>
      </c>
      <c r="G623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623" s="42" t="str">
        <f ca="1">IFERROR(__xludf.DUMMYFUNCTION("""COMPUTED_VALUE"""),"HOM Agosto")</f>
        <v>HOM Agosto</v>
      </c>
      <c r="I623" s="42" t="str">
        <f ca="1">IFERROR(__xludf.DUMMYFUNCTION("""COMPUTED_VALUE"""),"Agosto")</f>
        <v>Agosto</v>
      </c>
      <c r="J623" s="42" t="str">
        <f ca="1">IFERROR(__xludf.DUMMYFUNCTION("""COMPUTED_VALUE"""),"HOM")</f>
        <v>HOM</v>
      </c>
      <c r="K623" s="98">
        <f ca="1">IFERROR(__xludf.DUMMYFUNCTION("""COMPUTED_VALUE"""),0)</f>
        <v>0</v>
      </c>
      <c r="L623" s="42" t="str">
        <f ca="1">IFERROR(__xludf.DUMMYFUNCTION("""COMPUTED_VALUE"""),"TRIMESTRE 3")</f>
        <v>TRIMESTRE 3</v>
      </c>
      <c r="M623" s="42" t="str">
        <f ca="1">IFERROR(__xludf.DUMMYFUNCTION("""COMPUTED_VALUE"""),"HOMBRES ADULTOS")</f>
        <v>HOMBRES ADULTOS</v>
      </c>
    </row>
    <row r="624" spans="1:13">
      <c r="A624" s="42" t="str">
        <f ca="1">IFERROR(__xludf.DUMMYFUNCTION("""COMPUTED_VALUE"""),"2.1.1.5")</f>
        <v>2.1.1.5</v>
      </c>
      <c r="B624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24" s="42" t="str">
        <f ca="1">IFERROR(__xludf.DUMMYFUNCTION("""COMPUTED_VALUE"""),"3. Operación")</f>
        <v>3. Operación</v>
      </c>
      <c r="D624" s="42" t="str">
        <f ca="1">IFERROR(__xludf.DUMMYFUNCTION("""COMPUTED_VALUE"""),"Guadalajara en Paz")</f>
        <v>Guadalajara en Paz</v>
      </c>
      <c r="E624" s="42" t="str">
        <f ca="1">IFERROR(__xludf.DUMMYFUNCTION("""COMPUTED_VALUE"""),"Asistencia Alimentaria y Nutrición")</f>
        <v>Asistencia Alimentaria y Nutrición</v>
      </c>
      <c r="F624" s="42" t="str">
        <f ca="1">IFERROR(__xludf.DUMMYFUNCTION("""COMPUTED_VALUE"""),"A5C1. Apoyos del Programa de Alimentación Escolar entregados en 2023")</f>
        <v>A5C1. Apoyos del Programa de Alimentación Escolar entregados en 2023</v>
      </c>
      <c r="G624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624" s="42" t="str">
        <f ca="1">IFERROR(__xludf.DUMMYFUNCTION("""COMPUTED_VALUE"""),"AMM Agosto")</f>
        <v>AMM Agosto</v>
      </c>
      <c r="I624" s="42" t="str">
        <f ca="1">IFERROR(__xludf.DUMMYFUNCTION("""COMPUTED_VALUE"""),"Agosto")</f>
        <v>Agosto</v>
      </c>
      <c r="J624" s="42" t="str">
        <f ca="1">IFERROR(__xludf.DUMMYFUNCTION("""COMPUTED_VALUE"""),"AMM")</f>
        <v>AMM</v>
      </c>
      <c r="K624" s="98">
        <f ca="1">IFERROR(__xludf.DUMMYFUNCTION("""COMPUTED_VALUE"""),0)</f>
        <v>0</v>
      </c>
      <c r="L624" s="42" t="str">
        <f ca="1">IFERROR(__xludf.DUMMYFUNCTION("""COMPUTED_VALUE"""),"TRIMESTRE 3")</f>
        <v>TRIMESTRE 3</v>
      </c>
      <c r="M624" s="42" t="str">
        <f ca="1">IFERROR(__xludf.DUMMYFUNCTION("""COMPUTED_VALUE"""),"ADULTA MAYOR MUJER")</f>
        <v>ADULTA MAYOR MUJER</v>
      </c>
    </row>
    <row r="625" spans="1:13">
      <c r="A625" s="42" t="str">
        <f ca="1">IFERROR(__xludf.DUMMYFUNCTION("""COMPUTED_VALUE"""),"2.1.1.5")</f>
        <v>2.1.1.5</v>
      </c>
      <c r="B625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25" s="42" t="str">
        <f ca="1">IFERROR(__xludf.DUMMYFUNCTION("""COMPUTED_VALUE"""),"3. Operación")</f>
        <v>3. Operación</v>
      </c>
      <c r="D625" s="42" t="str">
        <f ca="1">IFERROR(__xludf.DUMMYFUNCTION("""COMPUTED_VALUE"""),"Guadalajara en Paz")</f>
        <v>Guadalajara en Paz</v>
      </c>
      <c r="E625" s="42" t="str">
        <f ca="1">IFERROR(__xludf.DUMMYFUNCTION("""COMPUTED_VALUE"""),"Asistencia Alimentaria y Nutrición")</f>
        <v>Asistencia Alimentaria y Nutrición</v>
      </c>
      <c r="F625" s="42" t="str">
        <f ca="1">IFERROR(__xludf.DUMMYFUNCTION("""COMPUTED_VALUE"""),"A5C1. Apoyos del Programa de Alimentación Escolar entregados en 2023")</f>
        <v>A5C1. Apoyos del Programa de Alimentación Escolar entregados en 2023</v>
      </c>
      <c r="G625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625" s="42" t="str">
        <f ca="1">IFERROR(__xludf.DUMMYFUNCTION("""COMPUTED_VALUE"""),"AMH Agosto")</f>
        <v>AMH Agosto</v>
      </c>
      <c r="I625" s="42" t="str">
        <f ca="1">IFERROR(__xludf.DUMMYFUNCTION("""COMPUTED_VALUE"""),"Agosto")</f>
        <v>Agosto</v>
      </c>
      <c r="J625" s="42" t="str">
        <f ca="1">IFERROR(__xludf.DUMMYFUNCTION("""COMPUTED_VALUE"""),"AMH")</f>
        <v>AMH</v>
      </c>
      <c r="K625" s="98">
        <f ca="1">IFERROR(__xludf.DUMMYFUNCTION("""COMPUTED_VALUE"""),0)</f>
        <v>0</v>
      </c>
      <c r="L625" s="42" t="str">
        <f ca="1">IFERROR(__xludf.DUMMYFUNCTION("""COMPUTED_VALUE"""),"TRIMESTRE 3")</f>
        <v>TRIMESTRE 3</v>
      </c>
      <c r="M625" s="42" t="str">
        <f ca="1">IFERROR(__xludf.DUMMYFUNCTION("""COMPUTED_VALUE"""),"ADULTO MAYOR HOMBRE")</f>
        <v>ADULTO MAYOR HOMBRE</v>
      </c>
    </row>
    <row r="626" spans="1:13">
      <c r="A626" s="42" t="str">
        <f ca="1">IFERROR(__xludf.DUMMYFUNCTION("""COMPUTED_VALUE"""),"2.1.1.6")</f>
        <v>2.1.1.6</v>
      </c>
      <c r="B626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26" s="42" t="str">
        <f ca="1">IFERROR(__xludf.DUMMYFUNCTION("""COMPUTED_VALUE"""),"3. Operación")</f>
        <v>3. Operación</v>
      </c>
      <c r="D626" s="42" t="str">
        <f ca="1">IFERROR(__xludf.DUMMYFUNCTION("""COMPUTED_VALUE"""),"Guadalajara en Paz")</f>
        <v>Guadalajara en Paz</v>
      </c>
      <c r="E626" s="42" t="str">
        <f ca="1">IFERROR(__xludf.DUMMYFUNCTION("""COMPUTED_VALUE"""),"Asistencia Alimentaria y Nutrición")</f>
        <v>Asistencia Alimentaria y Nutrición</v>
      </c>
      <c r="F626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626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626" s="42" t="str">
        <f ca="1">IFERROR(__xludf.DUMMYFUNCTION("""COMPUTED_VALUE"""),"NAS Agosto")</f>
        <v>NAS Agosto</v>
      </c>
      <c r="I626" s="42" t="str">
        <f ca="1">IFERROR(__xludf.DUMMYFUNCTION("""COMPUTED_VALUE"""),"Agosto")</f>
        <v>Agosto</v>
      </c>
      <c r="J626" s="42" t="str">
        <f ca="1">IFERROR(__xludf.DUMMYFUNCTION("""COMPUTED_VALUE"""),"NAS")</f>
        <v>NAS</v>
      </c>
      <c r="K626" s="98">
        <f ca="1">IFERROR(__xludf.DUMMYFUNCTION("""COMPUTED_VALUE"""),133)</f>
        <v>133</v>
      </c>
      <c r="L626" s="42" t="str">
        <f ca="1">IFERROR(__xludf.DUMMYFUNCTION("""COMPUTED_VALUE"""),"TRIMESTRE 3")</f>
        <v>TRIMESTRE 3</v>
      </c>
      <c r="M626" s="42" t="str">
        <f ca="1">IFERROR(__xludf.DUMMYFUNCTION("""COMPUTED_VALUE"""),"NIÑAS")</f>
        <v>NIÑAS</v>
      </c>
    </row>
    <row r="627" spans="1:13">
      <c r="A627" s="42" t="str">
        <f ca="1">IFERROR(__xludf.DUMMYFUNCTION("""COMPUTED_VALUE"""),"2.1.1.6")</f>
        <v>2.1.1.6</v>
      </c>
      <c r="B627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27" s="42" t="str">
        <f ca="1">IFERROR(__xludf.DUMMYFUNCTION("""COMPUTED_VALUE"""),"3. Operación")</f>
        <v>3. Operación</v>
      </c>
      <c r="D627" s="42" t="str">
        <f ca="1">IFERROR(__xludf.DUMMYFUNCTION("""COMPUTED_VALUE"""),"Guadalajara en Paz")</f>
        <v>Guadalajara en Paz</v>
      </c>
      <c r="E627" s="42" t="str">
        <f ca="1">IFERROR(__xludf.DUMMYFUNCTION("""COMPUTED_VALUE"""),"Asistencia Alimentaria y Nutrición")</f>
        <v>Asistencia Alimentaria y Nutrición</v>
      </c>
      <c r="F627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627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627" s="42" t="str">
        <f ca="1">IFERROR(__xludf.DUMMYFUNCTION("""COMPUTED_VALUE"""),"NOS Agosto")</f>
        <v>NOS Agosto</v>
      </c>
      <c r="I627" s="42" t="str">
        <f ca="1">IFERROR(__xludf.DUMMYFUNCTION("""COMPUTED_VALUE"""),"Agosto")</f>
        <v>Agosto</v>
      </c>
      <c r="J627" s="42" t="str">
        <f ca="1">IFERROR(__xludf.DUMMYFUNCTION("""COMPUTED_VALUE"""),"NOS")</f>
        <v>NOS</v>
      </c>
      <c r="K627" s="98">
        <f ca="1">IFERROR(__xludf.DUMMYFUNCTION("""COMPUTED_VALUE"""),155)</f>
        <v>155</v>
      </c>
      <c r="L627" s="42" t="str">
        <f ca="1">IFERROR(__xludf.DUMMYFUNCTION("""COMPUTED_VALUE"""),"TRIMESTRE 3")</f>
        <v>TRIMESTRE 3</v>
      </c>
      <c r="M627" s="42" t="str">
        <f ca="1">IFERROR(__xludf.DUMMYFUNCTION("""COMPUTED_VALUE"""),"NIÑOS")</f>
        <v>NIÑOS</v>
      </c>
    </row>
    <row r="628" spans="1:13">
      <c r="A628" s="42" t="str">
        <f ca="1">IFERROR(__xludf.DUMMYFUNCTION("""COMPUTED_VALUE"""),"2.1.1.6")</f>
        <v>2.1.1.6</v>
      </c>
      <c r="B628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28" s="42" t="str">
        <f ca="1">IFERROR(__xludf.DUMMYFUNCTION("""COMPUTED_VALUE"""),"3. Operación")</f>
        <v>3. Operación</v>
      </c>
      <c r="D628" s="42" t="str">
        <f ca="1">IFERROR(__xludf.DUMMYFUNCTION("""COMPUTED_VALUE"""),"Guadalajara en Paz")</f>
        <v>Guadalajara en Paz</v>
      </c>
      <c r="E628" s="42" t="str">
        <f ca="1">IFERROR(__xludf.DUMMYFUNCTION("""COMPUTED_VALUE"""),"Asistencia Alimentaria y Nutrición")</f>
        <v>Asistencia Alimentaria y Nutrición</v>
      </c>
      <c r="F628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628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628" s="42" t="str">
        <f ca="1">IFERROR(__xludf.DUMMYFUNCTION("""COMPUTED_VALUE"""),"AM AGOSTO")</f>
        <v>AM AGOSTO</v>
      </c>
      <c r="I628" s="42" t="str">
        <f ca="1">IFERROR(__xludf.DUMMYFUNCTION("""COMPUTED_VALUE"""),"Agosto")</f>
        <v>Agosto</v>
      </c>
      <c r="J628" s="42" t="str">
        <f ca="1">IFERROR(__xludf.DUMMYFUNCTION("""COMPUTED_VALUE"""),"AM")</f>
        <v>AM</v>
      </c>
      <c r="K628" s="98">
        <f ca="1">IFERROR(__xludf.DUMMYFUNCTION("""COMPUTED_VALUE"""),7)</f>
        <v>7</v>
      </c>
      <c r="L628" s="42" t="str">
        <f ca="1">IFERROR(__xludf.DUMMYFUNCTION("""COMPUTED_VALUE"""),"TRIMESTRE 3")</f>
        <v>TRIMESTRE 3</v>
      </c>
      <c r="M628" s="42" t="str">
        <f ca="1">IFERROR(__xludf.DUMMYFUNCTION("""COMPUTED_VALUE"""),"ADOLESCENTES MUJERES")</f>
        <v>ADOLESCENTES MUJERES</v>
      </c>
    </row>
    <row r="629" spans="1:13">
      <c r="A629" s="42" t="str">
        <f ca="1">IFERROR(__xludf.DUMMYFUNCTION("""COMPUTED_VALUE"""),"2.1.1.6")</f>
        <v>2.1.1.6</v>
      </c>
      <c r="B629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29" s="42" t="str">
        <f ca="1">IFERROR(__xludf.DUMMYFUNCTION("""COMPUTED_VALUE"""),"3. Operación")</f>
        <v>3. Operación</v>
      </c>
      <c r="D629" s="42" t="str">
        <f ca="1">IFERROR(__xludf.DUMMYFUNCTION("""COMPUTED_VALUE"""),"Guadalajara en Paz")</f>
        <v>Guadalajara en Paz</v>
      </c>
      <c r="E629" s="42" t="str">
        <f ca="1">IFERROR(__xludf.DUMMYFUNCTION("""COMPUTED_VALUE"""),"Asistencia Alimentaria y Nutrición")</f>
        <v>Asistencia Alimentaria y Nutrición</v>
      </c>
      <c r="F629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629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629" s="42" t="str">
        <f ca="1">IFERROR(__xludf.DUMMYFUNCTION("""COMPUTED_VALUE"""),"AH AGOSTO")</f>
        <v>AH AGOSTO</v>
      </c>
      <c r="I629" s="42" t="str">
        <f ca="1">IFERROR(__xludf.DUMMYFUNCTION("""COMPUTED_VALUE"""),"Agosto")</f>
        <v>Agosto</v>
      </c>
      <c r="J629" s="42" t="str">
        <f ca="1">IFERROR(__xludf.DUMMYFUNCTION("""COMPUTED_VALUE"""),"AH")</f>
        <v>AH</v>
      </c>
      <c r="K629" s="98">
        <f ca="1">IFERROR(__xludf.DUMMYFUNCTION("""COMPUTED_VALUE"""),11)</f>
        <v>11</v>
      </c>
      <c r="L629" s="42" t="str">
        <f ca="1">IFERROR(__xludf.DUMMYFUNCTION("""COMPUTED_VALUE"""),"TRIMESTRE 3")</f>
        <v>TRIMESTRE 3</v>
      </c>
      <c r="M629" s="42" t="str">
        <f ca="1">IFERROR(__xludf.DUMMYFUNCTION("""COMPUTED_VALUE"""),"ADOLESCENTES HOMBRES")</f>
        <v>ADOLESCENTES HOMBRES</v>
      </c>
    </row>
    <row r="630" spans="1:13">
      <c r="A630" s="42" t="str">
        <f ca="1">IFERROR(__xludf.DUMMYFUNCTION("""COMPUTED_VALUE"""),"2.1.1.6")</f>
        <v>2.1.1.6</v>
      </c>
      <c r="B630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30" s="42" t="str">
        <f ca="1">IFERROR(__xludf.DUMMYFUNCTION("""COMPUTED_VALUE"""),"3. Operación")</f>
        <v>3. Operación</v>
      </c>
      <c r="D630" s="42" t="str">
        <f ca="1">IFERROR(__xludf.DUMMYFUNCTION("""COMPUTED_VALUE"""),"Guadalajara en Paz")</f>
        <v>Guadalajara en Paz</v>
      </c>
      <c r="E630" s="42" t="str">
        <f ca="1">IFERROR(__xludf.DUMMYFUNCTION("""COMPUTED_VALUE"""),"Asistencia Alimentaria y Nutrición")</f>
        <v>Asistencia Alimentaria y Nutrición</v>
      </c>
      <c r="F630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630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630" s="42" t="str">
        <f ca="1">IFERROR(__xludf.DUMMYFUNCTION("""COMPUTED_VALUE"""),"MUJ Agosto")</f>
        <v>MUJ Agosto</v>
      </c>
      <c r="I630" s="42" t="str">
        <f ca="1">IFERROR(__xludf.DUMMYFUNCTION("""COMPUTED_VALUE"""),"Agosto")</f>
        <v>Agosto</v>
      </c>
      <c r="J630" s="42" t="str">
        <f ca="1">IFERROR(__xludf.DUMMYFUNCTION("""COMPUTED_VALUE"""),"MUJ")</f>
        <v>MUJ</v>
      </c>
      <c r="K630" s="98">
        <f ca="1">IFERROR(__xludf.DUMMYFUNCTION("""COMPUTED_VALUE"""),238)</f>
        <v>238</v>
      </c>
      <c r="L630" s="42" t="str">
        <f ca="1">IFERROR(__xludf.DUMMYFUNCTION("""COMPUTED_VALUE"""),"TRIMESTRE 3")</f>
        <v>TRIMESTRE 3</v>
      </c>
      <c r="M630" s="42" t="str">
        <f ca="1">IFERROR(__xludf.DUMMYFUNCTION("""COMPUTED_VALUE"""),"MUJERES ADULTAS")</f>
        <v>MUJERES ADULTAS</v>
      </c>
    </row>
    <row r="631" spans="1:13">
      <c r="A631" s="42" t="str">
        <f ca="1">IFERROR(__xludf.DUMMYFUNCTION("""COMPUTED_VALUE"""),"2.1.1.6")</f>
        <v>2.1.1.6</v>
      </c>
      <c r="B631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31" s="42" t="str">
        <f ca="1">IFERROR(__xludf.DUMMYFUNCTION("""COMPUTED_VALUE"""),"3. Operación")</f>
        <v>3. Operación</v>
      </c>
      <c r="D631" s="42" t="str">
        <f ca="1">IFERROR(__xludf.DUMMYFUNCTION("""COMPUTED_VALUE"""),"Guadalajara en Paz")</f>
        <v>Guadalajara en Paz</v>
      </c>
      <c r="E631" s="42" t="str">
        <f ca="1">IFERROR(__xludf.DUMMYFUNCTION("""COMPUTED_VALUE"""),"Asistencia Alimentaria y Nutrición")</f>
        <v>Asistencia Alimentaria y Nutrición</v>
      </c>
      <c r="F631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631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631" s="42" t="str">
        <f ca="1">IFERROR(__xludf.DUMMYFUNCTION("""COMPUTED_VALUE"""),"HOM Agosto")</f>
        <v>HOM Agosto</v>
      </c>
      <c r="I631" s="42" t="str">
        <f ca="1">IFERROR(__xludf.DUMMYFUNCTION("""COMPUTED_VALUE"""),"Agosto")</f>
        <v>Agosto</v>
      </c>
      <c r="J631" s="42" t="str">
        <f ca="1">IFERROR(__xludf.DUMMYFUNCTION("""COMPUTED_VALUE"""),"HOM")</f>
        <v>HOM</v>
      </c>
      <c r="K631" s="98">
        <f ca="1">IFERROR(__xludf.DUMMYFUNCTION("""COMPUTED_VALUE"""),91)</f>
        <v>91</v>
      </c>
      <c r="L631" s="42" t="str">
        <f ca="1">IFERROR(__xludf.DUMMYFUNCTION("""COMPUTED_VALUE"""),"TRIMESTRE 3")</f>
        <v>TRIMESTRE 3</v>
      </c>
      <c r="M631" s="42" t="str">
        <f ca="1">IFERROR(__xludf.DUMMYFUNCTION("""COMPUTED_VALUE"""),"HOMBRES ADULTOS")</f>
        <v>HOMBRES ADULTOS</v>
      </c>
    </row>
    <row r="632" spans="1:13">
      <c r="A632" s="42" t="str">
        <f ca="1">IFERROR(__xludf.DUMMYFUNCTION("""COMPUTED_VALUE"""),"2.1.1.6")</f>
        <v>2.1.1.6</v>
      </c>
      <c r="B632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32" s="42" t="str">
        <f ca="1">IFERROR(__xludf.DUMMYFUNCTION("""COMPUTED_VALUE"""),"3. Operación")</f>
        <v>3. Operación</v>
      </c>
      <c r="D632" s="42" t="str">
        <f ca="1">IFERROR(__xludf.DUMMYFUNCTION("""COMPUTED_VALUE"""),"Guadalajara en Paz")</f>
        <v>Guadalajara en Paz</v>
      </c>
      <c r="E632" s="42" t="str">
        <f ca="1">IFERROR(__xludf.DUMMYFUNCTION("""COMPUTED_VALUE"""),"Asistencia Alimentaria y Nutrición")</f>
        <v>Asistencia Alimentaria y Nutrición</v>
      </c>
      <c r="F632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632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632" s="42" t="str">
        <f ca="1">IFERROR(__xludf.DUMMYFUNCTION("""COMPUTED_VALUE"""),"AMM Agosto")</f>
        <v>AMM Agosto</v>
      </c>
      <c r="I632" s="42" t="str">
        <f ca="1">IFERROR(__xludf.DUMMYFUNCTION("""COMPUTED_VALUE"""),"Agosto")</f>
        <v>Agosto</v>
      </c>
      <c r="J632" s="42" t="str">
        <f ca="1">IFERROR(__xludf.DUMMYFUNCTION("""COMPUTED_VALUE"""),"AMM")</f>
        <v>AMM</v>
      </c>
      <c r="K632" s="98">
        <f ca="1">IFERROR(__xludf.DUMMYFUNCTION("""COMPUTED_VALUE"""),1329)</f>
        <v>1329</v>
      </c>
      <c r="L632" s="42" t="str">
        <f ca="1">IFERROR(__xludf.DUMMYFUNCTION("""COMPUTED_VALUE"""),"TRIMESTRE 3")</f>
        <v>TRIMESTRE 3</v>
      </c>
      <c r="M632" s="42" t="str">
        <f ca="1">IFERROR(__xludf.DUMMYFUNCTION("""COMPUTED_VALUE"""),"ADULTA MAYOR MUJER")</f>
        <v>ADULTA MAYOR MUJER</v>
      </c>
    </row>
    <row r="633" spans="1:13">
      <c r="A633" s="42" t="str">
        <f ca="1">IFERROR(__xludf.DUMMYFUNCTION("""COMPUTED_VALUE"""),"2.1.1.6")</f>
        <v>2.1.1.6</v>
      </c>
      <c r="B633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33" s="42" t="str">
        <f ca="1">IFERROR(__xludf.DUMMYFUNCTION("""COMPUTED_VALUE"""),"3. Operación")</f>
        <v>3. Operación</v>
      </c>
      <c r="D633" s="42" t="str">
        <f ca="1">IFERROR(__xludf.DUMMYFUNCTION("""COMPUTED_VALUE"""),"Guadalajara en Paz")</f>
        <v>Guadalajara en Paz</v>
      </c>
      <c r="E633" s="42" t="str">
        <f ca="1">IFERROR(__xludf.DUMMYFUNCTION("""COMPUTED_VALUE"""),"Asistencia Alimentaria y Nutrición")</f>
        <v>Asistencia Alimentaria y Nutrición</v>
      </c>
      <c r="F633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633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633" s="42" t="str">
        <f ca="1">IFERROR(__xludf.DUMMYFUNCTION("""COMPUTED_VALUE"""),"AMH Agosto")</f>
        <v>AMH Agosto</v>
      </c>
      <c r="I633" s="42" t="str">
        <f ca="1">IFERROR(__xludf.DUMMYFUNCTION("""COMPUTED_VALUE"""),"Agosto")</f>
        <v>Agosto</v>
      </c>
      <c r="J633" s="42" t="str">
        <f ca="1">IFERROR(__xludf.DUMMYFUNCTION("""COMPUTED_VALUE"""),"AMH")</f>
        <v>AMH</v>
      </c>
      <c r="K633" s="98">
        <f ca="1">IFERROR(__xludf.DUMMYFUNCTION("""COMPUTED_VALUE"""),358)</f>
        <v>358</v>
      </c>
      <c r="L633" s="42" t="str">
        <f ca="1">IFERROR(__xludf.DUMMYFUNCTION("""COMPUTED_VALUE"""),"TRIMESTRE 3")</f>
        <v>TRIMESTRE 3</v>
      </c>
      <c r="M633" s="42" t="str">
        <f ca="1">IFERROR(__xludf.DUMMYFUNCTION("""COMPUTED_VALUE"""),"ADULTO MAYOR HOMBRE")</f>
        <v>ADULTO MAYOR HOMBRE</v>
      </c>
    </row>
    <row r="634" spans="1:13">
      <c r="A634" s="42" t="str">
        <f ca="1">IFERROR(__xludf.DUMMYFUNCTION("""COMPUTED_VALUE"""),"2.1.1.7")</f>
        <v>2.1.1.7</v>
      </c>
      <c r="B634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34" s="42" t="str">
        <f ca="1">IFERROR(__xludf.DUMMYFUNCTION("""COMPUTED_VALUE"""),"3. Operación")</f>
        <v>3. Operación</v>
      </c>
      <c r="D634" s="42" t="str">
        <f ca="1">IFERROR(__xludf.DUMMYFUNCTION("""COMPUTED_VALUE"""),"Guadalajara en Paz")</f>
        <v>Guadalajara en Paz</v>
      </c>
      <c r="E634" s="42" t="str">
        <f ca="1">IFERROR(__xludf.DUMMYFUNCTION("""COMPUTED_VALUE"""),"Asistencia Alimentaria y Nutrición")</f>
        <v>Asistencia Alimentaria y Nutrición</v>
      </c>
      <c r="F634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634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634" s="42" t="str">
        <f ca="1">IFERROR(__xludf.DUMMYFUNCTION("""COMPUTED_VALUE"""),"NAS Agosto")</f>
        <v>NAS Agosto</v>
      </c>
      <c r="I634" s="42" t="str">
        <f ca="1">IFERROR(__xludf.DUMMYFUNCTION("""COMPUTED_VALUE"""),"Agosto")</f>
        <v>Agosto</v>
      </c>
      <c r="J634" s="42" t="str">
        <f ca="1">IFERROR(__xludf.DUMMYFUNCTION("""COMPUTED_VALUE"""),"NAS")</f>
        <v>NAS</v>
      </c>
      <c r="K634" s="98">
        <f ca="1">IFERROR(__xludf.DUMMYFUNCTION("""COMPUTED_VALUE"""),65)</f>
        <v>65</v>
      </c>
      <c r="L634" s="42" t="str">
        <f ca="1">IFERROR(__xludf.DUMMYFUNCTION("""COMPUTED_VALUE"""),"TRIMESTRE 3")</f>
        <v>TRIMESTRE 3</v>
      </c>
      <c r="M634" s="42" t="str">
        <f ca="1">IFERROR(__xludf.DUMMYFUNCTION("""COMPUTED_VALUE"""),"NIÑAS")</f>
        <v>NIÑAS</v>
      </c>
    </row>
    <row r="635" spans="1:13">
      <c r="A635" s="42" t="str">
        <f ca="1">IFERROR(__xludf.DUMMYFUNCTION("""COMPUTED_VALUE"""),"2.1.1.7")</f>
        <v>2.1.1.7</v>
      </c>
      <c r="B635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35" s="42" t="str">
        <f ca="1">IFERROR(__xludf.DUMMYFUNCTION("""COMPUTED_VALUE"""),"3. Operación")</f>
        <v>3. Operación</v>
      </c>
      <c r="D635" s="42" t="str">
        <f ca="1">IFERROR(__xludf.DUMMYFUNCTION("""COMPUTED_VALUE"""),"Guadalajara en Paz")</f>
        <v>Guadalajara en Paz</v>
      </c>
      <c r="E635" s="42" t="str">
        <f ca="1">IFERROR(__xludf.DUMMYFUNCTION("""COMPUTED_VALUE"""),"Asistencia Alimentaria y Nutrición")</f>
        <v>Asistencia Alimentaria y Nutrición</v>
      </c>
      <c r="F635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635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635" s="42" t="str">
        <f ca="1">IFERROR(__xludf.DUMMYFUNCTION("""COMPUTED_VALUE"""),"NOS Agosto")</f>
        <v>NOS Agosto</v>
      </c>
      <c r="I635" s="42" t="str">
        <f ca="1">IFERROR(__xludf.DUMMYFUNCTION("""COMPUTED_VALUE"""),"Agosto")</f>
        <v>Agosto</v>
      </c>
      <c r="J635" s="42" t="str">
        <f ca="1">IFERROR(__xludf.DUMMYFUNCTION("""COMPUTED_VALUE"""),"NOS")</f>
        <v>NOS</v>
      </c>
      <c r="K635" s="98">
        <f ca="1">IFERROR(__xludf.DUMMYFUNCTION("""COMPUTED_VALUE"""),60)</f>
        <v>60</v>
      </c>
      <c r="L635" s="42" t="str">
        <f ca="1">IFERROR(__xludf.DUMMYFUNCTION("""COMPUTED_VALUE"""),"TRIMESTRE 3")</f>
        <v>TRIMESTRE 3</v>
      </c>
      <c r="M635" s="42" t="str">
        <f ca="1">IFERROR(__xludf.DUMMYFUNCTION("""COMPUTED_VALUE"""),"NIÑOS")</f>
        <v>NIÑOS</v>
      </c>
    </row>
    <row r="636" spans="1:13">
      <c r="A636" s="42" t="str">
        <f ca="1">IFERROR(__xludf.DUMMYFUNCTION("""COMPUTED_VALUE"""),"2.1.1.7")</f>
        <v>2.1.1.7</v>
      </c>
      <c r="B636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36" s="42" t="str">
        <f ca="1">IFERROR(__xludf.DUMMYFUNCTION("""COMPUTED_VALUE"""),"3. Operación")</f>
        <v>3. Operación</v>
      </c>
      <c r="D636" s="42" t="str">
        <f ca="1">IFERROR(__xludf.DUMMYFUNCTION("""COMPUTED_VALUE"""),"Guadalajara en Paz")</f>
        <v>Guadalajara en Paz</v>
      </c>
      <c r="E636" s="42" t="str">
        <f ca="1">IFERROR(__xludf.DUMMYFUNCTION("""COMPUTED_VALUE"""),"Asistencia Alimentaria y Nutrición")</f>
        <v>Asistencia Alimentaria y Nutrición</v>
      </c>
      <c r="F636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636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636" s="42" t="str">
        <f ca="1">IFERROR(__xludf.DUMMYFUNCTION("""COMPUTED_VALUE"""),"AM AGOSTO")</f>
        <v>AM AGOSTO</v>
      </c>
      <c r="I636" s="42" t="str">
        <f ca="1">IFERROR(__xludf.DUMMYFUNCTION("""COMPUTED_VALUE"""),"Agosto")</f>
        <v>Agosto</v>
      </c>
      <c r="J636" s="42" t="str">
        <f ca="1">IFERROR(__xludf.DUMMYFUNCTION("""COMPUTED_VALUE"""),"AM")</f>
        <v>AM</v>
      </c>
      <c r="K636" s="98">
        <f ca="1">IFERROR(__xludf.DUMMYFUNCTION("""COMPUTED_VALUE"""),0)</f>
        <v>0</v>
      </c>
      <c r="L636" s="42" t="str">
        <f ca="1">IFERROR(__xludf.DUMMYFUNCTION("""COMPUTED_VALUE"""),"TRIMESTRE 3")</f>
        <v>TRIMESTRE 3</v>
      </c>
      <c r="M636" s="42" t="str">
        <f ca="1">IFERROR(__xludf.DUMMYFUNCTION("""COMPUTED_VALUE"""),"ADOLESCENTES MUJERES")</f>
        <v>ADOLESCENTES MUJERES</v>
      </c>
    </row>
    <row r="637" spans="1:13">
      <c r="A637" s="42" t="str">
        <f ca="1">IFERROR(__xludf.DUMMYFUNCTION("""COMPUTED_VALUE"""),"2.1.1.7")</f>
        <v>2.1.1.7</v>
      </c>
      <c r="B637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37" s="42" t="str">
        <f ca="1">IFERROR(__xludf.DUMMYFUNCTION("""COMPUTED_VALUE"""),"3. Operación")</f>
        <v>3. Operación</v>
      </c>
      <c r="D637" s="42" t="str">
        <f ca="1">IFERROR(__xludf.DUMMYFUNCTION("""COMPUTED_VALUE"""),"Guadalajara en Paz")</f>
        <v>Guadalajara en Paz</v>
      </c>
      <c r="E637" s="42" t="str">
        <f ca="1">IFERROR(__xludf.DUMMYFUNCTION("""COMPUTED_VALUE"""),"Asistencia Alimentaria y Nutrición")</f>
        <v>Asistencia Alimentaria y Nutrición</v>
      </c>
      <c r="F637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637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637" s="42" t="str">
        <f ca="1">IFERROR(__xludf.DUMMYFUNCTION("""COMPUTED_VALUE"""),"AH AGOSTO")</f>
        <v>AH AGOSTO</v>
      </c>
      <c r="I637" s="42" t="str">
        <f ca="1">IFERROR(__xludf.DUMMYFUNCTION("""COMPUTED_VALUE"""),"Agosto")</f>
        <v>Agosto</v>
      </c>
      <c r="J637" s="42" t="str">
        <f ca="1">IFERROR(__xludf.DUMMYFUNCTION("""COMPUTED_VALUE"""),"AH")</f>
        <v>AH</v>
      </c>
      <c r="K637" s="98">
        <f ca="1">IFERROR(__xludf.DUMMYFUNCTION("""COMPUTED_VALUE"""),0)</f>
        <v>0</v>
      </c>
      <c r="L637" s="42" t="str">
        <f ca="1">IFERROR(__xludf.DUMMYFUNCTION("""COMPUTED_VALUE"""),"TRIMESTRE 3")</f>
        <v>TRIMESTRE 3</v>
      </c>
      <c r="M637" s="42" t="str">
        <f ca="1">IFERROR(__xludf.DUMMYFUNCTION("""COMPUTED_VALUE"""),"ADOLESCENTES HOMBRES")</f>
        <v>ADOLESCENTES HOMBRES</v>
      </c>
    </row>
    <row r="638" spans="1:13">
      <c r="A638" s="42" t="str">
        <f ca="1">IFERROR(__xludf.DUMMYFUNCTION("""COMPUTED_VALUE"""),"2.1.1.7")</f>
        <v>2.1.1.7</v>
      </c>
      <c r="B638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38" s="42" t="str">
        <f ca="1">IFERROR(__xludf.DUMMYFUNCTION("""COMPUTED_VALUE"""),"3. Operación")</f>
        <v>3. Operación</v>
      </c>
      <c r="D638" s="42" t="str">
        <f ca="1">IFERROR(__xludf.DUMMYFUNCTION("""COMPUTED_VALUE"""),"Guadalajara en Paz")</f>
        <v>Guadalajara en Paz</v>
      </c>
      <c r="E638" s="42" t="str">
        <f ca="1">IFERROR(__xludf.DUMMYFUNCTION("""COMPUTED_VALUE"""),"Asistencia Alimentaria y Nutrición")</f>
        <v>Asistencia Alimentaria y Nutrición</v>
      </c>
      <c r="F638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638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638" s="42" t="str">
        <f ca="1">IFERROR(__xludf.DUMMYFUNCTION("""COMPUTED_VALUE"""),"MUJ Agosto")</f>
        <v>MUJ Agosto</v>
      </c>
      <c r="I638" s="42" t="str">
        <f ca="1">IFERROR(__xludf.DUMMYFUNCTION("""COMPUTED_VALUE"""),"Agosto")</f>
        <v>Agosto</v>
      </c>
      <c r="J638" s="42" t="str">
        <f ca="1">IFERROR(__xludf.DUMMYFUNCTION("""COMPUTED_VALUE"""),"MUJ")</f>
        <v>MUJ</v>
      </c>
      <c r="K638" s="98">
        <f ca="1">IFERROR(__xludf.DUMMYFUNCTION("""COMPUTED_VALUE"""),210)</f>
        <v>210</v>
      </c>
      <c r="L638" s="42" t="str">
        <f ca="1">IFERROR(__xludf.DUMMYFUNCTION("""COMPUTED_VALUE"""),"TRIMESTRE 3")</f>
        <v>TRIMESTRE 3</v>
      </c>
      <c r="M638" s="42" t="str">
        <f ca="1">IFERROR(__xludf.DUMMYFUNCTION("""COMPUTED_VALUE"""),"MUJERES ADULTAS")</f>
        <v>MUJERES ADULTAS</v>
      </c>
    </row>
    <row r="639" spans="1:13">
      <c r="A639" s="42" t="str">
        <f ca="1">IFERROR(__xludf.DUMMYFUNCTION("""COMPUTED_VALUE"""),"2.1.1.7")</f>
        <v>2.1.1.7</v>
      </c>
      <c r="B639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39" s="42" t="str">
        <f ca="1">IFERROR(__xludf.DUMMYFUNCTION("""COMPUTED_VALUE"""),"3. Operación")</f>
        <v>3. Operación</v>
      </c>
      <c r="D639" s="42" t="str">
        <f ca="1">IFERROR(__xludf.DUMMYFUNCTION("""COMPUTED_VALUE"""),"Guadalajara en Paz")</f>
        <v>Guadalajara en Paz</v>
      </c>
      <c r="E639" s="42" t="str">
        <f ca="1">IFERROR(__xludf.DUMMYFUNCTION("""COMPUTED_VALUE"""),"Asistencia Alimentaria y Nutrición")</f>
        <v>Asistencia Alimentaria y Nutrición</v>
      </c>
      <c r="F639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639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639" s="42" t="str">
        <f ca="1">IFERROR(__xludf.DUMMYFUNCTION("""COMPUTED_VALUE"""),"HOM Agosto")</f>
        <v>HOM Agosto</v>
      </c>
      <c r="I639" s="42" t="str">
        <f ca="1">IFERROR(__xludf.DUMMYFUNCTION("""COMPUTED_VALUE"""),"Agosto")</f>
        <v>Agosto</v>
      </c>
      <c r="J639" s="42" t="str">
        <f ca="1">IFERROR(__xludf.DUMMYFUNCTION("""COMPUTED_VALUE"""),"HOM")</f>
        <v>HOM</v>
      </c>
      <c r="K639" s="98">
        <f ca="1">IFERROR(__xludf.DUMMYFUNCTION("""COMPUTED_VALUE"""),0)</f>
        <v>0</v>
      </c>
      <c r="L639" s="42" t="str">
        <f ca="1">IFERROR(__xludf.DUMMYFUNCTION("""COMPUTED_VALUE"""),"TRIMESTRE 3")</f>
        <v>TRIMESTRE 3</v>
      </c>
      <c r="M639" s="42" t="str">
        <f ca="1">IFERROR(__xludf.DUMMYFUNCTION("""COMPUTED_VALUE"""),"HOMBRES ADULTOS")</f>
        <v>HOMBRES ADULTOS</v>
      </c>
    </row>
    <row r="640" spans="1:13">
      <c r="A640" s="42" t="str">
        <f ca="1">IFERROR(__xludf.DUMMYFUNCTION("""COMPUTED_VALUE"""),"2.1.1.7")</f>
        <v>2.1.1.7</v>
      </c>
      <c r="B640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40" s="42" t="str">
        <f ca="1">IFERROR(__xludf.DUMMYFUNCTION("""COMPUTED_VALUE"""),"3. Operación")</f>
        <v>3. Operación</v>
      </c>
      <c r="D640" s="42" t="str">
        <f ca="1">IFERROR(__xludf.DUMMYFUNCTION("""COMPUTED_VALUE"""),"Guadalajara en Paz")</f>
        <v>Guadalajara en Paz</v>
      </c>
      <c r="E640" s="42" t="str">
        <f ca="1">IFERROR(__xludf.DUMMYFUNCTION("""COMPUTED_VALUE"""),"Asistencia Alimentaria y Nutrición")</f>
        <v>Asistencia Alimentaria y Nutrición</v>
      </c>
      <c r="F640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640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640" s="42" t="str">
        <f ca="1">IFERROR(__xludf.DUMMYFUNCTION("""COMPUTED_VALUE"""),"AMM Agosto")</f>
        <v>AMM Agosto</v>
      </c>
      <c r="I640" s="42" t="str">
        <f ca="1">IFERROR(__xludf.DUMMYFUNCTION("""COMPUTED_VALUE"""),"Agosto")</f>
        <v>Agosto</v>
      </c>
      <c r="J640" s="42" t="str">
        <f ca="1">IFERROR(__xludf.DUMMYFUNCTION("""COMPUTED_VALUE"""),"AMM")</f>
        <v>AMM</v>
      </c>
      <c r="K640" s="98">
        <f ca="1">IFERROR(__xludf.DUMMYFUNCTION("""COMPUTED_VALUE"""),0)</f>
        <v>0</v>
      </c>
      <c r="L640" s="42" t="str">
        <f ca="1">IFERROR(__xludf.DUMMYFUNCTION("""COMPUTED_VALUE"""),"TRIMESTRE 3")</f>
        <v>TRIMESTRE 3</v>
      </c>
      <c r="M640" s="42" t="str">
        <f ca="1">IFERROR(__xludf.DUMMYFUNCTION("""COMPUTED_VALUE"""),"ADULTA MAYOR MUJER")</f>
        <v>ADULTA MAYOR MUJER</v>
      </c>
    </row>
    <row r="641" spans="1:13">
      <c r="A641" s="42" t="str">
        <f ca="1">IFERROR(__xludf.DUMMYFUNCTION("""COMPUTED_VALUE"""),"2.1.1.7")</f>
        <v>2.1.1.7</v>
      </c>
      <c r="B641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41" s="42" t="str">
        <f ca="1">IFERROR(__xludf.DUMMYFUNCTION("""COMPUTED_VALUE"""),"3. Operación")</f>
        <v>3. Operación</v>
      </c>
      <c r="D641" s="42" t="str">
        <f ca="1">IFERROR(__xludf.DUMMYFUNCTION("""COMPUTED_VALUE"""),"Guadalajara en Paz")</f>
        <v>Guadalajara en Paz</v>
      </c>
      <c r="E641" s="42" t="str">
        <f ca="1">IFERROR(__xludf.DUMMYFUNCTION("""COMPUTED_VALUE"""),"Asistencia Alimentaria y Nutrición")</f>
        <v>Asistencia Alimentaria y Nutrición</v>
      </c>
      <c r="F641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641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641" s="42" t="str">
        <f ca="1">IFERROR(__xludf.DUMMYFUNCTION("""COMPUTED_VALUE"""),"AMH Agosto")</f>
        <v>AMH Agosto</v>
      </c>
      <c r="I641" s="42" t="str">
        <f ca="1">IFERROR(__xludf.DUMMYFUNCTION("""COMPUTED_VALUE"""),"Agosto")</f>
        <v>Agosto</v>
      </c>
      <c r="J641" s="42" t="str">
        <f ca="1">IFERROR(__xludf.DUMMYFUNCTION("""COMPUTED_VALUE"""),"AMH")</f>
        <v>AMH</v>
      </c>
      <c r="K641" s="98">
        <f ca="1">IFERROR(__xludf.DUMMYFUNCTION("""COMPUTED_VALUE"""),0)</f>
        <v>0</v>
      </c>
      <c r="L641" s="42" t="str">
        <f ca="1">IFERROR(__xludf.DUMMYFUNCTION("""COMPUTED_VALUE"""),"TRIMESTRE 3")</f>
        <v>TRIMESTRE 3</v>
      </c>
      <c r="M641" s="42" t="str">
        <f ca="1">IFERROR(__xludf.DUMMYFUNCTION("""COMPUTED_VALUE"""),"ADULTO MAYOR HOMBRE")</f>
        <v>ADULTO MAYOR HOMBRE</v>
      </c>
    </row>
    <row r="642" spans="1:13">
      <c r="A642" s="42" t="str">
        <f ca="1">IFERROR(__xludf.DUMMYFUNCTION("""COMPUTED_VALUE"""),"2.1.1.4")</f>
        <v>2.1.1.4</v>
      </c>
      <c r="B642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42" s="42" t="str">
        <f ca="1">IFERROR(__xludf.DUMMYFUNCTION("""COMPUTED_VALUE"""),"3. Operación")</f>
        <v>3. Operación</v>
      </c>
      <c r="D642" s="42" t="str">
        <f ca="1">IFERROR(__xludf.DUMMYFUNCTION("""COMPUTED_VALUE"""),"Guadalajara en Paz")</f>
        <v>Guadalajara en Paz</v>
      </c>
      <c r="E642" s="42" t="str">
        <f ca="1">IFERROR(__xludf.DUMMYFUNCTION("""COMPUTED_VALUE"""),"Asistencia Alimentaria y Nutrición")</f>
        <v>Asistencia Alimentaria y Nutrición</v>
      </c>
      <c r="F642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642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642" s="42" t="str">
        <f ca="1">IFERROR(__xludf.DUMMYFUNCTION("""COMPUTED_VALUE"""),"NAS Septiembre")</f>
        <v>NAS Septiembre</v>
      </c>
      <c r="I642" s="42" t="str">
        <f ca="1">IFERROR(__xludf.DUMMYFUNCTION("""COMPUTED_VALUE"""),"Septiembre")</f>
        <v>Septiembre</v>
      </c>
      <c r="J642" s="42" t="str">
        <f ca="1">IFERROR(__xludf.DUMMYFUNCTION("""COMPUTED_VALUE"""),"NAS")</f>
        <v>NAS</v>
      </c>
      <c r="K642" s="98">
        <f ca="1">IFERROR(__xludf.DUMMYFUNCTION("""COMPUTED_VALUE"""),0)</f>
        <v>0</v>
      </c>
      <c r="L642" s="42" t="str">
        <f ca="1">IFERROR(__xludf.DUMMYFUNCTION("""COMPUTED_VALUE"""),"TRIMESTRE 3")</f>
        <v>TRIMESTRE 3</v>
      </c>
      <c r="M642" s="42" t="str">
        <f ca="1">IFERROR(__xludf.DUMMYFUNCTION("""COMPUTED_VALUE"""),"NIÑAS")</f>
        <v>NIÑAS</v>
      </c>
    </row>
    <row r="643" spans="1:13">
      <c r="A643" s="42" t="str">
        <f ca="1">IFERROR(__xludf.DUMMYFUNCTION("""COMPUTED_VALUE"""),"2.1.1.4")</f>
        <v>2.1.1.4</v>
      </c>
      <c r="B643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43" s="42" t="str">
        <f ca="1">IFERROR(__xludf.DUMMYFUNCTION("""COMPUTED_VALUE"""),"3. Operación")</f>
        <v>3. Operación</v>
      </c>
      <c r="D643" s="42" t="str">
        <f ca="1">IFERROR(__xludf.DUMMYFUNCTION("""COMPUTED_VALUE"""),"Guadalajara en Paz")</f>
        <v>Guadalajara en Paz</v>
      </c>
      <c r="E643" s="42" t="str">
        <f ca="1">IFERROR(__xludf.DUMMYFUNCTION("""COMPUTED_VALUE"""),"Asistencia Alimentaria y Nutrición")</f>
        <v>Asistencia Alimentaria y Nutrición</v>
      </c>
      <c r="F643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643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643" s="42" t="str">
        <f ca="1">IFERROR(__xludf.DUMMYFUNCTION("""COMPUTED_VALUE"""),"NOS Septiembre")</f>
        <v>NOS Septiembre</v>
      </c>
      <c r="I643" s="42" t="str">
        <f ca="1">IFERROR(__xludf.DUMMYFUNCTION("""COMPUTED_VALUE"""),"Septiembre")</f>
        <v>Septiembre</v>
      </c>
      <c r="J643" s="42" t="str">
        <f ca="1">IFERROR(__xludf.DUMMYFUNCTION("""COMPUTED_VALUE"""),"NOS")</f>
        <v>NOS</v>
      </c>
      <c r="K643" s="98">
        <f ca="1">IFERROR(__xludf.DUMMYFUNCTION("""COMPUTED_VALUE"""),0)</f>
        <v>0</v>
      </c>
      <c r="L643" s="42" t="str">
        <f ca="1">IFERROR(__xludf.DUMMYFUNCTION("""COMPUTED_VALUE"""),"TRIMESTRE 3")</f>
        <v>TRIMESTRE 3</v>
      </c>
      <c r="M643" s="42" t="str">
        <f ca="1">IFERROR(__xludf.DUMMYFUNCTION("""COMPUTED_VALUE"""),"NIÑOS")</f>
        <v>NIÑOS</v>
      </c>
    </row>
    <row r="644" spans="1:13">
      <c r="A644" s="42" t="str">
        <f ca="1">IFERROR(__xludf.DUMMYFUNCTION("""COMPUTED_VALUE"""),"2.1.1.4")</f>
        <v>2.1.1.4</v>
      </c>
      <c r="B644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44" s="42" t="str">
        <f ca="1">IFERROR(__xludf.DUMMYFUNCTION("""COMPUTED_VALUE"""),"3. Operación")</f>
        <v>3. Operación</v>
      </c>
      <c r="D644" s="42" t="str">
        <f ca="1">IFERROR(__xludf.DUMMYFUNCTION("""COMPUTED_VALUE"""),"Guadalajara en Paz")</f>
        <v>Guadalajara en Paz</v>
      </c>
      <c r="E644" s="42" t="str">
        <f ca="1">IFERROR(__xludf.DUMMYFUNCTION("""COMPUTED_VALUE"""),"Asistencia Alimentaria y Nutrición")</f>
        <v>Asistencia Alimentaria y Nutrición</v>
      </c>
      <c r="F644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644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644" s="42" t="str">
        <f ca="1">IFERROR(__xludf.DUMMYFUNCTION("""COMPUTED_VALUE"""),"AM SEPTIEMBRE")</f>
        <v>AM SEPTIEMBRE</v>
      </c>
      <c r="I644" s="42" t="str">
        <f ca="1">IFERROR(__xludf.DUMMYFUNCTION("""COMPUTED_VALUE"""),"Septiembre")</f>
        <v>Septiembre</v>
      </c>
      <c r="J644" s="42" t="str">
        <f ca="1">IFERROR(__xludf.DUMMYFUNCTION("""COMPUTED_VALUE"""),"AM")</f>
        <v>AM</v>
      </c>
      <c r="K644" s="98">
        <f ca="1">IFERROR(__xludf.DUMMYFUNCTION("""COMPUTED_VALUE"""),0)</f>
        <v>0</v>
      </c>
      <c r="L644" s="42" t="str">
        <f ca="1">IFERROR(__xludf.DUMMYFUNCTION("""COMPUTED_VALUE"""),"TRIMESTRE 3")</f>
        <v>TRIMESTRE 3</v>
      </c>
      <c r="M644" s="42" t="str">
        <f ca="1">IFERROR(__xludf.DUMMYFUNCTION("""COMPUTED_VALUE"""),"ADOLESCENTES MUJERES")</f>
        <v>ADOLESCENTES MUJERES</v>
      </c>
    </row>
    <row r="645" spans="1:13">
      <c r="A645" s="42" t="str">
        <f ca="1">IFERROR(__xludf.DUMMYFUNCTION("""COMPUTED_VALUE"""),"2.1.1.4")</f>
        <v>2.1.1.4</v>
      </c>
      <c r="B645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45" s="42" t="str">
        <f ca="1">IFERROR(__xludf.DUMMYFUNCTION("""COMPUTED_VALUE"""),"3. Operación")</f>
        <v>3. Operación</v>
      </c>
      <c r="D645" s="42" t="str">
        <f ca="1">IFERROR(__xludf.DUMMYFUNCTION("""COMPUTED_VALUE"""),"Guadalajara en Paz")</f>
        <v>Guadalajara en Paz</v>
      </c>
      <c r="E645" s="42" t="str">
        <f ca="1">IFERROR(__xludf.DUMMYFUNCTION("""COMPUTED_VALUE"""),"Asistencia Alimentaria y Nutrición")</f>
        <v>Asistencia Alimentaria y Nutrición</v>
      </c>
      <c r="F645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645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645" s="42" t="str">
        <f ca="1">IFERROR(__xludf.DUMMYFUNCTION("""COMPUTED_VALUE"""),"AH SEPTIEMBRE")</f>
        <v>AH SEPTIEMBRE</v>
      </c>
      <c r="I645" s="42" t="str">
        <f ca="1">IFERROR(__xludf.DUMMYFUNCTION("""COMPUTED_VALUE"""),"Septiembre")</f>
        <v>Septiembre</v>
      </c>
      <c r="J645" s="42" t="str">
        <f ca="1">IFERROR(__xludf.DUMMYFUNCTION("""COMPUTED_VALUE"""),"AH")</f>
        <v>AH</v>
      </c>
      <c r="K645" s="98">
        <f ca="1">IFERROR(__xludf.DUMMYFUNCTION("""COMPUTED_VALUE"""),0)</f>
        <v>0</v>
      </c>
      <c r="L645" s="42" t="str">
        <f ca="1">IFERROR(__xludf.DUMMYFUNCTION("""COMPUTED_VALUE"""),"TRIMESTRE 3")</f>
        <v>TRIMESTRE 3</v>
      </c>
      <c r="M645" s="42" t="str">
        <f ca="1">IFERROR(__xludf.DUMMYFUNCTION("""COMPUTED_VALUE"""),"ADOLESCENTES HOMBRES")</f>
        <v>ADOLESCENTES HOMBRES</v>
      </c>
    </row>
    <row r="646" spans="1:13">
      <c r="A646" s="42" t="str">
        <f ca="1">IFERROR(__xludf.DUMMYFUNCTION("""COMPUTED_VALUE"""),"2.1.1.4")</f>
        <v>2.1.1.4</v>
      </c>
      <c r="B646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46" s="42" t="str">
        <f ca="1">IFERROR(__xludf.DUMMYFUNCTION("""COMPUTED_VALUE"""),"3. Operación")</f>
        <v>3. Operación</v>
      </c>
      <c r="D646" s="42" t="str">
        <f ca="1">IFERROR(__xludf.DUMMYFUNCTION("""COMPUTED_VALUE"""),"Guadalajara en Paz")</f>
        <v>Guadalajara en Paz</v>
      </c>
      <c r="E646" s="42" t="str">
        <f ca="1">IFERROR(__xludf.DUMMYFUNCTION("""COMPUTED_VALUE"""),"Asistencia Alimentaria y Nutrición")</f>
        <v>Asistencia Alimentaria y Nutrición</v>
      </c>
      <c r="F646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646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646" s="42" t="str">
        <f ca="1">IFERROR(__xludf.DUMMYFUNCTION("""COMPUTED_VALUE"""),"MUJ Septiembre")</f>
        <v>MUJ Septiembre</v>
      </c>
      <c r="I646" s="42" t="str">
        <f ca="1">IFERROR(__xludf.DUMMYFUNCTION("""COMPUTED_VALUE"""),"Septiembre")</f>
        <v>Septiembre</v>
      </c>
      <c r="J646" s="42" t="str">
        <f ca="1">IFERROR(__xludf.DUMMYFUNCTION("""COMPUTED_VALUE"""),"MUJ")</f>
        <v>MUJ</v>
      </c>
      <c r="K646" s="98">
        <f ca="1">IFERROR(__xludf.DUMMYFUNCTION("""COMPUTED_VALUE"""),0)</f>
        <v>0</v>
      </c>
      <c r="L646" s="42" t="str">
        <f ca="1">IFERROR(__xludf.DUMMYFUNCTION("""COMPUTED_VALUE"""),"TRIMESTRE 3")</f>
        <v>TRIMESTRE 3</v>
      </c>
      <c r="M646" s="42" t="str">
        <f ca="1">IFERROR(__xludf.DUMMYFUNCTION("""COMPUTED_VALUE"""),"MUJERES ADULTAS")</f>
        <v>MUJERES ADULTAS</v>
      </c>
    </row>
    <row r="647" spans="1:13">
      <c r="A647" s="42" t="str">
        <f ca="1">IFERROR(__xludf.DUMMYFUNCTION("""COMPUTED_VALUE"""),"2.1.1.4")</f>
        <v>2.1.1.4</v>
      </c>
      <c r="B647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47" s="42" t="str">
        <f ca="1">IFERROR(__xludf.DUMMYFUNCTION("""COMPUTED_VALUE"""),"3. Operación")</f>
        <v>3. Operación</v>
      </c>
      <c r="D647" s="42" t="str">
        <f ca="1">IFERROR(__xludf.DUMMYFUNCTION("""COMPUTED_VALUE"""),"Guadalajara en Paz")</f>
        <v>Guadalajara en Paz</v>
      </c>
      <c r="E647" s="42" t="str">
        <f ca="1">IFERROR(__xludf.DUMMYFUNCTION("""COMPUTED_VALUE"""),"Asistencia Alimentaria y Nutrición")</f>
        <v>Asistencia Alimentaria y Nutrición</v>
      </c>
      <c r="F647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647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647" s="42" t="str">
        <f ca="1">IFERROR(__xludf.DUMMYFUNCTION("""COMPUTED_VALUE"""),"HOM Septiembre")</f>
        <v>HOM Septiembre</v>
      </c>
      <c r="I647" s="42" t="str">
        <f ca="1">IFERROR(__xludf.DUMMYFUNCTION("""COMPUTED_VALUE"""),"Septiembre")</f>
        <v>Septiembre</v>
      </c>
      <c r="J647" s="42" t="str">
        <f ca="1">IFERROR(__xludf.DUMMYFUNCTION("""COMPUTED_VALUE"""),"HOM")</f>
        <v>HOM</v>
      </c>
      <c r="K647" s="98">
        <f ca="1">IFERROR(__xludf.DUMMYFUNCTION("""COMPUTED_VALUE"""),0)</f>
        <v>0</v>
      </c>
      <c r="L647" s="42" t="str">
        <f ca="1">IFERROR(__xludf.DUMMYFUNCTION("""COMPUTED_VALUE"""),"TRIMESTRE 3")</f>
        <v>TRIMESTRE 3</v>
      </c>
      <c r="M647" s="42" t="str">
        <f ca="1">IFERROR(__xludf.DUMMYFUNCTION("""COMPUTED_VALUE"""),"HOMBRES ADULTOS")</f>
        <v>HOMBRES ADULTOS</v>
      </c>
    </row>
    <row r="648" spans="1:13">
      <c r="A648" s="42" t="str">
        <f ca="1">IFERROR(__xludf.DUMMYFUNCTION("""COMPUTED_VALUE"""),"2.1.1.4")</f>
        <v>2.1.1.4</v>
      </c>
      <c r="B648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48" s="42" t="str">
        <f ca="1">IFERROR(__xludf.DUMMYFUNCTION("""COMPUTED_VALUE"""),"3. Operación")</f>
        <v>3. Operación</v>
      </c>
      <c r="D648" s="42" t="str">
        <f ca="1">IFERROR(__xludf.DUMMYFUNCTION("""COMPUTED_VALUE"""),"Guadalajara en Paz")</f>
        <v>Guadalajara en Paz</v>
      </c>
      <c r="E648" s="42" t="str">
        <f ca="1">IFERROR(__xludf.DUMMYFUNCTION("""COMPUTED_VALUE"""),"Asistencia Alimentaria y Nutrición")</f>
        <v>Asistencia Alimentaria y Nutrición</v>
      </c>
      <c r="F648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648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648" s="42" t="str">
        <f ca="1">IFERROR(__xludf.DUMMYFUNCTION("""COMPUTED_VALUE"""),"AMM Septiembre")</f>
        <v>AMM Septiembre</v>
      </c>
      <c r="I648" s="42" t="str">
        <f ca="1">IFERROR(__xludf.DUMMYFUNCTION("""COMPUTED_VALUE"""),"Septiembre")</f>
        <v>Septiembre</v>
      </c>
      <c r="J648" s="42" t="str">
        <f ca="1">IFERROR(__xludf.DUMMYFUNCTION("""COMPUTED_VALUE"""),"AMM")</f>
        <v>AMM</v>
      </c>
      <c r="K648" s="98">
        <f ca="1">IFERROR(__xludf.DUMMYFUNCTION("""COMPUTED_VALUE"""),0)</f>
        <v>0</v>
      </c>
      <c r="L648" s="42" t="str">
        <f ca="1">IFERROR(__xludf.DUMMYFUNCTION("""COMPUTED_VALUE"""),"TRIMESTRE 3")</f>
        <v>TRIMESTRE 3</v>
      </c>
      <c r="M648" s="42" t="str">
        <f ca="1">IFERROR(__xludf.DUMMYFUNCTION("""COMPUTED_VALUE"""),"ADULTA MAYOR MUJER")</f>
        <v>ADULTA MAYOR MUJER</v>
      </c>
    </row>
    <row r="649" spans="1:13">
      <c r="A649" s="42" t="str">
        <f ca="1">IFERROR(__xludf.DUMMYFUNCTION("""COMPUTED_VALUE"""),"2.1.1.4")</f>
        <v>2.1.1.4</v>
      </c>
      <c r="B649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49" s="42" t="str">
        <f ca="1">IFERROR(__xludf.DUMMYFUNCTION("""COMPUTED_VALUE"""),"3. Operación")</f>
        <v>3. Operación</v>
      </c>
      <c r="D649" s="42" t="str">
        <f ca="1">IFERROR(__xludf.DUMMYFUNCTION("""COMPUTED_VALUE"""),"Guadalajara en Paz")</f>
        <v>Guadalajara en Paz</v>
      </c>
      <c r="E649" s="42" t="str">
        <f ca="1">IFERROR(__xludf.DUMMYFUNCTION("""COMPUTED_VALUE"""),"Asistencia Alimentaria y Nutrición")</f>
        <v>Asistencia Alimentaria y Nutrición</v>
      </c>
      <c r="F649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649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649" s="42" t="str">
        <f ca="1">IFERROR(__xludf.DUMMYFUNCTION("""COMPUTED_VALUE"""),"AMH Septiembre")</f>
        <v>AMH Septiembre</v>
      </c>
      <c r="I649" s="42" t="str">
        <f ca="1">IFERROR(__xludf.DUMMYFUNCTION("""COMPUTED_VALUE"""),"Septiembre")</f>
        <v>Septiembre</v>
      </c>
      <c r="J649" s="42" t="str">
        <f ca="1">IFERROR(__xludf.DUMMYFUNCTION("""COMPUTED_VALUE"""),"AMH")</f>
        <v>AMH</v>
      </c>
      <c r="K649" s="98">
        <f ca="1">IFERROR(__xludf.DUMMYFUNCTION("""COMPUTED_VALUE"""),0)</f>
        <v>0</v>
      </c>
      <c r="L649" s="42" t="str">
        <f ca="1">IFERROR(__xludf.DUMMYFUNCTION("""COMPUTED_VALUE"""),"TRIMESTRE 3")</f>
        <v>TRIMESTRE 3</v>
      </c>
      <c r="M649" s="42" t="str">
        <f ca="1">IFERROR(__xludf.DUMMYFUNCTION("""COMPUTED_VALUE"""),"ADULTO MAYOR HOMBRE")</f>
        <v>ADULTO MAYOR HOMBRE</v>
      </c>
    </row>
    <row r="650" spans="1:13">
      <c r="A650" s="42" t="str">
        <f ca="1">IFERROR(__xludf.DUMMYFUNCTION("""COMPUTED_VALUE"""),"2.1.1.5")</f>
        <v>2.1.1.5</v>
      </c>
      <c r="B650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50" s="42" t="str">
        <f ca="1">IFERROR(__xludf.DUMMYFUNCTION("""COMPUTED_VALUE"""),"3. Operación")</f>
        <v>3. Operación</v>
      </c>
      <c r="D650" s="42" t="str">
        <f ca="1">IFERROR(__xludf.DUMMYFUNCTION("""COMPUTED_VALUE"""),"Guadalajara en Paz")</f>
        <v>Guadalajara en Paz</v>
      </c>
      <c r="E650" s="42" t="str">
        <f ca="1">IFERROR(__xludf.DUMMYFUNCTION("""COMPUTED_VALUE"""),"Asistencia Alimentaria y Nutrición")</f>
        <v>Asistencia Alimentaria y Nutrición</v>
      </c>
      <c r="F650" s="42" t="str">
        <f ca="1">IFERROR(__xludf.DUMMYFUNCTION("""COMPUTED_VALUE"""),"A5C1. Apoyos del Programa de Alimentación Escolar entregados en 2023")</f>
        <v>A5C1. Apoyos del Programa de Alimentación Escolar entregados en 2023</v>
      </c>
      <c r="G650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650" s="42" t="str">
        <f ca="1">IFERROR(__xludf.DUMMYFUNCTION("""COMPUTED_VALUE"""),"NAS Septiembre")</f>
        <v>NAS Septiembre</v>
      </c>
      <c r="I650" s="42" t="str">
        <f ca="1">IFERROR(__xludf.DUMMYFUNCTION("""COMPUTED_VALUE"""),"Septiembre")</f>
        <v>Septiembre</v>
      </c>
      <c r="J650" s="42" t="str">
        <f ca="1">IFERROR(__xludf.DUMMYFUNCTION("""COMPUTED_VALUE"""),"NAS")</f>
        <v>NAS</v>
      </c>
      <c r="K650" s="98">
        <f ca="1">IFERROR(__xludf.DUMMYFUNCTION("""COMPUTED_VALUE"""),58296)</f>
        <v>58296</v>
      </c>
      <c r="L650" s="42" t="str">
        <f ca="1">IFERROR(__xludf.DUMMYFUNCTION("""COMPUTED_VALUE"""),"TRIMESTRE 3")</f>
        <v>TRIMESTRE 3</v>
      </c>
      <c r="M650" s="42" t="str">
        <f ca="1">IFERROR(__xludf.DUMMYFUNCTION("""COMPUTED_VALUE"""),"NIÑAS")</f>
        <v>NIÑAS</v>
      </c>
    </row>
    <row r="651" spans="1:13">
      <c r="A651" s="42" t="str">
        <f ca="1">IFERROR(__xludf.DUMMYFUNCTION("""COMPUTED_VALUE"""),"2.1.1.5")</f>
        <v>2.1.1.5</v>
      </c>
      <c r="B651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51" s="42" t="str">
        <f ca="1">IFERROR(__xludf.DUMMYFUNCTION("""COMPUTED_VALUE"""),"3. Operación")</f>
        <v>3. Operación</v>
      </c>
      <c r="D651" s="42" t="str">
        <f ca="1">IFERROR(__xludf.DUMMYFUNCTION("""COMPUTED_VALUE"""),"Guadalajara en Paz")</f>
        <v>Guadalajara en Paz</v>
      </c>
      <c r="E651" s="42" t="str">
        <f ca="1">IFERROR(__xludf.DUMMYFUNCTION("""COMPUTED_VALUE"""),"Asistencia Alimentaria y Nutrición")</f>
        <v>Asistencia Alimentaria y Nutrición</v>
      </c>
      <c r="F651" s="42" t="str">
        <f ca="1">IFERROR(__xludf.DUMMYFUNCTION("""COMPUTED_VALUE"""),"A5C1. Apoyos del Programa de Alimentación Escolar entregados en 2023")</f>
        <v>A5C1. Apoyos del Programa de Alimentación Escolar entregados en 2023</v>
      </c>
      <c r="G651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651" s="42" t="str">
        <f ca="1">IFERROR(__xludf.DUMMYFUNCTION("""COMPUTED_VALUE"""),"NOS Septiembre")</f>
        <v>NOS Septiembre</v>
      </c>
      <c r="I651" s="42" t="str">
        <f ca="1">IFERROR(__xludf.DUMMYFUNCTION("""COMPUTED_VALUE"""),"Septiembre")</f>
        <v>Septiembre</v>
      </c>
      <c r="J651" s="42" t="str">
        <f ca="1">IFERROR(__xludf.DUMMYFUNCTION("""COMPUTED_VALUE"""),"NOS")</f>
        <v>NOS</v>
      </c>
      <c r="K651" s="98">
        <f ca="1">IFERROR(__xludf.DUMMYFUNCTION("""COMPUTED_VALUE"""),60249)</f>
        <v>60249</v>
      </c>
      <c r="L651" s="42" t="str">
        <f ca="1">IFERROR(__xludf.DUMMYFUNCTION("""COMPUTED_VALUE"""),"TRIMESTRE 3")</f>
        <v>TRIMESTRE 3</v>
      </c>
      <c r="M651" s="42" t="str">
        <f ca="1">IFERROR(__xludf.DUMMYFUNCTION("""COMPUTED_VALUE"""),"NIÑOS")</f>
        <v>NIÑOS</v>
      </c>
    </row>
    <row r="652" spans="1:13">
      <c r="A652" s="42" t="str">
        <f ca="1">IFERROR(__xludf.DUMMYFUNCTION("""COMPUTED_VALUE"""),"2.1.1.5")</f>
        <v>2.1.1.5</v>
      </c>
      <c r="B652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52" s="42" t="str">
        <f ca="1">IFERROR(__xludf.DUMMYFUNCTION("""COMPUTED_VALUE"""),"3. Operación")</f>
        <v>3. Operación</v>
      </c>
      <c r="D652" s="42" t="str">
        <f ca="1">IFERROR(__xludf.DUMMYFUNCTION("""COMPUTED_VALUE"""),"Guadalajara en Paz")</f>
        <v>Guadalajara en Paz</v>
      </c>
      <c r="E652" s="42" t="str">
        <f ca="1">IFERROR(__xludf.DUMMYFUNCTION("""COMPUTED_VALUE"""),"Asistencia Alimentaria y Nutrición")</f>
        <v>Asistencia Alimentaria y Nutrición</v>
      </c>
      <c r="F652" s="42" t="str">
        <f ca="1">IFERROR(__xludf.DUMMYFUNCTION("""COMPUTED_VALUE"""),"A5C1. Apoyos del Programa de Alimentación Escolar entregados en 2023")</f>
        <v>A5C1. Apoyos del Programa de Alimentación Escolar entregados en 2023</v>
      </c>
      <c r="G652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652" s="42" t="str">
        <f ca="1">IFERROR(__xludf.DUMMYFUNCTION("""COMPUTED_VALUE"""),"AM SEPTIEMBRE")</f>
        <v>AM SEPTIEMBRE</v>
      </c>
      <c r="I652" s="42" t="str">
        <f ca="1">IFERROR(__xludf.DUMMYFUNCTION("""COMPUTED_VALUE"""),"Septiembre")</f>
        <v>Septiembre</v>
      </c>
      <c r="J652" s="42" t="str">
        <f ca="1">IFERROR(__xludf.DUMMYFUNCTION("""COMPUTED_VALUE"""),"AM")</f>
        <v>AM</v>
      </c>
      <c r="K652" s="98">
        <f ca="1">IFERROR(__xludf.DUMMYFUNCTION("""COMPUTED_VALUE"""),6615)</f>
        <v>6615</v>
      </c>
      <c r="L652" s="42" t="str">
        <f ca="1">IFERROR(__xludf.DUMMYFUNCTION("""COMPUTED_VALUE"""),"TRIMESTRE 3")</f>
        <v>TRIMESTRE 3</v>
      </c>
      <c r="M652" s="42" t="str">
        <f ca="1">IFERROR(__xludf.DUMMYFUNCTION("""COMPUTED_VALUE"""),"ADOLESCENTES MUJERES")</f>
        <v>ADOLESCENTES MUJERES</v>
      </c>
    </row>
    <row r="653" spans="1:13">
      <c r="A653" s="42" t="str">
        <f ca="1">IFERROR(__xludf.DUMMYFUNCTION("""COMPUTED_VALUE"""),"2.1.1.5")</f>
        <v>2.1.1.5</v>
      </c>
      <c r="B653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53" s="42" t="str">
        <f ca="1">IFERROR(__xludf.DUMMYFUNCTION("""COMPUTED_VALUE"""),"3. Operación")</f>
        <v>3. Operación</v>
      </c>
      <c r="D653" s="42" t="str">
        <f ca="1">IFERROR(__xludf.DUMMYFUNCTION("""COMPUTED_VALUE"""),"Guadalajara en Paz")</f>
        <v>Guadalajara en Paz</v>
      </c>
      <c r="E653" s="42" t="str">
        <f ca="1">IFERROR(__xludf.DUMMYFUNCTION("""COMPUTED_VALUE"""),"Asistencia Alimentaria y Nutrición")</f>
        <v>Asistencia Alimentaria y Nutrición</v>
      </c>
      <c r="F653" s="42" t="str">
        <f ca="1">IFERROR(__xludf.DUMMYFUNCTION("""COMPUTED_VALUE"""),"A5C1. Apoyos del Programa de Alimentación Escolar entregados en 2023")</f>
        <v>A5C1. Apoyos del Programa de Alimentación Escolar entregados en 2023</v>
      </c>
      <c r="G653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653" s="42" t="str">
        <f ca="1">IFERROR(__xludf.DUMMYFUNCTION("""COMPUTED_VALUE"""),"AH SEPTIEMBRE")</f>
        <v>AH SEPTIEMBRE</v>
      </c>
      <c r="I653" s="42" t="str">
        <f ca="1">IFERROR(__xludf.DUMMYFUNCTION("""COMPUTED_VALUE"""),"Septiembre")</f>
        <v>Septiembre</v>
      </c>
      <c r="J653" s="42" t="str">
        <f ca="1">IFERROR(__xludf.DUMMYFUNCTION("""COMPUTED_VALUE"""),"AH")</f>
        <v>AH</v>
      </c>
      <c r="K653" s="98">
        <f ca="1">IFERROR(__xludf.DUMMYFUNCTION("""COMPUTED_VALUE"""),6405)</f>
        <v>6405</v>
      </c>
      <c r="L653" s="42" t="str">
        <f ca="1">IFERROR(__xludf.DUMMYFUNCTION("""COMPUTED_VALUE"""),"TRIMESTRE 3")</f>
        <v>TRIMESTRE 3</v>
      </c>
      <c r="M653" s="42" t="str">
        <f ca="1">IFERROR(__xludf.DUMMYFUNCTION("""COMPUTED_VALUE"""),"ADOLESCENTES HOMBRES")</f>
        <v>ADOLESCENTES HOMBRES</v>
      </c>
    </row>
    <row r="654" spans="1:13">
      <c r="A654" s="42" t="str">
        <f ca="1">IFERROR(__xludf.DUMMYFUNCTION("""COMPUTED_VALUE"""),"2.1.1.5")</f>
        <v>2.1.1.5</v>
      </c>
      <c r="B654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54" s="42" t="str">
        <f ca="1">IFERROR(__xludf.DUMMYFUNCTION("""COMPUTED_VALUE"""),"3. Operación")</f>
        <v>3. Operación</v>
      </c>
      <c r="D654" s="42" t="str">
        <f ca="1">IFERROR(__xludf.DUMMYFUNCTION("""COMPUTED_VALUE"""),"Guadalajara en Paz")</f>
        <v>Guadalajara en Paz</v>
      </c>
      <c r="E654" s="42" t="str">
        <f ca="1">IFERROR(__xludf.DUMMYFUNCTION("""COMPUTED_VALUE"""),"Asistencia Alimentaria y Nutrición")</f>
        <v>Asistencia Alimentaria y Nutrición</v>
      </c>
      <c r="F654" s="42" t="str">
        <f ca="1">IFERROR(__xludf.DUMMYFUNCTION("""COMPUTED_VALUE"""),"A5C1. Apoyos del Programa de Alimentación Escolar entregados en 2023")</f>
        <v>A5C1. Apoyos del Programa de Alimentación Escolar entregados en 2023</v>
      </c>
      <c r="G654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654" s="42" t="str">
        <f ca="1">IFERROR(__xludf.DUMMYFUNCTION("""COMPUTED_VALUE"""),"MUJ Septiembre")</f>
        <v>MUJ Septiembre</v>
      </c>
      <c r="I654" s="42" t="str">
        <f ca="1">IFERROR(__xludf.DUMMYFUNCTION("""COMPUTED_VALUE"""),"Septiembre")</f>
        <v>Septiembre</v>
      </c>
      <c r="J654" s="42" t="str">
        <f ca="1">IFERROR(__xludf.DUMMYFUNCTION("""COMPUTED_VALUE"""),"MUJ")</f>
        <v>MUJ</v>
      </c>
      <c r="K654" s="98">
        <f ca="1">IFERROR(__xludf.DUMMYFUNCTION("""COMPUTED_VALUE"""),0)</f>
        <v>0</v>
      </c>
      <c r="L654" s="42" t="str">
        <f ca="1">IFERROR(__xludf.DUMMYFUNCTION("""COMPUTED_VALUE"""),"TRIMESTRE 3")</f>
        <v>TRIMESTRE 3</v>
      </c>
      <c r="M654" s="42" t="str">
        <f ca="1">IFERROR(__xludf.DUMMYFUNCTION("""COMPUTED_VALUE"""),"MUJERES ADULTAS")</f>
        <v>MUJERES ADULTAS</v>
      </c>
    </row>
    <row r="655" spans="1:13">
      <c r="A655" s="42" t="str">
        <f ca="1">IFERROR(__xludf.DUMMYFUNCTION("""COMPUTED_VALUE"""),"2.1.1.5")</f>
        <v>2.1.1.5</v>
      </c>
      <c r="B655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55" s="42" t="str">
        <f ca="1">IFERROR(__xludf.DUMMYFUNCTION("""COMPUTED_VALUE"""),"3. Operación")</f>
        <v>3. Operación</v>
      </c>
      <c r="D655" s="42" t="str">
        <f ca="1">IFERROR(__xludf.DUMMYFUNCTION("""COMPUTED_VALUE"""),"Guadalajara en Paz")</f>
        <v>Guadalajara en Paz</v>
      </c>
      <c r="E655" s="42" t="str">
        <f ca="1">IFERROR(__xludf.DUMMYFUNCTION("""COMPUTED_VALUE"""),"Asistencia Alimentaria y Nutrición")</f>
        <v>Asistencia Alimentaria y Nutrición</v>
      </c>
      <c r="F655" s="42" t="str">
        <f ca="1">IFERROR(__xludf.DUMMYFUNCTION("""COMPUTED_VALUE"""),"A5C1. Apoyos del Programa de Alimentación Escolar entregados en 2023")</f>
        <v>A5C1. Apoyos del Programa de Alimentación Escolar entregados en 2023</v>
      </c>
      <c r="G655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655" s="42" t="str">
        <f ca="1">IFERROR(__xludf.DUMMYFUNCTION("""COMPUTED_VALUE"""),"HOM Septiembre")</f>
        <v>HOM Septiembre</v>
      </c>
      <c r="I655" s="42" t="str">
        <f ca="1">IFERROR(__xludf.DUMMYFUNCTION("""COMPUTED_VALUE"""),"Septiembre")</f>
        <v>Septiembre</v>
      </c>
      <c r="J655" s="42" t="str">
        <f ca="1">IFERROR(__xludf.DUMMYFUNCTION("""COMPUTED_VALUE"""),"HOM")</f>
        <v>HOM</v>
      </c>
      <c r="K655" s="98">
        <f ca="1">IFERROR(__xludf.DUMMYFUNCTION("""COMPUTED_VALUE"""),0)</f>
        <v>0</v>
      </c>
      <c r="L655" s="42" t="str">
        <f ca="1">IFERROR(__xludf.DUMMYFUNCTION("""COMPUTED_VALUE"""),"TRIMESTRE 3")</f>
        <v>TRIMESTRE 3</v>
      </c>
      <c r="M655" s="42" t="str">
        <f ca="1">IFERROR(__xludf.DUMMYFUNCTION("""COMPUTED_VALUE"""),"HOMBRES ADULTOS")</f>
        <v>HOMBRES ADULTOS</v>
      </c>
    </row>
    <row r="656" spans="1:13">
      <c r="A656" s="42" t="str">
        <f ca="1">IFERROR(__xludf.DUMMYFUNCTION("""COMPUTED_VALUE"""),"2.1.1.5")</f>
        <v>2.1.1.5</v>
      </c>
      <c r="B656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56" s="42" t="str">
        <f ca="1">IFERROR(__xludf.DUMMYFUNCTION("""COMPUTED_VALUE"""),"3. Operación")</f>
        <v>3. Operación</v>
      </c>
      <c r="D656" s="42" t="str">
        <f ca="1">IFERROR(__xludf.DUMMYFUNCTION("""COMPUTED_VALUE"""),"Guadalajara en Paz")</f>
        <v>Guadalajara en Paz</v>
      </c>
      <c r="E656" s="42" t="str">
        <f ca="1">IFERROR(__xludf.DUMMYFUNCTION("""COMPUTED_VALUE"""),"Asistencia Alimentaria y Nutrición")</f>
        <v>Asistencia Alimentaria y Nutrición</v>
      </c>
      <c r="F656" s="42" t="str">
        <f ca="1">IFERROR(__xludf.DUMMYFUNCTION("""COMPUTED_VALUE"""),"A5C1. Apoyos del Programa de Alimentación Escolar entregados en 2023")</f>
        <v>A5C1. Apoyos del Programa de Alimentación Escolar entregados en 2023</v>
      </c>
      <c r="G656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656" s="42" t="str">
        <f ca="1">IFERROR(__xludf.DUMMYFUNCTION("""COMPUTED_VALUE"""),"AMM Septiembre")</f>
        <v>AMM Septiembre</v>
      </c>
      <c r="I656" s="42" t="str">
        <f ca="1">IFERROR(__xludf.DUMMYFUNCTION("""COMPUTED_VALUE"""),"Septiembre")</f>
        <v>Septiembre</v>
      </c>
      <c r="J656" s="42" t="str">
        <f ca="1">IFERROR(__xludf.DUMMYFUNCTION("""COMPUTED_VALUE"""),"AMM")</f>
        <v>AMM</v>
      </c>
      <c r="K656" s="98">
        <f ca="1">IFERROR(__xludf.DUMMYFUNCTION("""COMPUTED_VALUE"""),0)</f>
        <v>0</v>
      </c>
      <c r="L656" s="42" t="str">
        <f ca="1">IFERROR(__xludf.DUMMYFUNCTION("""COMPUTED_VALUE"""),"TRIMESTRE 3")</f>
        <v>TRIMESTRE 3</v>
      </c>
      <c r="M656" s="42" t="str">
        <f ca="1">IFERROR(__xludf.DUMMYFUNCTION("""COMPUTED_VALUE"""),"ADULTA MAYOR MUJER")</f>
        <v>ADULTA MAYOR MUJER</v>
      </c>
    </row>
    <row r="657" spans="1:13">
      <c r="A657" s="42" t="str">
        <f ca="1">IFERROR(__xludf.DUMMYFUNCTION("""COMPUTED_VALUE"""),"2.1.1.5")</f>
        <v>2.1.1.5</v>
      </c>
      <c r="B657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57" s="42" t="str">
        <f ca="1">IFERROR(__xludf.DUMMYFUNCTION("""COMPUTED_VALUE"""),"3. Operación")</f>
        <v>3. Operación</v>
      </c>
      <c r="D657" s="42" t="str">
        <f ca="1">IFERROR(__xludf.DUMMYFUNCTION("""COMPUTED_VALUE"""),"Guadalajara en Paz")</f>
        <v>Guadalajara en Paz</v>
      </c>
      <c r="E657" s="42" t="str">
        <f ca="1">IFERROR(__xludf.DUMMYFUNCTION("""COMPUTED_VALUE"""),"Asistencia Alimentaria y Nutrición")</f>
        <v>Asistencia Alimentaria y Nutrición</v>
      </c>
      <c r="F657" s="42" t="str">
        <f ca="1">IFERROR(__xludf.DUMMYFUNCTION("""COMPUTED_VALUE"""),"A5C1. Apoyos del Programa de Alimentación Escolar entregados en 2023")</f>
        <v>A5C1. Apoyos del Programa de Alimentación Escolar entregados en 2023</v>
      </c>
      <c r="G657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657" s="42" t="str">
        <f ca="1">IFERROR(__xludf.DUMMYFUNCTION("""COMPUTED_VALUE"""),"AMH Septiembre")</f>
        <v>AMH Septiembre</v>
      </c>
      <c r="I657" s="42" t="str">
        <f ca="1">IFERROR(__xludf.DUMMYFUNCTION("""COMPUTED_VALUE"""),"Septiembre")</f>
        <v>Septiembre</v>
      </c>
      <c r="J657" s="42" t="str">
        <f ca="1">IFERROR(__xludf.DUMMYFUNCTION("""COMPUTED_VALUE"""),"AMH")</f>
        <v>AMH</v>
      </c>
      <c r="K657" s="98">
        <f ca="1">IFERROR(__xludf.DUMMYFUNCTION("""COMPUTED_VALUE"""),0)</f>
        <v>0</v>
      </c>
      <c r="L657" s="42" t="str">
        <f ca="1">IFERROR(__xludf.DUMMYFUNCTION("""COMPUTED_VALUE"""),"TRIMESTRE 3")</f>
        <v>TRIMESTRE 3</v>
      </c>
      <c r="M657" s="42" t="str">
        <f ca="1">IFERROR(__xludf.DUMMYFUNCTION("""COMPUTED_VALUE"""),"ADULTO MAYOR HOMBRE")</f>
        <v>ADULTO MAYOR HOMBRE</v>
      </c>
    </row>
    <row r="658" spans="1:13">
      <c r="A658" s="42" t="str">
        <f ca="1">IFERROR(__xludf.DUMMYFUNCTION("""COMPUTED_VALUE"""),"2.1.1.6")</f>
        <v>2.1.1.6</v>
      </c>
      <c r="B658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58" s="42" t="str">
        <f ca="1">IFERROR(__xludf.DUMMYFUNCTION("""COMPUTED_VALUE"""),"3. Operación")</f>
        <v>3. Operación</v>
      </c>
      <c r="D658" s="42" t="str">
        <f ca="1">IFERROR(__xludf.DUMMYFUNCTION("""COMPUTED_VALUE"""),"Guadalajara en Paz")</f>
        <v>Guadalajara en Paz</v>
      </c>
      <c r="E658" s="42" t="str">
        <f ca="1">IFERROR(__xludf.DUMMYFUNCTION("""COMPUTED_VALUE"""),"Asistencia Alimentaria y Nutrición")</f>
        <v>Asistencia Alimentaria y Nutrición</v>
      </c>
      <c r="F658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658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658" s="42" t="str">
        <f ca="1">IFERROR(__xludf.DUMMYFUNCTION("""COMPUTED_VALUE"""),"NAS Septiembre")</f>
        <v>NAS Septiembre</v>
      </c>
      <c r="I658" s="42" t="str">
        <f ca="1">IFERROR(__xludf.DUMMYFUNCTION("""COMPUTED_VALUE"""),"Septiembre")</f>
        <v>Septiembre</v>
      </c>
      <c r="J658" s="42" t="str">
        <f ca="1">IFERROR(__xludf.DUMMYFUNCTION("""COMPUTED_VALUE"""),"NAS")</f>
        <v>NAS</v>
      </c>
      <c r="K658" s="98">
        <f ca="1">IFERROR(__xludf.DUMMYFUNCTION("""COMPUTED_VALUE"""),266)</f>
        <v>266</v>
      </c>
      <c r="L658" s="42" t="str">
        <f ca="1">IFERROR(__xludf.DUMMYFUNCTION("""COMPUTED_VALUE"""),"TRIMESTRE 3")</f>
        <v>TRIMESTRE 3</v>
      </c>
      <c r="M658" s="42" t="str">
        <f ca="1">IFERROR(__xludf.DUMMYFUNCTION("""COMPUTED_VALUE"""),"NIÑAS")</f>
        <v>NIÑAS</v>
      </c>
    </row>
    <row r="659" spans="1:13">
      <c r="A659" s="42" t="str">
        <f ca="1">IFERROR(__xludf.DUMMYFUNCTION("""COMPUTED_VALUE"""),"2.1.1.6")</f>
        <v>2.1.1.6</v>
      </c>
      <c r="B659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59" s="42" t="str">
        <f ca="1">IFERROR(__xludf.DUMMYFUNCTION("""COMPUTED_VALUE"""),"3. Operación")</f>
        <v>3. Operación</v>
      </c>
      <c r="D659" s="42" t="str">
        <f ca="1">IFERROR(__xludf.DUMMYFUNCTION("""COMPUTED_VALUE"""),"Guadalajara en Paz")</f>
        <v>Guadalajara en Paz</v>
      </c>
      <c r="E659" s="42" t="str">
        <f ca="1">IFERROR(__xludf.DUMMYFUNCTION("""COMPUTED_VALUE"""),"Asistencia Alimentaria y Nutrición")</f>
        <v>Asistencia Alimentaria y Nutrición</v>
      </c>
      <c r="F659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659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659" s="42" t="str">
        <f ca="1">IFERROR(__xludf.DUMMYFUNCTION("""COMPUTED_VALUE"""),"NOS Septiembre")</f>
        <v>NOS Septiembre</v>
      </c>
      <c r="I659" s="42" t="str">
        <f ca="1">IFERROR(__xludf.DUMMYFUNCTION("""COMPUTED_VALUE"""),"Septiembre")</f>
        <v>Septiembre</v>
      </c>
      <c r="J659" s="42" t="str">
        <f ca="1">IFERROR(__xludf.DUMMYFUNCTION("""COMPUTED_VALUE"""),"NOS")</f>
        <v>NOS</v>
      </c>
      <c r="K659" s="98">
        <f ca="1">IFERROR(__xludf.DUMMYFUNCTION("""COMPUTED_VALUE"""),310)</f>
        <v>310</v>
      </c>
      <c r="L659" s="42" t="str">
        <f ca="1">IFERROR(__xludf.DUMMYFUNCTION("""COMPUTED_VALUE"""),"TRIMESTRE 3")</f>
        <v>TRIMESTRE 3</v>
      </c>
      <c r="M659" s="42" t="str">
        <f ca="1">IFERROR(__xludf.DUMMYFUNCTION("""COMPUTED_VALUE"""),"NIÑOS")</f>
        <v>NIÑOS</v>
      </c>
    </row>
    <row r="660" spans="1:13">
      <c r="A660" s="42" t="str">
        <f ca="1">IFERROR(__xludf.DUMMYFUNCTION("""COMPUTED_VALUE"""),"2.1.1.6")</f>
        <v>2.1.1.6</v>
      </c>
      <c r="B660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60" s="42" t="str">
        <f ca="1">IFERROR(__xludf.DUMMYFUNCTION("""COMPUTED_VALUE"""),"3. Operación")</f>
        <v>3. Operación</v>
      </c>
      <c r="D660" s="42" t="str">
        <f ca="1">IFERROR(__xludf.DUMMYFUNCTION("""COMPUTED_VALUE"""),"Guadalajara en Paz")</f>
        <v>Guadalajara en Paz</v>
      </c>
      <c r="E660" s="42" t="str">
        <f ca="1">IFERROR(__xludf.DUMMYFUNCTION("""COMPUTED_VALUE"""),"Asistencia Alimentaria y Nutrición")</f>
        <v>Asistencia Alimentaria y Nutrición</v>
      </c>
      <c r="F660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660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660" s="42" t="str">
        <f ca="1">IFERROR(__xludf.DUMMYFUNCTION("""COMPUTED_VALUE"""),"AM SEPTIEMBRE")</f>
        <v>AM SEPTIEMBRE</v>
      </c>
      <c r="I660" s="42" t="str">
        <f ca="1">IFERROR(__xludf.DUMMYFUNCTION("""COMPUTED_VALUE"""),"Septiembre")</f>
        <v>Septiembre</v>
      </c>
      <c r="J660" s="42" t="str">
        <f ca="1">IFERROR(__xludf.DUMMYFUNCTION("""COMPUTED_VALUE"""),"AM")</f>
        <v>AM</v>
      </c>
      <c r="K660" s="98">
        <f ca="1">IFERROR(__xludf.DUMMYFUNCTION("""COMPUTED_VALUE"""),14)</f>
        <v>14</v>
      </c>
      <c r="L660" s="42" t="str">
        <f ca="1">IFERROR(__xludf.DUMMYFUNCTION("""COMPUTED_VALUE"""),"TRIMESTRE 3")</f>
        <v>TRIMESTRE 3</v>
      </c>
      <c r="M660" s="42" t="str">
        <f ca="1">IFERROR(__xludf.DUMMYFUNCTION("""COMPUTED_VALUE"""),"ADOLESCENTES MUJERES")</f>
        <v>ADOLESCENTES MUJERES</v>
      </c>
    </row>
    <row r="661" spans="1:13">
      <c r="A661" s="42" t="str">
        <f ca="1">IFERROR(__xludf.DUMMYFUNCTION("""COMPUTED_VALUE"""),"2.1.1.6")</f>
        <v>2.1.1.6</v>
      </c>
      <c r="B661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61" s="42" t="str">
        <f ca="1">IFERROR(__xludf.DUMMYFUNCTION("""COMPUTED_VALUE"""),"3. Operación")</f>
        <v>3. Operación</v>
      </c>
      <c r="D661" s="42" t="str">
        <f ca="1">IFERROR(__xludf.DUMMYFUNCTION("""COMPUTED_VALUE"""),"Guadalajara en Paz")</f>
        <v>Guadalajara en Paz</v>
      </c>
      <c r="E661" s="42" t="str">
        <f ca="1">IFERROR(__xludf.DUMMYFUNCTION("""COMPUTED_VALUE"""),"Asistencia Alimentaria y Nutrición")</f>
        <v>Asistencia Alimentaria y Nutrición</v>
      </c>
      <c r="F661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661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661" s="42" t="str">
        <f ca="1">IFERROR(__xludf.DUMMYFUNCTION("""COMPUTED_VALUE"""),"AH SEPTIEMBRE")</f>
        <v>AH SEPTIEMBRE</v>
      </c>
      <c r="I661" s="42" t="str">
        <f ca="1">IFERROR(__xludf.DUMMYFUNCTION("""COMPUTED_VALUE"""),"Septiembre")</f>
        <v>Septiembre</v>
      </c>
      <c r="J661" s="42" t="str">
        <f ca="1">IFERROR(__xludf.DUMMYFUNCTION("""COMPUTED_VALUE"""),"AH")</f>
        <v>AH</v>
      </c>
      <c r="K661" s="98">
        <f ca="1">IFERROR(__xludf.DUMMYFUNCTION("""COMPUTED_VALUE"""),22)</f>
        <v>22</v>
      </c>
      <c r="L661" s="42" t="str">
        <f ca="1">IFERROR(__xludf.DUMMYFUNCTION("""COMPUTED_VALUE"""),"TRIMESTRE 3")</f>
        <v>TRIMESTRE 3</v>
      </c>
      <c r="M661" s="42" t="str">
        <f ca="1">IFERROR(__xludf.DUMMYFUNCTION("""COMPUTED_VALUE"""),"ADOLESCENTES HOMBRES")</f>
        <v>ADOLESCENTES HOMBRES</v>
      </c>
    </row>
    <row r="662" spans="1:13">
      <c r="A662" s="42" t="str">
        <f ca="1">IFERROR(__xludf.DUMMYFUNCTION("""COMPUTED_VALUE"""),"2.1.1.6")</f>
        <v>2.1.1.6</v>
      </c>
      <c r="B662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62" s="42" t="str">
        <f ca="1">IFERROR(__xludf.DUMMYFUNCTION("""COMPUTED_VALUE"""),"3. Operación")</f>
        <v>3. Operación</v>
      </c>
      <c r="D662" s="42" t="str">
        <f ca="1">IFERROR(__xludf.DUMMYFUNCTION("""COMPUTED_VALUE"""),"Guadalajara en Paz")</f>
        <v>Guadalajara en Paz</v>
      </c>
      <c r="E662" s="42" t="str">
        <f ca="1">IFERROR(__xludf.DUMMYFUNCTION("""COMPUTED_VALUE"""),"Asistencia Alimentaria y Nutrición")</f>
        <v>Asistencia Alimentaria y Nutrición</v>
      </c>
      <c r="F662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662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662" s="42" t="str">
        <f ca="1">IFERROR(__xludf.DUMMYFUNCTION("""COMPUTED_VALUE"""),"MUJ Septiembre")</f>
        <v>MUJ Septiembre</v>
      </c>
      <c r="I662" s="42" t="str">
        <f ca="1">IFERROR(__xludf.DUMMYFUNCTION("""COMPUTED_VALUE"""),"Septiembre")</f>
        <v>Septiembre</v>
      </c>
      <c r="J662" s="42" t="str">
        <f ca="1">IFERROR(__xludf.DUMMYFUNCTION("""COMPUTED_VALUE"""),"MUJ")</f>
        <v>MUJ</v>
      </c>
      <c r="K662" s="98">
        <f ca="1">IFERROR(__xludf.DUMMYFUNCTION("""COMPUTED_VALUE"""),476)</f>
        <v>476</v>
      </c>
      <c r="L662" s="42" t="str">
        <f ca="1">IFERROR(__xludf.DUMMYFUNCTION("""COMPUTED_VALUE"""),"TRIMESTRE 3")</f>
        <v>TRIMESTRE 3</v>
      </c>
      <c r="M662" s="42" t="str">
        <f ca="1">IFERROR(__xludf.DUMMYFUNCTION("""COMPUTED_VALUE"""),"MUJERES ADULTAS")</f>
        <v>MUJERES ADULTAS</v>
      </c>
    </row>
    <row r="663" spans="1:13">
      <c r="A663" s="42" t="str">
        <f ca="1">IFERROR(__xludf.DUMMYFUNCTION("""COMPUTED_VALUE"""),"2.1.1.6")</f>
        <v>2.1.1.6</v>
      </c>
      <c r="B663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63" s="42" t="str">
        <f ca="1">IFERROR(__xludf.DUMMYFUNCTION("""COMPUTED_VALUE"""),"3. Operación")</f>
        <v>3. Operación</v>
      </c>
      <c r="D663" s="42" t="str">
        <f ca="1">IFERROR(__xludf.DUMMYFUNCTION("""COMPUTED_VALUE"""),"Guadalajara en Paz")</f>
        <v>Guadalajara en Paz</v>
      </c>
      <c r="E663" s="42" t="str">
        <f ca="1">IFERROR(__xludf.DUMMYFUNCTION("""COMPUTED_VALUE"""),"Asistencia Alimentaria y Nutrición")</f>
        <v>Asistencia Alimentaria y Nutrición</v>
      </c>
      <c r="F663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663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663" s="42" t="str">
        <f ca="1">IFERROR(__xludf.DUMMYFUNCTION("""COMPUTED_VALUE"""),"HOM Septiembre")</f>
        <v>HOM Septiembre</v>
      </c>
      <c r="I663" s="42" t="str">
        <f ca="1">IFERROR(__xludf.DUMMYFUNCTION("""COMPUTED_VALUE"""),"Septiembre")</f>
        <v>Septiembre</v>
      </c>
      <c r="J663" s="42" t="str">
        <f ca="1">IFERROR(__xludf.DUMMYFUNCTION("""COMPUTED_VALUE"""),"HOM")</f>
        <v>HOM</v>
      </c>
      <c r="K663" s="98">
        <f ca="1">IFERROR(__xludf.DUMMYFUNCTION("""COMPUTED_VALUE"""),182)</f>
        <v>182</v>
      </c>
      <c r="L663" s="42" t="str">
        <f ca="1">IFERROR(__xludf.DUMMYFUNCTION("""COMPUTED_VALUE"""),"TRIMESTRE 3")</f>
        <v>TRIMESTRE 3</v>
      </c>
      <c r="M663" s="42" t="str">
        <f ca="1">IFERROR(__xludf.DUMMYFUNCTION("""COMPUTED_VALUE"""),"HOMBRES ADULTOS")</f>
        <v>HOMBRES ADULTOS</v>
      </c>
    </row>
    <row r="664" spans="1:13">
      <c r="A664" s="42" t="str">
        <f ca="1">IFERROR(__xludf.DUMMYFUNCTION("""COMPUTED_VALUE"""),"2.1.1.6")</f>
        <v>2.1.1.6</v>
      </c>
      <c r="B664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64" s="42" t="str">
        <f ca="1">IFERROR(__xludf.DUMMYFUNCTION("""COMPUTED_VALUE"""),"3. Operación")</f>
        <v>3. Operación</v>
      </c>
      <c r="D664" s="42" t="str">
        <f ca="1">IFERROR(__xludf.DUMMYFUNCTION("""COMPUTED_VALUE"""),"Guadalajara en Paz")</f>
        <v>Guadalajara en Paz</v>
      </c>
      <c r="E664" s="42" t="str">
        <f ca="1">IFERROR(__xludf.DUMMYFUNCTION("""COMPUTED_VALUE"""),"Asistencia Alimentaria y Nutrición")</f>
        <v>Asistencia Alimentaria y Nutrición</v>
      </c>
      <c r="F664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664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664" s="42" t="str">
        <f ca="1">IFERROR(__xludf.DUMMYFUNCTION("""COMPUTED_VALUE"""),"AMM Septiembre")</f>
        <v>AMM Septiembre</v>
      </c>
      <c r="I664" s="42" t="str">
        <f ca="1">IFERROR(__xludf.DUMMYFUNCTION("""COMPUTED_VALUE"""),"Septiembre")</f>
        <v>Septiembre</v>
      </c>
      <c r="J664" s="42" t="str">
        <f ca="1">IFERROR(__xludf.DUMMYFUNCTION("""COMPUTED_VALUE"""),"AMM")</f>
        <v>AMM</v>
      </c>
      <c r="K664" s="98">
        <f ca="1">IFERROR(__xludf.DUMMYFUNCTION("""COMPUTED_VALUE"""),2658)</f>
        <v>2658</v>
      </c>
      <c r="L664" s="42" t="str">
        <f ca="1">IFERROR(__xludf.DUMMYFUNCTION("""COMPUTED_VALUE"""),"TRIMESTRE 3")</f>
        <v>TRIMESTRE 3</v>
      </c>
      <c r="M664" s="42" t="str">
        <f ca="1">IFERROR(__xludf.DUMMYFUNCTION("""COMPUTED_VALUE"""),"ADULTA MAYOR MUJER")</f>
        <v>ADULTA MAYOR MUJER</v>
      </c>
    </row>
    <row r="665" spans="1:13">
      <c r="A665" s="42" t="str">
        <f ca="1">IFERROR(__xludf.DUMMYFUNCTION("""COMPUTED_VALUE"""),"2.1.1.6")</f>
        <v>2.1.1.6</v>
      </c>
      <c r="B665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65" s="42" t="str">
        <f ca="1">IFERROR(__xludf.DUMMYFUNCTION("""COMPUTED_VALUE"""),"3. Operación")</f>
        <v>3. Operación</v>
      </c>
      <c r="D665" s="42" t="str">
        <f ca="1">IFERROR(__xludf.DUMMYFUNCTION("""COMPUTED_VALUE"""),"Guadalajara en Paz")</f>
        <v>Guadalajara en Paz</v>
      </c>
      <c r="E665" s="42" t="str">
        <f ca="1">IFERROR(__xludf.DUMMYFUNCTION("""COMPUTED_VALUE"""),"Asistencia Alimentaria y Nutrición")</f>
        <v>Asistencia Alimentaria y Nutrición</v>
      </c>
      <c r="F665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665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665" s="42" t="str">
        <f ca="1">IFERROR(__xludf.DUMMYFUNCTION("""COMPUTED_VALUE"""),"AMH Septiembre")</f>
        <v>AMH Septiembre</v>
      </c>
      <c r="I665" s="42" t="str">
        <f ca="1">IFERROR(__xludf.DUMMYFUNCTION("""COMPUTED_VALUE"""),"Septiembre")</f>
        <v>Septiembre</v>
      </c>
      <c r="J665" s="42" t="str">
        <f ca="1">IFERROR(__xludf.DUMMYFUNCTION("""COMPUTED_VALUE"""),"AMH")</f>
        <v>AMH</v>
      </c>
      <c r="K665" s="98">
        <f ca="1">IFERROR(__xludf.DUMMYFUNCTION("""COMPUTED_VALUE"""),716)</f>
        <v>716</v>
      </c>
      <c r="L665" s="42" t="str">
        <f ca="1">IFERROR(__xludf.DUMMYFUNCTION("""COMPUTED_VALUE"""),"TRIMESTRE 3")</f>
        <v>TRIMESTRE 3</v>
      </c>
      <c r="M665" s="42" t="str">
        <f ca="1">IFERROR(__xludf.DUMMYFUNCTION("""COMPUTED_VALUE"""),"ADULTO MAYOR HOMBRE")</f>
        <v>ADULTO MAYOR HOMBRE</v>
      </c>
    </row>
    <row r="666" spans="1:13">
      <c r="A666" s="42" t="str">
        <f ca="1">IFERROR(__xludf.DUMMYFUNCTION("""COMPUTED_VALUE"""),"2.1.1.7")</f>
        <v>2.1.1.7</v>
      </c>
      <c r="B666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66" s="42" t="str">
        <f ca="1">IFERROR(__xludf.DUMMYFUNCTION("""COMPUTED_VALUE"""),"3. Operación")</f>
        <v>3. Operación</v>
      </c>
      <c r="D666" s="42" t="str">
        <f ca="1">IFERROR(__xludf.DUMMYFUNCTION("""COMPUTED_VALUE"""),"Guadalajara en Paz")</f>
        <v>Guadalajara en Paz</v>
      </c>
      <c r="E666" s="42" t="str">
        <f ca="1">IFERROR(__xludf.DUMMYFUNCTION("""COMPUTED_VALUE"""),"Asistencia Alimentaria y Nutrición")</f>
        <v>Asistencia Alimentaria y Nutrición</v>
      </c>
      <c r="F666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666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666" s="42" t="str">
        <f ca="1">IFERROR(__xludf.DUMMYFUNCTION("""COMPUTED_VALUE"""),"NAS Septiembre")</f>
        <v>NAS Septiembre</v>
      </c>
      <c r="I666" s="42" t="str">
        <f ca="1">IFERROR(__xludf.DUMMYFUNCTION("""COMPUTED_VALUE"""),"Septiembre")</f>
        <v>Septiembre</v>
      </c>
      <c r="J666" s="42" t="str">
        <f ca="1">IFERROR(__xludf.DUMMYFUNCTION("""COMPUTED_VALUE"""),"NAS")</f>
        <v>NAS</v>
      </c>
      <c r="K666" s="98">
        <f ca="1">IFERROR(__xludf.DUMMYFUNCTION("""COMPUTED_VALUE"""),130)</f>
        <v>130</v>
      </c>
      <c r="L666" s="42" t="str">
        <f ca="1">IFERROR(__xludf.DUMMYFUNCTION("""COMPUTED_VALUE"""),"TRIMESTRE 3")</f>
        <v>TRIMESTRE 3</v>
      </c>
      <c r="M666" s="42" t="str">
        <f ca="1">IFERROR(__xludf.DUMMYFUNCTION("""COMPUTED_VALUE"""),"NIÑAS")</f>
        <v>NIÑAS</v>
      </c>
    </row>
    <row r="667" spans="1:13">
      <c r="A667" s="42" t="str">
        <f ca="1">IFERROR(__xludf.DUMMYFUNCTION("""COMPUTED_VALUE"""),"2.1.1.7")</f>
        <v>2.1.1.7</v>
      </c>
      <c r="B667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67" s="42" t="str">
        <f ca="1">IFERROR(__xludf.DUMMYFUNCTION("""COMPUTED_VALUE"""),"3. Operación")</f>
        <v>3. Operación</v>
      </c>
      <c r="D667" s="42" t="str">
        <f ca="1">IFERROR(__xludf.DUMMYFUNCTION("""COMPUTED_VALUE"""),"Guadalajara en Paz")</f>
        <v>Guadalajara en Paz</v>
      </c>
      <c r="E667" s="42" t="str">
        <f ca="1">IFERROR(__xludf.DUMMYFUNCTION("""COMPUTED_VALUE"""),"Asistencia Alimentaria y Nutrición")</f>
        <v>Asistencia Alimentaria y Nutrición</v>
      </c>
      <c r="F667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667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667" s="42" t="str">
        <f ca="1">IFERROR(__xludf.DUMMYFUNCTION("""COMPUTED_VALUE"""),"NOS Septiembre")</f>
        <v>NOS Septiembre</v>
      </c>
      <c r="I667" s="42" t="str">
        <f ca="1">IFERROR(__xludf.DUMMYFUNCTION("""COMPUTED_VALUE"""),"Septiembre")</f>
        <v>Septiembre</v>
      </c>
      <c r="J667" s="42" t="str">
        <f ca="1">IFERROR(__xludf.DUMMYFUNCTION("""COMPUTED_VALUE"""),"NOS")</f>
        <v>NOS</v>
      </c>
      <c r="K667" s="98">
        <f ca="1">IFERROR(__xludf.DUMMYFUNCTION("""COMPUTED_VALUE"""),120)</f>
        <v>120</v>
      </c>
      <c r="L667" s="42" t="str">
        <f ca="1">IFERROR(__xludf.DUMMYFUNCTION("""COMPUTED_VALUE"""),"TRIMESTRE 3")</f>
        <v>TRIMESTRE 3</v>
      </c>
      <c r="M667" s="42" t="str">
        <f ca="1">IFERROR(__xludf.DUMMYFUNCTION("""COMPUTED_VALUE"""),"NIÑOS")</f>
        <v>NIÑOS</v>
      </c>
    </row>
    <row r="668" spans="1:13">
      <c r="A668" s="42" t="str">
        <f ca="1">IFERROR(__xludf.DUMMYFUNCTION("""COMPUTED_VALUE"""),"2.1.1.7")</f>
        <v>2.1.1.7</v>
      </c>
      <c r="B668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68" s="42" t="str">
        <f ca="1">IFERROR(__xludf.DUMMYFUNCTION("""COMPUTED_VALUE"""),"3. Operación")</f>
        <v>3. Operación</v>
      </c>
      <c r="D668" s="42" t="str">
        <f ca="1">IFERROR(__xludf.DUMMYFUNCTION("""COMPUTED_VALUE"""),"Guadalajara en Paz")</f>
        <v>Guadalajara en Paz</v>
      </c>
      <c r="E668" s="42" t="str">
        <f ca="1">IFERROR(__xludf.DUMMYFUNCTION("""COMPUTED_VALUE"""),"Asistencia Alimentaria y Nutrición")</f>
        <v>Asistencia Alimentaria y Nutrición</v>
      </c>
      <c r="F668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668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668" s="42" t="str">
        <f ca="1">IFERROR(__xludf.DUMMYFUNCTION("""COMPUTED_VALUE"""),"AM SEPTIEMBRE")</f>
        <v>AM SEPTIEMBRE</v>
      </c>
      <c r="I668" s="42" t="str">
        <f ca="1">IFERROR(__xludf.DUMMYFUNCTION("""COMPUTED_VALUE"""),"Septiembre")</f>
        <v>Septiembre</v>
      </c>
      <c r="J668" s="42" t="str">
        <f ca="1">IFERROR(__xludf.DUMMYFUNCTION("""COMPUTED_VALUE"""),"AM")</f>
        <v>AM</v>
      </c>
      <c r="K668" s="98">
        <f ca="1">IFERROR(__xludf.DUMMYFUNCTION("""COMPUTED_VALUE"""),0)</f>
        <v>0</v>
      </c>
      <c r="L668" s="42" t="str">
        <f ca="1">IFERROR(__xludf.DUMMYFUNCTION("""COMPUTED_VALUE"""),"TRIMESTRE 3")</f>
        <v>TRIMESTRE 3</v>
      </c>
      <c r="M668" s="42" t="str">
        <f ca="1">IFERROR(__xludf.DUMMYFUNCTION("""COMPUTED_VALUE"""),"ADOLESCENTES MUJERES")</f>
        <v>ADOLESCENTES MUJERES</v>
      </c>
    </row>
    <row r="669" spans="1:13">
      <c r="A669" s="42" t="str">
        <f ca="1">IFERROR(__xludf.DUMMYFUNCTION("""COMPUTED_VALUE"""),"2.1.1.7")</f>
        <v>2.1.1.7</v>
      </c>
      <c r="B669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69" s="42" t="str">
        <f ca="1">IFERROR(__xludf.DUMMYFUNCTION("""COMPUTED_VALUE"""),"3. Operación")</f>
        <v>3. Operación</v>
      </c>
      <c r="D669" s="42" t="str">
        <f ca="1">IFERROR(__xludf.DUMMYFUNCTION("""COMPUTED_VALUE"""),"Guadalajara en Paz")</f>
        <v>Guadalajara en Paz</v>
      </c>
      <c r="E669" s="42" t="str">
        <f ca="1">IFERROR(__xludf.DUMMYFUNCTION("""COMPUTED_VALUE"""),"Asistencia Alimentaria y Nutrición")</f>
        <v>Asistencia Alimentaria y Nutrición</v>
      </c>
      <c r="F669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669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669" s="42" t="str">
        <f ca="1">IFERROR(__xludf.DUMMYFUNCTION("""COMPUTED_VALUE"""),"AH SEPTIEMBRE")</f>
        <v>AH SEPTIEMBRE</v>
      </c>
      <c r="I669" s="42" t="str">
        <f ca="1">IFERROR(__xludf.DUMMYFUNCTION("""COMPUTED_VALUE"""),"Septiembre")</f>
        <v>Septiembre</v>
      </c>
      <c r="J669" s="42" t="str">
        <f ca="1">IFERROR(__xludf.DUMMYFUNCTION("""COMPUTED_VALUE"""),"AH")</f>
        <v>AH</v>
      </c>
      <c r="K669" s="98">
        <f ca="1">IFERROR(__xludf.DUMMYFUNCTION("""COMPUTED_VALUE"""),0)</f>
        <v>0</v>
      </c>
      <c r="L669" s="42" t="str">
        <f ca="1">IFERROR(__xludf.DUMMYFUNCTION("""COMPUTED_VALUE"""),"TRIMESTRE 3")</f>
        <v>TRIMESTRE 3</v>
      </c>
      <c r="M669" s="42" t="str">
        <f ca="1">IFERROR(__xludf.DUMMYFUNCTION("""COMPUTED_VALUE"""),"ADOLESCENTES HOMBRES")</f>
        <v>ADOLESCENTES HOMBRES</v>
      </c>
    </row>
    <row r="670" spans="1:13">
      <c r="A670" s="42" t="str">
        <f ca="1">IFERROR(__xludf.DUMMYFUNCTION("""COMPUTED_VALUE"""),"2.1.1.7")</f>
        <v>2.1.1.7</v>
      </c>
      <c r="B670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70" s="42" t="str">
        <f ca="1">IFERROR(__xludf.DUMMYFUNCTION("""COMPUTED_VALUE"""),"3. Operación")</f>
        <v>3. Operación</v>
      </c>
      <c r="D670" s="42" t="str">
        <f ca="1">IFERROR(__xludf.DUMMYFUNCTION("""COMPUTED_VALUE"""),"Guadalajara en Paz")</f>
        <v>Guadalajara en Paz</v>
      </c>
      <c r="E670" s="42" t="str">
        <f ca="1">IFERROR(__xludf.DUMMYFUNCTION("""COMPUTED_VALUE"""),"Asistencia Alimentaria y Nutrición")</f>
        <v>Asistencia Alimentaria y Nutrición</v>
      </c>
      <c r="F670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670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670" s="42" t="str">
        <f ca="1">IFERROR(__xludf.DUMMYFUNCTION("""COMPUTED_VALUE"""),"MUJ Septiembre")</f>
        <v>MUJ Septiembre</v>
      </c>
      <c r="I670" s="42" t="str">
        <f ca="1">IFERROR(__xludf.DUMMYFUNCTION("""COMPUTED_VALUE"""),"Septiembre")</f>
        <v>Septiembre</v>
      </c>
      <c r="J670" s="42" t="str">
        <f ca="1">IFERROR(__xludf.DUMMYFUNCTION("""COMPUTED_VALUE"""),"MUJ")</f>
        <v>MUJ</v>
      </c>
      <c r="K670" s="98">
        <f ca="1">IFERROR(__xludf.DUMMYFUNCTION("""COMPUTED_VALUE"""),420)</f>
        <v>420</v>
      </c>
      <c r="L670" s="42" t="str">
        <f ca="1">IFERROR(__xludf.DUMMYFUNCTION("""COMPUTED_VALUE"""),"TRIMESTRE 3")</f>
        <v>TRIMESTRE 3</v>
      </c>
      <c r="M670" s="42" t="str">
        <f ca="1">IFERROR(__xludf.DUMMYFUNCTION("""COMPUTED_VALUE"""),"MUJERES ADULTAS")</f>
        <v>MUJERES ADULTAS</v>
      </c>
    </row>
    <row r="671" spans="1:13">
      <c r="A671" s="42" t="str">
        <f ca="1">IFERROR(__xludf.DUMMYFUNCTION("""COMPUTED_VALUE"""),"2.1.1.7")</f>
        <v>2.1.1.7</v>
      </c>
      <c r="B671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71" s="42" t="str">
        <f ca="1">IFERROR(__xludf.DUMMYFUNCTION("""COMPUTED_VALUE"""),"3. Operación")</f>
        <v>3. Operación</v>
      </c>
      <c r="D671" s="42" t="str">
        <f ca="1">IFERROR(__xludf.DUMMYFUNCTION("""COMPUTED_VALUE"""),"Guadalajara en Paz")</f>
        <v>Guadalajara en Paz</v>
      </c>
      <c r="E671" s="42" t="str">
        <f ca="1">IFERROR(__xludf.DUMMYFUNCTION("""COMPUTED_VALUE"""),"Asistencia Alimentaria y Nutrición")</f>
        <v>Asistencia Alimentaria y Nutrición</v>
      </c>
      <c r="F671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671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671" s="42" t="str">
        <f ca="1">IFERROR(__xludf.DUMMYFUNCTION("""COMPUTED_VALUE"""),"HOM Septiembre")</f>
        <v>HOM Septiembre</v>
      </c>
      <c r="I671" s="42" t="str">
        <f ca="1">IFERROR(__xludf.DUMMYFUNCTION("""COMPUTED_VALUE"""),"Septiembre")</f>
        <v>Septiembre</v>
      </c>
      <c r="J671" s="42" t="str">
        <f ca="1">IFERROR(__xludf.DUMMYFUNCTION("""COMPUTED_VALUE"""),"HOM")</f>
        <v>HOM</v>
      </c>
      <c r="K671" s="98">
        <f ca="1">IFERROR(__xludf.DUMMYFUNCTION("""COMPUTED_VALUE"""),0)</f>
        <v>0</v>
      </c>
      <c r="L671" s="42" t="str">
        <f ca="1">IFERROR(__xludf.DUMMYFUNCTION("""COMPUTED_VALUE"""),"TRIMESTRE 3")</f>
        <v>TRIMESTRE 3</v>
      </c>
      <c r="M671" s="42" t="str">
        <f ca="1">IFERROR(__xludf.DUMMYFUNCTION("""COMPUTED_VALUE"""),"HOMBRES ADULTOS")</f>
        <v>HOMBRES ADULTOS</v>
      </c>
    </row>
    <row r="672" spans="1:13">
      <c r="A672" s="42" t="str">
        <f ca="1">IFERROR(__xludf.DUMMYFUNCTION("""COMPUTED_VALUE"""),"2.1.1.7")</f>
        <v>2.1.1.7</v>
      </c>
      <c r="B672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72" s="42" t="str">
        <f ca="1">IFERROR(__xludf.DUMMYFUNCTION("""COMPUTED_VALUE"""),"3. Operación")</f>
        <v>3. Operación</v>
      </c>
      <c r="D672" s="42" t="str">
        <f ca="1">IFERROR(__xludf.DUMMYFUNCTION("""COMPUTED_VALUE"""),"Guadalajara en Paz")</f>
        <v>Guadalajara en Paz</v>
      </c>
      <c r="E672" s="42" t="str">
        <f ca="1">IFERROR(__xludf.DUMMYFUNCTION("""COMPUTED_VALUE"""),"Asistencia Alimentaria y Nutrición")</f>
        <v>Asistencia Alimentaria y Nutrición</v>
      </c>
      <c r="F672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672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672" s="42" t="str">
        <f ca="1">IFERROR(__xludf.DUMMYFUNCTION("""COMPUTED_VALUE"""),"AMM Septiembre")</f>
        <v>AMM Septiembre</v>
      </c>
      <c r="I672" s="42" t="str">
        <f ca="1">IFERROR(__xludf.DUMMYFUNCTION("""COMPUTED_VALUE"""),"Septiembre")</f>
        <v>Septiembre</v>
      </c>
      <c r="J672" s="42" t="str">
        <f ca="1">IFERROR(__xludf.DUMMYFUNCTION("""COMPUTED_VALUE"""),"AMM")</f>
        <v>AMM</v>
      </c>
      <c r="K672" s="98">
        <f ca="1">IFERROR(__xludf.DUMMYFUNCTION("""COMPUTED_VALUE"""),0)</f>
        <v>0</v>
      </c>
      <c r="L672" s="42" t="str">
        <f ca="1">IFERROR(__xludf.DUMMYFUNCTION("""COMPUTED_VALUE"""),"TRIMESTRE 3")</f>
        <v>TRIMESTRE 3</v>
      </c>
      <c r="M672" s="42" t="str">
        <f ca="1">IFERROR(__xludf.DUMMYFUNCTION("""COMPUTED_VALUE"""),"ADULTA MAYOR MUJER")</f>
        <v>ADULTA MAYOR MUJER</v>
      </c>
    </row>
    <row r="673" spans="1:13">
      <c r="A673" s="42" t="str">
        <f ca="1">IFERROR(__xludf.DUMMYFUNCTION("""COMPUTED_VALUE"""),"2.1.1.7")</f>
        <v>2.1.1.7</v>
      </c>
      <c r="B673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73" s="42" t="str">
        <f ca="1">IFERROR(__xludf.DUMMYFUNCTION("""COMPUTED_VALUE"""),"3. Operación")</f>
        <v>3. Operación</v>
      </c>
      <c r="D673" s="42" t="str">
        <f ca="1">IFERROR(__xludf.DUMMYFUNCTION("""COMPUTED_VALUE"""),"Guadalajara en Paz")</f>
        <v>Guadalajara en Paz</v>
      </c>
      <c r="E673" s="42" t="str">
        <f ca="1">IFERROR(__xludf.DUMMYFUNCTION("""COMPUTED_VALUE"""),"Asistencia Alimentaria y Nutrición")</f>
        <v>Asistencia Alimentaria y Nutrición</v>
      </c>
      <c r="F673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673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673" s="42" t="str">
        <f ca="1">IFERROR(__xludf.DUMMYFUNCTION("""COMPUTED_VALUE"""),"AMH Septiembre")</f>
        <v>AMH Septiembre</v>
      </c>
      <c r="I673" s="42" t="str">
        <f ca="1">IFERROR(__xludf.DUMMYFUNCTION("""COMPUTED_VALUE"""),"Septiembre")</f>
        <v>Septiembre</v>
      </c>
      <c r="J673" s="42" t="str">
        <f ca="1">IFERROR(__xludf.DUMMYFUNCTION("""COMPUTED_VALUE"""),"AMH")</f>
        <v>AMH</v>
      </c>
      <c r="K673" s="98">
        <f ca="1">IFERROR(__xludf.DUMMYFUNCTION("""COMPUTED_VALUE"""),0)</f>
        <v>0</v>
      </c>
      <c r="L673" s="42" t="str">
        <f ca="1">IFERROR(__xludf.DUMMYFUNCTION("""COMPUTED_VALUE"""),"TRIMESTRE 3")</f>
        <v>TRIMESTRE 3</v>
      </c>
      <c r="M673" s="42" t="str">
        <f ca="1">IFERROR(__xludf.DUMMYFUNCTION("""COMPUTED_VALUE"""),"ADULTO MAYOR HOMBRE")</f>
        <v>ADULTO MAYOR HOMBRE</v>
      </c>
    </row>
    <row r="674" spans="1:13">
      <c r="A674" s="42" t="str">
        <f ca="1">IFERROR(__xludf.DUMMYFUNCTION("""COMPUTED_VALUE"""),"2.1.1.4")</f>
        <v>2.1.1.4</v>
      </c>
      <c r="B674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74" s="42" t="str">
        <f ca="1">IFERROR(__xludf.DUMMYFUNCTION("""COMPUTED_VALUE"""),"3. Operación")</f>
        <v>3. Operación</v>
      </c>
      <c r="D674" s="42" t="str">
        <f ca="1">IFERROR(__xludf.DUMMYFUNCTION("""COMPUTED_VALUE"""),"Guadalajara en Paz")</f>
        <v>Guadalajara en Paz</v>
      </c>
      <c r="E674" s="42" t="str">
        <f ca="1">IFERROR(__xludf.DUMMYFUNCTION("""COMPUTED_VALUE"""),"Asistencia Alimentaria y Nutrición")</f>
        <v>Asistencia Alimentaria y Nutrición</v>
      </c>
      <c r="F674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674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674" s="42" t="str">
        <f ca="1">IFERROR(__xludf.DUMMYFUNCTION("""COMPUTED_VALUE"""),"NAS Octubre")</f>
        <v>NAS Octubre</v>
      </c>
      <c r="I674" s="42" t="str">
        <f ca="1">IFERROR(__xludf.DUMMYFUNCTION("""COMPUTED_VALUE"""),"Octubre")</f>
        <v>Octubre</v>
      </c>
      <c r="J674" s="42" t="str">
        <f ca="1">IFERROR(__xludf.DUMMYFUNCTION("""COMPUTED_VALUE"""),"NAS")</f>
        <v>NAS</v>
      </c>
      <c r="K674" s="98"/>
      <c r="L674" s="42" t="str">
        <f ca="1">IFERROR(__xludf.DUMMYFUNCTION("""COMPUTED_VALUE"""),"TRIMESTRE 4")</f>
        <v>TRIMESTRE 4</v>
      </c>
      <c r="M674" s="42" t="str">
        <f ca="1">IFERROR(__xludf.DUMMYFUNCTION("""COMPUTED_VALUE"""),"NIÑAS")</f>
        <v>NIÑAS</v>
      </c>
    </row>
    <row r="675" spans="1:13">
      <c r="A675" s="42" t="str">
        <f ca="1">IFERROR(__xludf.DUMMYFUNCTION("""COMPUTED_VALUE"""),"2.1.1.4")</f>
        <v>2.1.1.4</v>
      </c>
      <c r="B675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75" s="42" t="str">
        <f ca="1">IFERROR(__xludf.DUMMYFUNCTION("""COMPUTED_VALUE"""),"3. Operación")</f>
        <v>3. Operación</v>
      </c>
      <c r="D675" s="42" t="str">
        <f ca="1">IFERROR(__xludf.DUMMYFUNCTION("""COMPUTED_VALUE"""),"Guadalajara en Paz")</f>
        <v>Guadalajara en Paz</v>
      </c>
      <c r="E675" s="42" t="str">
        <f ca="1">IFERROR(__xludf.DUMMYFUNCTION("""COMPUTED_VALUE"""),"Asistencia Alimentaria y Nutrición")</f>
        <v>Asistencia Alimentaria y Nutrición</v>
      </c>
      <c r="F675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675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675" s="42" t="str">
        <f ca="1">IFERROR(__xludf.DUMMYFUNCTION("""COMPUTED_VALUE"""),"NOS Octubre")</f>
        <v>NOS Octubre</v>
      </c>
      <c r="I675" s="42" t="str">
        <f ca="1">IFERROR(__xludf.DUMMYFUNCTION("""COMPUTED_VALUE"""),"Octubre")</f>
        <v>Octubre</v>
      </c>
      <c r="J675" s="42" t="str">
        <f ca="1">IFERROR(__xludf.DUMMYFUNCTION("""COMPUTED_VALUE"""),"NOS")</f>
        <v>NOS</v>
      </c>
      <c r="K675" s="98"/>
      <c r="L675" s="42" t="str">
        <f ca="1">IFERROR(__xludf.DUMMYFUNCTION("""COMPUTED_VALUE"""),"TRIMESTRE 4")</f>
        <v>TRIMESTRE 4</v>
      </c>
      <c r="M675" s="42" t="str">
        <f ca="1">IFERROR(__xludf.DUMMYFUNCTION("""COMPUTED_VALUE"""),"NIÑOS")</f>
        <v>NIÑOS</v>
      </c>
    </row>
    <row r="676" spans="1:13">
      <c r="A676" s="42" t="str">
        <f ca="1">IFERROR(__xludf.DUMMYFUNCTION("""COMPUTED_VALUE"""),"2.1.1.4")</f>
        <v>2.1.1.4</v>
      </c>
      <c r="B676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76" s="42" t="str">
        <f ca="1">IFERROR(__xludf.DUMMYFUNCTION("""COMPUTED_VALUE"""),"3. Operación")</f>
        <v>3. Operación</v>
      </c>
      <c r="D676" s="42" t="str">
        <f ca="1">IFERROR(__xludf.DUMMYFUNCTION("""COMPUTED_VALUE"""),"Guadalajara en Paz")</f>
        <v>Guadalajara en Paz</v>
      </c>
      <c r="E676" s="42" t="str">
        <f ca="1">IFERROR(__xludf.DUMMYFUNCTION("""COMPUTED_VALUE"""),"Asistencia Alimentaria y Nutrición")</f>
        <v>Asistencia Alimentaria y Nutrición</v>
      </c>
      <c r="F676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676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676" s="42" t="str">
        <f ca="1">IFERROR(__xludf.DUMMYFUNCTION("""COMPUTED_VALUE"""),"AM OCTUBRE")</f>
        <v>AM OCTUBRE</v>
      </c>
      <c r="I676" s="42" t="str">
        <f ca="1">IFERROR(__xludf.DUMMYFUNCTION("""COMPUTED_VALUE"""),"Octubre")</f>
        <v>Octubre</v>
      </c>
      <c r="J676" s="42" t="str">
        <f ca="1">IFERROR(__xludf.DUMMYFUNCTION("""COMPUTED_VALUE"""),"AM")</f>
        <v>AM</v>
      </c>
      <c r="K676" s="98"/>
      <c r="L676" s="42" t="str">
        <f ca="1">IFERROR(__xludf.DUMMYFUNCTION("""COMPUTED_VALUE"""),"TRIMESTRE 4")</f>
        <v>TRIMESTRE 4</v>
      </c>
      <c r="M676" s="42" t="str">
        <f ca="1">IFERROR(__xludf.DUMMYFUNCTION("""COMPUTED_VALUE"""),"ADOLESCENTES MUJERES")</f>
        <v>ADOLESCENTES MUJERES</v>
      </c>
    </row>
    <row r="677" spans="1:13">
      <c r="A677" s="42" t="str">
        <f ca="1">IFERROR(__xludf.DUMMYFUNCTION("""COMPUTED_VALUE"""),"2.1.1.4")</f>
        <v>2.1.1.4</v>
      </c>
      <c r="B677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77" s="42" t="str">
        <f ca="1">IFERROR(__xludf.DUMMYFUNCTION("""COMPUTED_VALUE"""),"3. Operación")</f>
        <v>3. Operación</v>
      </c>
      <c r="D677" s="42" t="str">
        <f ca="1">IFERROR(__xludf.DUMMYFUNCTION("""COMPUTED_VALUE"""),"Guadalajara en Paz")</f>
        <v>Guadalajara en Paz</v>
      </c>
      <c r="E677" s="42" t="str">
        <f ca="1">IFERROR(__xludf.DUMMYFUNCTION("""COMPUTED_VALUE"""),"Asistencia Alimentaria y Nutrición")</f>
        <v>Asistencia Alimentaria y Nutrición</v>
      </c>
      <c r="F677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677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677" s="42" t="str">
        <f ca="1">IFERROR(__xludf.DUMMYFUNCTION("""COMPUTED_VALUE"""),"AH OCTUBRE")</f>
        <v>AH OCTUBRE</v>
      </c>
      <c r="I677" s="42" t="str">
        <f ca="1">IFERROR(__xludf.DUMMYFUNCTION("""COMPUTED_VALUE"""),"Octubre")</f>
        <v>Octubre</v>
      </c>
      <c r="J677" s="42" t="str">
        <f ca="1">IFERROR(__xludf.DUMMYFUNCTION("""COMPUTED_VALUE"""),"AH")</f>
        <v>AH</v>
      </c>
      <c r="K677" s="98"/>
      <c r="L677" s="42" t="str">
        <f ca="1">IFERROR(__xludf.DUMMYFUNCTION("""COMPUTED_VALUE"""),"TRIMESTRE 4")</f>
        <v>TRIMESTRE 4</v>
      </c>
      <c r="M677" s="42" t="str">
        <f ca="1">IFERROR(__xludf.DUMMYFUNCTION("""COMPUTED_VALUE"""),"ADOLESCENTES HOMBRES")</f>
        <v>ADOLESCENTES HOMBRES</v>
      </c>
    </row>
    <row r="678" spans="1:13">
      <c r="A678" s="42" t="str">
        <f ca="1">IFERROR(__xludf.DUMMYFUNCTION("""COMPUTED_VALUE"""),"2.1.1.4")</f>
        <v>2.1.1.4</v>
      </c>
      <c r="B678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78" s="42" t="str">
        <f ca="1">IFERROR(__xludf.DUMMYFUNCTION("""COMPUTED_VALUE"""),"3. Operación")</f>
        <v>3. Operación</v>
      </c>
      <c r="D678" s="42" t="str">
        <f ca="1">IFERROR(__xludf.DUMMYFUNCTION("""COMPUTED_VALUE"""),"Guadalajara en Paz")</f>
        <v>Guadalajara en Paz</v>
      </c>
      <c r="E678" s="42" t="str">
        <f ca="1">IFERROR(__xludf.DUMMYFUNCTION("""COMPUTED_VALUE"""),"Asistencia Alimentaria y Nutrición")</f>
        <v>Asistencia Alimentaria y Nutrición</v>
      </c>
      <c r="F678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678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678" s="42" t="str">
        <f ca="1">IFERROR(__xludf.DUMMYFUNCTION("""COMPUTED_VALUE"""),"MUJ Octubre")</f>
        <v>MUJ Octubre</v>
      </c>
      <c r="I678" s="42" t="str">
        <f ca="1">IFERROR(__xludf.DUMMYFUNCTION("""COMPUTED_VALUE"""),"Octubre")</f>
        <v>Octubre</v>
      </c>
      <c r="J678" s="42" t="str">
        <f ca="1">IFERROR(__xludf.DUMMYFUNCTION("""COMPUTED_VALUE"""),"MUJ")</f>
        <v>MUJ</v>
      </c>
      <c r="K678" s="98"/>
      <c r="L678" s="42" t="str">
        <f ca="1">IFERROR(__xludf.DUMMYFUNCTION("""COMPUTED_VALUE"""),"TRIMESTRE 4")</f>
        <v>TRIMESTRE 4</v>
      </c>
      <c r="M678" s="42" t="str">
        <f ca="1">IFERROR(__xludf.DUMMYFUNCTION("""COMPUTED_VALUE"""),"MUJERES ADULTAS")</f>
        <v>MUJERES ADULTAS</v>
      </c>
    </row>
    <row r="679" spans="1:13">
      <c r="A679" s="42" t="str">
        <f ca="1">IFERROR(__xludf.DUMMYFUNCTION("""COMPUTED_VALUE"""),"2.1.1.4")</f>
        <v>2.1.1.4</v>
      </c>
      <c r="B679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79" s="42" t="str">
        <f ca="1">IFERROR(__xludf.DUMMYFUNCTION("""COMPUTED_VALUE"""),"3. Operación")</f>
        <v>3. Operación</v>
      </c>
      <c r="D679" s="42" t="str">
        <f ca="1">IFERROR(__xludf.DUMMYFUNCTION("""COMPUTED_VALUE"""),"Guadalajara en Paz")</f>
        <v>Guadalajara en Paz</v>
      </c>
      <c r="E679" s="42" t="str">
        <f ca="1">IFERROR(__xludf.DUMMYFUNCTION("""COMPUTED_VALUE"""),"Asistencia Alimentaria y Nutrición")</f>
        <v>Asistencia Alimentaria y Nutrición</v>
      </c>
      <c r="F679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679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679" s="42" t="str">
        <f ca="1">IFERROR(__xludf.DUMMYFUNCTION("""COMPUTED_VALUE"""),"HOM Octubre")</f>
        <v>HOM Octubre</v>
      </c>
      <c r="I679" s="42" t="str">
        <f ca="1">IFERROR(__xludf.DUMMYFUNCTION("""COMPUTED_VALUE"""),"Octubre")</f>
        <v>Octubre</v>
      </c>
      <c r="J679" s="42" t="str">
        <f ca="1">IFERROR(__xludf.DUMMYFUNCTION("""COMPUTED_VALUE"""),"HOM")</f>
        <v>HOM</v>
      </c>
      <c r="K679" s="98"/>
      <c r="L679" s="42" t="str">
        <f ca="1">IFERROR(__xludf.DUMMYFUNCTION("""COMPUTED_VALUE"""),"TRIMESTRE 4")</f>
        <v>TRIMESTRE 4</v>
      </c>
      <c r="M679" s="42" t="str">
        <f ca="1">IFERROR(__xludf.DUMMYFUNCTION("""COMPUTED_VALUE"""),"HOMBRES ADULTOS")</f>
        <v>HOMBRES ADULTOS</v>
      </c>
    </row>
    <row r="680" spans="1:13">
      <c r="A680" s="42" t="str">
        <f ca="1">IFERROR(__xludf.DUMMYFUNCTION("""COMPUTED_VALUE"""),"2.1.1.4")</f>
        <v>2.1.1.4</v>
      </c>
      <c r="B680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80" s="42" t="str">
        <f ca="1">IFERROR(__xludf.DUMMYFUNCTION("""COMPUTED_VALUE"""),"3. Operación")</f>
        <v>3. Operación</v>
      </c>
      <c r="D680" s="42" t="str">
        <f ca="1">IFERROR(__xludf.DUMMYFUNCTION("""COMPUTED_VALUE"""),"Guadalajara en Paz")</f>
        <v>Guadalajara en Paz</v>
      </c>
      <c r="E680" s="42" t="str">
        <f ca="1">IFERROR(__xludf.DUMMYFUNCTION("""COMPUTED_VALUE"""),"Asistencia Alimentaria y Nutrición")</f>
        <v>Asistencia Alimentaria y Nutrición</v>
      </c>
      <c r="F680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680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680" s="42" t="str">
        <f ca="1">IFERROR(__xludf.DUMMYFUNCTION("""COMPUTED_VALUE"""),"AMM Octubre")</f>
        <v>AMM Octubre</v>
      </c>
      <c r="I680" s="42" t="str">
        <f ca="1">IFERROR(__xludf.DUMMYFUNCTION("""COMPUTED_VALUE"""),"Octubre")</f>
        <v>Octubre</v>
      </c>
      <c r="J680" s="42" t="str">
        <f ca="1">IFERROR(__xludf.DUMMYFUNCTION("""COMPUTED_VALUE"""),"AMM")</f>
        <v>AMM</v>
      </c>
      <c r="K680" s="98"/>
      <c r="L680" s="42" t="str">
        <f ca="1">IFERROR(__xludf.DUMMYFUNCTION("""COMPUTED_VALUE"""),"TRIMESTRE 4")</f>
        <v>TRIMESTRE 4</v>
      </c>
      <c r="M680" s="42" t="str">
        <f ca="1">IFERROR(__xludf.DUMMYFUNCTION("""COMPUTED_VALUE"""),"ADULTA MAYOR MUJER")</f>
        <v>ADULTA MAYOR MUJER</v>
      </c>
    </row>
    <row r="681" spans="1:13">
      <c r="A681" s="42" t="str">
        <f ca="1">IFERROR(__xludf.DUMMYFUNCTION("""COMPUTED_VALUE"""),"2.1.1.4")</f>
        <v>2.1.1.4</v>
      </c>
      <c r="B681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81" s="42" t="str">
        <f ca="1">IFERROR(__xludf.DUMMYFUNCTION("""COMPUTED_VALUE"""),"3. Operación")</f>
        <v>3. Operación</v>
      </c>
      <c r="D681" s="42" t="str">
        <f ca="1">IFERROR(__xludf.DUMMYFUNCTION("""COMPUTED_VALUE"""),"Guadalajara en Paz")</f>
        <v>Guadalajara en Paz</v>
      </c>
      <c r="E681" s="42" t="str">
        <f ca="1">IFERROR(__xludf.DUMMYFUNCTION("""COMPUTED_VALUE"""),"Asistencia Alimentaria y Nutrición")</f>
        <v>Asistencia Alimentaria y Nutrición</v>
      </c>
      <c r="F681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681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681" s="42" t="str">
        <f ca="1">IFERROR(__xludf.DUMMYFUNCTION("""COMPUTED_VALUE"""),"AMH Octubre")</f>
        <v>AMH Octubre</v>
      </c>
      <c r="I681" s="42" t="str">
        <f ca="1">IFERROR(__xludf.DUMMYFUNCTION("""COMPUTED_VALUE"""),"Octubre")</f>
        <v>Octubre</v>
      </c>
      <c r="J681" s="42" t="str">
        <f ca="1">IFERROR(__xludf.DUMMYFUNCTION("""COMPUTED_VALUE"""),"AMH")</f>
        <v>AMH</v>
      </c>
      <c r="K681" s="98"/>
      <c r="L681" s="42" t="str">
        <f ca="1">IFERROR(__xludf.DUMMYFUNCTION("""COMPUTED_VALUE"""),"TRIMESTRE 4")</f>
        <v>TRIMESTRE 4</v>
      </c>
      <c r="M681" s="42" t="str">
        <f ca="1">IFERROR(__xludf.DUMMYFUNCTION("""COMPUTED_VALUE"""),"ADULTO MAYOR HOMBRE")</f>
        <v>ADULTO MAYOR HOMBRE</v>
      </c>
    </row>
    <row r="682" spans="1:13">
      <c r="A682" s="42" t="str">
        <f ca="1">IFERROR(__xludf.DUMMYFUNCTION("""COMPUTED_VALUE"""),"2.1.1.5")</f>
        <v>2.1.1.5</v>
      </c>
      <c r="B682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82" s="42" t="str">
        <f ca="1">IFERROR(__xludf.DUMMYFUNCTION("""COMPUTED_VALUE"""),"3. Operación")</f>
        <v>3. Operación</v>
      </c>
      <c r="D682" s="42" t="str">
        <f ca="1">IFERROR(__xludf.DUMMYFUNCTION("""COMPUTED_VALUE"""),"Guadalajara en Paz")</f>
        <v>Guadalajara en Paz</v>
      </c>
      <c r="E682" s="42" t="str">
        <f ca="1">IFERROR(__xludf.DUMMYFUNCTION("""COMPUTED_VALUE"""),"Asistencia Alimentaria y Nutrición")</f>
        <v>Asistencia Alimentaria y Nutrición</v>
      </c>
      <c r="F682" s="42" t="str">
        <f ca="1">IFERROR(__xludf.DUMMYFUNCTION("""COMPUTED_VALUE"""),"A5C1. Apoyos del Programa de Alimentación Escolar entregados en 2023")</f>
        <v>A5C1. Apoyos del Programa de Alimentación Escolar entregados en 2023</v>
      </c>
      <c r="G682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682" s="42" t="str">
        <f ca="1">IFERROR(__xludf.DUMMYFUNCTION("""COMPUTED_VALUE"""),"NAS Octubre")</f>
        <v>NAS Octubre</v>
      </c>
      <c r="I682" s="42" t="str">
        <f ca="1">IFERROR(__xludf.DUMMYFUNCTION("""COMPUTED_VALUE"""),"Octubre")</f>
        <v>Octubre</v>
      </c>
      <c r="J682" s="42" t="str">
        <f ca="1">IFERROR(__xludf.DUMMYFUNCTION("""COMPUTED_VALUE"""),"NAS")</f>
        <v>NAS</v>
      </c>
      <c r="K682" s="98"/>
      <c r="L682" s="42" t="str">
        <f ca="1">IFERROR(__xludf.DUMMYFUNCTION("""COMPUTED_VALUE"""),"TRIMESTRE 4")</f>
        <v>TRIMESTRE 4</v>
      </c>
      <c r="M682" s="42" t="str">
        <f ca="1">IFERROR(__xludf.DUMMYFUNCTION("""COMPUTED_VALUE"""),"NIÑAS")</f>
        <v>NIÑAS</v>
      </c>
    </row>
    <row r="683" spans="1:13">
      <c r="A683" s="42" t="str">
        <f ca="1">IFERROR(__xludf.DUMMYFUNCTION("""COMPUTED_VALUE"""),"2.1.1.5")</f>
        <v>2.1.1.5</v>
      </c>
      <c r="B683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83" s="42" t="str">
        <f ca="1">IFERROR(__xludf.DUMMYFUNCTION("""COMPUTED_VALUE"""),"3. Operación")</f>
        <v>3. Operación</v>
      </c>
      <c r="D683" s="42" t="str">
        <f ca="1">IFERROR(__xludf.DUMMYFUNCTION("""COMPUTED_VALUE"""),"Guadalajara en Paz")</f>
        <v>Guadalajara en Paz</v>
      </c>
      <c r="E683" s="42" t="str">
        <f ca="1">IFERROR(__xludf.DUMMYFUNCTION("""COMPUTED_VALUE"""),"Asistencia Alimentaria y Nutrición")</f>
        <v>Asistencia Alimentaria y Nutrición</v>
      </c>
      <c r="F683" s="42" t="str">
        <f ca="1">IFERROR(__xludf.DUMMYFUNCTION("""COMPUTED_VALUE"""),"A5C1. Apoyos del Programa de Alimentación Escolar entregados en 2023")</f>
        <v>A5C1. Apoyos del Programa de Alimentación Escolar entregados en 2023</v>
      </c>
      <c r="G683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683" s="42" t="str">
        <f ca="1">IFERROR(__xludf.DUMMYFUNCTION("""COMPUTED_VALUE"""),"NOS Octubre")</f>
        <v>NOS Octubre</v>
      </c>
      <c r="I683" s="42" t="str">
        <f ca="1">IFERROR(__xludf.DUMMYFUNCTION("""COMPUTED_VALUE"""),"Octubre")</f>
        <v>Octubre</v>
      </c>
      <c r="J683" s="42" t="str">
        <f ca="1">IFERROR(__xludf.DUMMYFUNCTION("""COMPUTED_VALUE"""),"NOS")</f>
        <v>NOS</v>
      </c>
      <c r="K683" s="98"/>
      <c r="L683" s="42" t="str">
        <f ca="1">IFERROR(__xludf.DUMMYFUNCTION("""COMPUTED_VALUE"""),"TRIMESTRE 4")</f>
        <v>TRIMESTRE 4</v>
      </c>
      <c r="M683" s="42" t="str">
        <f ca="1">IFERROR(__xludf.DUMMYFUNCTION("""COMPUTED_VALUE"""),"NIÑOS")</f>
        <v>NIÑOS</v>
      </c>
    </row>
    <row r="684" spans="1:13">
      <c r="A684" s="42" t="str">
        <f ca="1">IFERROR(__xludf.DUMMYFUNCTION("""COMPUTED_VALUE"""),"2.1.1.5")</f>
        <v>2.1.1.5</v>
      </c>
      <c r="B684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84" s="42" t="str">
        <f ca="1">IFERROR(__xludf.DUMMYFUNCTION("""COMPUTED_VALUE"""),"3. Operación")</f>
        <v>3. Operación</v>
      </c>
      <c r="D684" s="42" t="str">
        <f ca="1">IFERROR(__xludf.DUMMYFUNCTION("""COMPUTED_VALUE"""),"Guadalajara en Paz")</f>
        <v>Guadalajara en Paz</v>
      </c>
      <c r="E684" s="42" t="str">
        <f ca="1">IFERROR(__xludf.DUMMYFUNCTION("""COMPUTED_VALUE"""),"Asistencia Alimentaria y Nutrición")</f>
        <v>Asistencia Alimentaria y Nutrición</v>
      </c>
      <c r="F684" s="42" t="str">
        <f ca="1">IFERROR(__xludf.DUMMYFUNCTION("""COMPUTED_VALUE"""),"A5C1. Apoyos del Programa de Alimentación Escolar entregados en 2023")</f>
        <v>A5C1. Apoyos del Programa de Alimentación Escolar entregados en 2023</v>
      </c>
      <c r="G684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684" s="42" t="str">
        <f ca="1">IFERROR(__xludf.DUMMYFUNCTION("""COMPUTED_VALUE"""),"AM OCTUBRE")</f>
        <v>AM OCTUBRE</v>
      </c>
      <c r="I684" s="42" t="str">
        <f ca="1">IFERROR(__xludf.DUMMYFUNCTION("""COMPUTED_VALUE"""),"Octubre")</f>
        <v>Octubre</v>
      </c>
      <c r="J684" s="42" t="str">
        <f ca="1">IFERROR(__xludf.DUMMYFUNCTION("""COMPUTED_VALUE"""),"AM")</f>
        <v>AM</v>
      </c>
      <c r="K684" s="98"/>
      <c r="L684" s="42" t="str">
        <f ca="1">IFERROR(__xludf.DUMMYFUNCTION("""COMPUTED_VALUE"""),"TRIMESTRE 4")</f>
        <v>TRIMESTRE 4</v>
      </c>
      <c r="M684" s="42" t="str">
        <f ca="1">IFERROR(__xludf.DUMMYFUNCTION("""COMPUTED_VALUE"""),"ADOLESCENTES MUJERES")</f>
        <v>ADOLESCENTES MUJERES</v>
      </c>
    </row>
    <row r="685" spans="1:13">
      <c r="A685" s="42" t="str">
        <f ca="1">IFERROR(__xludf.DUMMYFUNCTION("""COMPUTED_VALUE"""),"2.1.1.5")</f>
        <v>2.1.1.5</v>
      </c>
      <c r="B685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85" s="42" t="str">
        <f ca="1">IFERROR(__xludf.DUMMYFUNCTION("""COMPUTED_VALUE"""),"3. Operación")</f>
        <v>3. Operación</v>
      </c>
      <c r="D685" s="42" t="str">
        <f ca="1">IFERROR(__xludf.DUMMYFUNCTION("""COMPUTED_VALUE"""),"Guadalajara en Paz")</f>
        <v>Guadalajara en Paz</v>
      </c>
      <c r="E685" s="42" t="str">
        <f ca="1">IFERROR(__xludf.DUMMYFUNCTION("""COMPUTED_VALUE"""),"Asistencia Alimentaria y Nutrición")</f>
        <v>Asistencia Alimentaria y Nutrición</v>
      </c>
      <c r="F685" s="42" t="str">
        <f ca="1">IFERROR(__xludf.DUMMYFUNCTION("""COMPUTED_VALUE"""),"A5C1. Apoyos del Programa de Alimentación Escolar entregados en 2023")</f>
        <v>A5C1. Apoyos del Programa de Alimentación Escolar entregados en 2023</v>
      </c>
      <c r="G685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685" s="42" t="str">
        <f ca="1">IFERROR(__xludf.DUMMYFUNCTION("""COMPUTED_VALUE"""),"AH OCTUBRE")</f>
        <v>AH OCTUBRE</v>
      </c>
      <c r="I685" s="42" t="str">
        <f ca="1">IFERROR(__xludf.DUMMYFUNCTION("""COMPUTED_VALUE"""),"Octubre")</f>
        <v>Octubre</v>
      </c>
      <c r="J685" s="42" t="str">
        <f ca="1">IFERROR(__xludf.DUMMYFUNCTION("""COMPUTED_VALUE"""),"AH")</f>
        <v>AH</v>
      </c>
      <c r="K685" s="98"/>
      <c r="L685" s="42" t="str">
        <f ca="1">IFERROR(__xludf.DUMMYFUNCTION("""COMPUTED_VALUE"""),"TRIMESTRE 4")</f>
        <v>TRIMESTRE 4</v>
      </c>
      <c r="M685" s="42" t="str">
        <f ca="1">IFERROR(__xludf.DUMMYFUNCTION("""COMPUTED_VALUE"""),"ADOLESCENTES HOMBRES")</f>
        <v>ADOLESCENTES HOMBRES</v>
      </c>
    </row>
    <row r="686" spans="1:13">
      <c r="A686" s="42" t="str">
        <f ca="1">IFERROR(__xludf.DUMMYFUNCTION("""COMPUTED_VALUE"""),"2.1.1.5")</f>
        <v>2.1.1.5</v>
      </c>
      <c r="B686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86" s="42" t="str">
        <f ca="1">IFERROR(__xludf.DUMMYFUNCTION("""COMPUTED_VALUE"""),"3. Operación")</f>
        <v>3. Operación</v>
      </c>
      <c r="D686" s="42" t="str">
        <f ca="1">IFERROR(__xludf.DUMMYFUNCTION("""COMPUTED_VALUE"""),"Guadalajara en Paz")</f>
        <v>Guadalajara en Paz</v>
      </c>
      <c r="E686" s="42" t="str">
        <f ca="1">IFERROR(__xludf.DUMMYFUNCTION("""COMPUTED_VALUE"""),"Asistencia Alimentaria y Nutrición")</f>
        <v>Asistencia Alimentaria y Nutrición</v>
      </c>
      <c r="F686" s="42" t="str">
        <f ca="1">IFERROR(__xludf.DUMMYFUNCTION("""COMPUTED_VALUE"""),"A5C1. Apoyos del Programa de Alimentación Escolar entregados en 2023")</f>
        <v>A5C1. Apoyos del Programa de Alimentación Escolar entregados en 2023</v>
      </c>
      <c r="G686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686" s="42" t="str">
        <f ca="1">IFERROR(__xludf.DUMMYFUNCTION("""COMPUTED_VALUE"""),"MUJ Octubre")</f>
        <v>MUJ Octubre</v>
      </c>
      <c r="I686" s="42" t="str">
        <f ca="1">IFERROR(__xludf.DUMMYFUNCTION("""COMPUTED_VALUE"""),"Octubre")</f>
        <v>Octubre</v>
      </c>
      <c r="J686" s="42" t="str">
        <f ca="1">IFERROR(__xludf.DUMMYFUNCTION("""COMPUTED_VALUE"""),"MUJ")</f>
        <v>MUJ</v>
      </c>
      <c r="K686" s="98"/>
      <c r="L686" s="42" t="str">
        <f ca="1">IFERROR(__xludf.DUMMYFUNCTION("""COMPUTED_VALUE"""),"TRIMESTRE 4")</f>
        <v>TRIMESTRE 4</v>
      </c>
      <c r="M686" s="42" t="str">
        <f ca="1">IFERROR(__xludf.DUMMYFUNCTION("""COMPUTED_VALUE"""),"MUJERES ADULTAS")</f>
        <v>MUJERES ADULTAS</v>
      </c>
    </row>
    <row r="687" spans="1:13">
      <c r="A687" s="42" t="str">
        <f ca="1">IFERROR(__xludf.DUMMYFUNCTION("""COMPUTED_VALUE"""),"2.1.1.5")</f>
        <v>2.1.1.5</v>
      </c>
      <c r="B687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87" s="42" t="str">
        <f ca="1">IFERROR(__xludf.DUMMYFUNCTION("""COMPUTED_VALUE"""),"3. Operación")</f>
        <v>3. Operación</v>
      </c>
      <c r="D687" s="42" t="str">
        <f ca="1">IFERROR(__xludf.DUMMYFUNCTION("""COMPUTED_VALUE"""),"Guadalajara en Paz")</f>
        <v>Guadalajara en Paz</v>
      </c>
      <c r="E687" s="42" t="str">
        <f ca="1">IFERROR(__xludf.DUMMYFUNCTION("""COMPUTED_VALUE"""),"Asistencia Alimentaria y Nutrición")</f>
        <v>Asistencia Alimentaria y Nutrición</v>
      </c>
      <c r="F687" s="42" t="str">
        <f ca="1">IFERROR(__xludf.DUMMYFUNCTION("""COMPUTED_VALUE"""),"A5C1. Apoyos del Programa de Alimentación Escolar entregados en 2023")</f>
        <v>A5C1. Apoyos del Programa de Alimentación Escolar entregados en 2023</v>
      </c>
      <c r="G687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687" s="42" t="str">
        <f ca="1">IFERROR(__xludf.DUMMYFUNCTION("""COMPUTED_VALUE"""),"HOM Octubre")</f>
        <v>HOM Octubre</v>
      </c>
      <c r="I687" s="42" t="str">
        <f ca="1">IFERROR(__xludf.DUMMYFUNCTION("""COMPUTED_VALUE"""),"Octubre")</f>
        <v>Octubre</v>
      </c>
      <c r="J687" s="42" t="str">
        <f ca="1">IFERROR(__xludf.DUMMYFUNCTION("""COMPUTED_VALUE"""),"HOM")</f>
        <v>HOM</v>
      </c>
      <c r="K687" s="98"/>
      <c r="L687" s="42" t="str">
        <f ca="1">IFERROR(__xludf.DUMMYFUNCTION("""COMPUTED_VALUE"""),"TRIMESTRE 4")</f>
        <v>TRIMESTRE 4</v>
      </c>
      <c r="M687" s="42" t="str">
        <f ca="1">IFERROR(__xludf.DUMMYFUNCTION("""COMPUTED_VALUE"""),"HOMBRES ADULTOS")</f>
        <v>HOMBRES ADULTOS</v>
      </c>
    </row>
    <row r="688" spans="1:13">
      <c r="A688" s="42" t="str">
        <f ca="1">IFERROR(__xludf.DUMMYFUNCTION("""COMPUTED_VALUE"""),"2.1.1.5")</f>
        <v>2.1.1.5</v>
      </c>
      <c r="B688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88" s="42" t="str">
        <f ca="1">IFERROR(__xludf.DUMMYFUNCTION("""COMPUTED_VALUE"""),"3. Operación")</f>
        <v>3. Operación</v>
      </c>
      <c r="D688" s="42" t="str">
        <f ca="1">IFERROR(__xludf.DUMMYFUNCTION("""COMPUTED_VALUE"""),"Guadalajara en Paz")</f>
        <v>Guadalajara en Paz</v>
      </c>
      <c r="E688" s="42" t="str">
        <f ca="1">IFERROR(__xludf.DUMMYFUNCTION("""COMPUTED_VALUE"""),"Asistencia Alimentaria y Nutrición")</f>
        <v>Asistencia Alimentaria y Nutrición</v>
      </c>
      <c r="F688" s="42" t="str">
        <f ca="1">IFERROR(__xludf.DUMMYFUNCTION("""COMPUTED_VALUE"""),"A5C1. Apoyos del Programa de Alimentación Escolar entregados en 2023")</f>
        <v>A5C1. Apoyos del Programa de Alimentación Escolar entregados en 2023</v>
      </c>
      <c r="G688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688" s="42" t="str">
        <f ca="1">IFERROR(__xludf.DUMMYFUNCTION("""COMPUTED_VALUE"""),"AMM Octubre")</f>
        <v>AMM Octubre</v>
      </c>
      <c r="I688" s="42" t="str">
        <f ca="1">IFERROR(__xludf.DUMMYFUNCTION("""COMPUTED_VALUE"""),"Octubre")</f>
        <v>Octubre</v>
      </c>
      <c r="J688" s="42" t="str">
        <f ca="1">IFERROR(__xludf.DUMMYFUNCTION("""COMPUTED_VALUE"""),"AMM")</f>
        <v>AMM</v>
      </c>
      <c r="K688" s="98"/>
      <c r="L688" s="42" t="str">
        <f ca="1">IFERROR(__xludf.DUMMYFUNCTION("""COMPUTED_VALUE"""),"TRIMESTRE 4")</f>
        <v>TRIMESTRE 4</v>
      </c>
      <c r="M688" s="42" t="str">
        <f ca="1">IFERROR(__xludf.DUMMYFUNCTION("""COMPUTED_VALUE"""),"ADULTA MAYOR MUJER")</f>
        <v>ADULTA MAYOR MUJER</v>
      </c>
    </row>
    <row r="689" spans="1:13">
      <c r="A689" s="42" t="str">
        <f ca="1">IFERROR(__xludf.DUMMYFUNCTION("""COMPUTED_VALUE"""),"2.1.1.5")</f>
        <v>2.1.1.5</v>
      </c>
      <c r="B689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89" s="42" t="str">
        <f ca="1">IFERROR(__xludf.DUMMYFUNCTION("""COMPUTED_VALUE"""),"3. Operación")</f>
        <v>3. Operación</v>
      </c>
      <c r="D689" s="42" t="str">
        <f ca="1">IFERROR(__xludf.DUMMYFUNCTION("""COMPUTED_VALUE"""),"Guadalajara en Paz")</f>
        <v>Guadalajara en Paz</v>
      </c>
      <c r="E689" s="42" t="str">
        <f ca="1">IFERROR(__xludf.DUMMYFUNCTION("""COMPUTED_VALUE"""),"Asistencia Alimentaria y Nutrición")</f>
        <v>Asistencia Alimentaria y Nutrición</v>
      </c>
      <c r="F689" s="42" t="str">
        <f ca="1">IFERROR(__xludf.DUMMYFUNCTION("""COMPUTED_VALUE"""),"A5C1. Apoyos del Programa de Alimentación Escolar entregados en 2023")</f>
        <v>A5C1. Apoyos del Programa de Alimentación Escolar entregados en 2023</v>
      </c>
      <c r="G689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689" s="42" t="str">
        <f ca="1">IFERROR(__xludf.DUMMYFUNCTION("""COMPUTED_VALUE"""),"AMH Octubre")</f>
        <v>AMH Octubre</v>
      </c>
      <c r="I689" s="42" t="str">
        <f ca="1">IFERROR(__xludf.DUMMYFUNCTION("""COMPUTED_VALUE"""),"Octubre")</f>
        <v>Octubre</v>
      </c>
      <c r="J689" s="42" t="str">
        <f ca="1">IFERROR(__xludf.DUMMYFUNCTION("""COMPUTED_VALUE"""),"AMH")</f>
        <v>AMH</v>
      </c>
      <c r="K689" s="98"/>
      <c r="L689" s="42" t="str">
        <f ca="1">IFERROR(__xludf.DUMMYFUNCTION("""COMPUTED_VALUE"""),"TRIMESTRE 4")</f>
        <v>TRIMESTRE 4</v>
      </c>
      <c r="M689" s="42" t="str">
        <f ca="1">IFERROR(__xludf.DUMMYFUNCTION("""COMPUTED_VALUE"""),"ADULTO MAYOR HOMBRE")</f>
        <v>ADULTO MAYOR HOMBRE</v>
      </c>
    </row>
    <row r="690" spans="1:13">
      <c r="A690" s="42" t="str">
        <f ca="1">IFERROR(__xludf.DUMMYFUNCTION("""COMPUTED_VALUE"""),"2.1.1.6")</f>
        <v>2.1.1.6</v>
      </c>
      <c r="B690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90" s="42" t="str">
        <f ca="1">IFERROR(__xludf.DUMMYFUNCTION("""COMPUTED_VALUE"""),"3. Operación")</f>
        <v>3. Operación</v>
      </c>
      <c r="D690" s="42" t="str">
        <f ca="1">IFERROR(__xludf.DUMMYFUNCTION("""COMPUTED_VALUE"""),"Guadalajara en Paz")</f>
        <v>Guadalajara en Paz</v>
      </c>
      <c r="E690" s="42" t="str">
        <f ca="1">IFERROR(__xludf.DUMMYFUNCTION("""COMPUTED_VALUE"""),"Asistencia Alimentaria y Nutrición")</f>
        <v>Asistencia Alimentaria y Nutrición</v>
      </c>
      <c r="F690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690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690" s="42" t="str">
        <f ca="1">IFERROR(__xludf.DUMMYFUNCTION("""COMPUTED_VALUE"""),"NAS Octubre")</f>
        <v>NAS Octubre</v>
      </c>
      <c r="I690" s="42" t="str">
        <f ca="1">IFERROR(__xludf.DUMMYFUNCTION("""COMPUTED_VALUE"""),"Octubre")</f>
        <v>Octubre</v>
      </c>
      <c r="J690" s="42" t="str">
        <f ca="1">IFERROR(__xludf.DUMMYFUNCTION("""COMPUTED_VALUE"""),"NAS")</f>
        <v>NAS</v>
      </c>
      <c r="K690" s="98"/>
      <c r="L690" s="42" t="str">
        <f ca="1">IFERROR(__xludf.DUMMYFUNCTION("""COMPUTED_VALUE"""),"TRIMESTRE 4")</f>
        <v>TRIMESTRE 4</v>
      </c>
      <c r="M690" s="42" t="str">
        <f ca="1">IFERROR(__xludf.DUMMYFUNCTION("""COMPUTED_VALUE"""),"NIÑAS")</f>
        <v>NIÑAS</v>
      </c>
    </row>
    <row r="691" spans="1:13">
      <c r="A691" s="42" t="str">
        <f ca="1">IFERROR(__xludf.DUMMYFUNCTION("""COMPUTED_VALUE"""),"2.1.1.6")</f>
        <v>2.1.1.6</v>
      </c>
      <c r="B691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91" s="42" t="str">
        <f ca="1">IFERROR(__xludf.DUMMYFUNCTION("""COMPUTED_VALUE"""),"3. Operación")</f>
        <v>3. Operación</v>
      </c>
      <c r="D691" s="42" t="str">
        <f ca="1">IFERROR(__xludf.DUMMYFUNCTION("""COMPUTED_VALUE"""),"Guadalajara en Paz")</f>
        <v>Guadalajara en Paz</v>
      </c>
      <c r="E691" s="42" t="str">
        <f ca="1">IFERROR(__xludf.DUMMYFUNCTION("""COMPUTED_VALUE"""),"Asistencia Alimentaria y Nutrición")</f>
        <v>Asistencia Alimentaria y Nutrición</v>
      </c>
      <c r="F691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691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691" s="42" t="str">
        <f ca="1">IFERROR(__xludf.DUMMYFUNCTION("""COMPUTED_VALUE"""),"NOS Octubre")</f>
        <v>NOS Octubre</v>
      </c>
      <c r="I691" s="42" t="str">
        <f ca="1">IFERROR(__xludf.DUMMYFUNCTION("""COMPUTED_VALUE"""),"Octubre")</f>
        <v>Octubre</v>
      </c>
      <c r="J691" s="42" t="str">
        <f ca="1">IFERROR(__xludf.DUMMYFUNCTION("""COMPUTED_VALUE"""),"NOS")</f>
        <v>NOS</v>
      </c>
      <c r="K691" s="98"/>
      <c r="L691" s="42" t="str">
        <f ca="1">IFERROR(__xludf.DUMMYFUNCTION("""COMPUTED_VALUE"""),"TRIMESTRE 4")</f>
        <v>TRIMESTRE 4</v>
      </c>
      <c r="M691" s="42" t="str">
        <f ca="1">IFERROR(__xludf.DUMMYFUNCTION("""COMPUTED_VALUE"""),"NIÑOS")</f>
        <v>NIÑOS</v>
      </c>
    </row>
    <row r="692" spans="1:13">
      <c r="A692" s="42" t="str">
        <f ca="1">IFERROR(__xludf.DUMMYFUNCTION("""COMPUTED_VALUE"""),"2.1.1.6")</f>
        <v>2.1.1.6</v>
      </c>
      <c r="B692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92" s="42" t="str">
        <f ca="1">IFERROR(__xludf.DUMMYFUNCTION("""COMPUTED_VALUE"""),"3. Operación")</f>
        <v>3. Operación</v>
      </c>
      <c r="D692" s="42" t="str">
        <f ca="1">IFERROR(__xludf.DUMMYFUNCTION("""COMPUTED_VALUE"""),"Guadalajara en Paz")</f>
        <v>Guadalajara en Paz</v>
      </c>
      <c r="E692" s="42" t="str">
        <f ca="1">IFERROR(__xludf.DUMMYFUNCTION("""COMPUTED_VALUE"""),"Asistencia Alimentaria y Nutrición")</f>
        <v>Asistencia Alimentaria y Nutrición</v>
      </c>
      <c r="F692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692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692" s="42" t="str">
        <f ca="1">IFERROR(__xludf.DUMMYFUNCTION("""COMPUTED_VALUE"""),"AM OCTUBRE")</f>
        <v>AM OCTUBRE</v>
      </c>
      <c r="I692" s="42" t="str">
        <f ca="1">IFERROR(__xludf.DUMMYFUNCTION("""COMPUTED_VALUE"""),"Octubre")</f>
        <v>Octubre</v>
      </c>
      <c r="J692" s="42" t="str">
        <f ca="1">IFERROR(__xludf.DUMMYFUNCTION("""COMPUTED_VALUE"""),"AM")</f>
        <v>AM</v>
      </c>
      <c r="K692" s="98"/>
      <c r="L692" s="42" t="str">
        <f ca="1">IFERROR(__xludf.DUMMYFUNCTION("""COMPUTED_VALUE"""),"TRIMESTRE 4")</f>
        <v>TRIMESTRE 4</v>
      </c>
      <c r="M692" s="42" t="str">
        <f ca="1">IFERROR(__xludf.DUMMYFUNCTION("""COMPUTED_VALUE"""),"ADOLESCENTES MUJERES")</f>
        <v>ADOLESCENTES MUJERES</v>
      </c>
    </row>
    <row r="693" spans="1:13">
      <c r="A693" s="42" t="str">
        <f ca="1">IFERROR(__xludf.DUMMYFUNCTION("""COMPUTED_VALUE"""),"2.1.1.6")</f>
        <v>2.1.1.6</v>
      </c>
      <c r="B693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93" s="42" t="str">
        <f ca="1">IFERROR(__xludf.DUMMYFUNCTION("""COMPUTED_VALUE"""),"3. Operación")</f>
        <v>3. Operación</v>
      </c>
      <c r="D693" s="42" t="str">
        <f ca="1">IFERROR(__xludf.DUMMYFUNCTION("""COMPUTED_VALUE"""),"Guadalajara en Paz")</f>
        <v>Guadalajara en Paz</v>
      </c>
      <c r="E693" s="42" t="str">
        <f ca="1">IFERROR(__xludf.DUMMYFUNCTION("""COMPUTED_VALUE"""),"Asistencia Alimentaria y Nutrición")</f>
        <v>Asistencia Alimentaria y Nutrición</v>
      </c>
      <c r="F693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693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693" s="42" t="str">
        <f ca="1">IFERROR(__xludf.DUMMYFUNCTION("""COMPUTED_VALUE"""),"AH OCTUBRE")</f>
        <v>AH OCTUBRE</v>
      </c>
      <c r="I693" s="42" t="str">
        <f ca="1">IFERROR(__xludf.DUMMYFUNCTION("""COMPUTED_VALUE"""),"Octubre")</f>
        <v>Octubre</v>
      </c>
      <c r="J693" s="42" t="str">
        <f ca="1">IFERROR(__xludf.DUMMYFUNCTION("""COMPUTED_VALUE"""),"AH")</f>
        <v>AH</v>
      </c>
      <c r="K693" s="98"/>
      <c r="L693" s="42" t="str">
        <f ca="1">IFERROR(__xludf.DUMMYFUNCTION("""COMPUTED_VALUE"""),"TRIMESTRE 4")</f>
        <v>TRIMESTRE 4</v>
      </c>
      <c r="M693" s="42" t="str">
        <f ca="1">IFERROR(__xludf.DUMMYFUNCTION("""COMPUTED_VALUE"""),"ADOLESCENTES HOMBRES")</f>
        <v>ADOLESCENTES HOMBRES</v>
      </c>
    </row>
    <row r="694" spans="1:13">
      <c r="A694" s="42" t="str">
        <f ca="1">IFERROR(__xludf.DUMMYFUNCTION("""COMPUTED_VALUE"""),"2.1.1.6")</f>
        <v>2.1.1.6</v>
      </c>
      <c r="B694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94" s="42" t="str">
        <f ca="1">IFERROR(__xludf.DUMMYFUNCTION("""COMPUTED_VALUE"""),"3. Operación")</f>
        <v>3. Operación</v>
      </c>
      <c r="D694" s="42" t="str">
        <f ca="1">IFERROR(__xludf.DUMMYFUNCTION("""COMPUTED_VALUE"""),"Guadalajara en Paz")</f>
        <v>Guadalajara en Paz</v>
      </c>
      <c r="E694" s="42" t="str">
        <f ca="1">IFERROR(__xludf.DUMMYFUNCTION("""COMPUTED_VALUE"""),"Asistencia Alimentaria y Nutrición")</f>
        <v>Asistencia Alimentaria y Nutrición</v>
      </c>
      <c r="F694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694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694" s="42" t="str">
        <f ca="1">IFERROR(__xludf.DUMMYFUNCTION("""COMPUTED_VALUE"""),"MUJ Octubre")</f>
        <v>MUJ Octubre</v>
      </c>
      <c r="I694" s="42" t="str">
        <f ca="1">IFERROR(__xludf.DUMMYFUNCTION("""COMPUTED_VALUE"""),"Octubre")</f>
        <v>Octubre</v>
      </c>
      <c r="J694" s="42" t="str">
        <f ca="1">IFERROR(__xludf.DUMMYFUNCTION("""COMPUTED_VALUE"""),"MUJ")</f>
        <v>MUJ</v>
      </c>
      <c r="K694" s="98"/>
      <c r="L694" s="42" t="str">
        <f ca="1">IFERROR(__xludf.DUMMYFUNCTION("""COMPUTED_VALUE"""),"TRIMESTRE 4")</f>
        <v>TRIMESTRE 4</v>
      </c>
      <c r="M694" s="42" t="str">
        <f ca="1">IFERROR(__xludf.DUMMYFUNCTION("""COMPUTED_VALUE"""),"MUJERES ADULTAS")</f>
        <v>MUJERES ADULTAS</v>
      </c>
    </row>
    <row r="695" spans="1:13">
      <c r="A695" s="42" t="str">
        <f ca="1">IFERROR(__xludf.DUMMYFUNCTION("""COMPUTED_VALUE"""),"2.1.1.6")</f>
        <v>2.1.1.6</v>
      </c>
      <c r="B695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95" s="42" t="str">
        <f ca="1">IFERROR(__xludf.DUMMYFUNCTION("""COMPUTED_VALUE"""),"3. Operación")</f>
        <v>3. Operación</v>
      </c>
      <c r="D695" s="42" t="str">
        <f ca="1">IFERROR(__xludf.DUMMYFUNCTION("""COMPUTED_VALUE"""),"Guadalajara en Paz")</f>
        <v>Guadalajara en Paz</v>
      </c>
      <c r="E695" s="42" t="str">
        <f ca="1">IFERROR(__xludf.DUMMYFUNCTION("""COMPUTED_VALUE"""),"Asistencia Alimentaria y Nutrición")</f>
        <v>Asistencia Alimentaria y Nutrición</v>
      </c>
      <c r="F695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695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695" s="42" t="str">
        <f ca="1">IFERROR(__xludf.DUMMYFUNCTION("""COMPUTED_VALUE"""),"HOM Octubre")</f>
        <v>HOM Octubre</v>
      </c>
      <c r="I695" s="42" t="str">
        <f ca="1">IFERROR(__xludf.DUMMYFUNCTION("""COMPUTED_VALUE"""),"Octubre")</f>
        <v>Octubre</v>
      </c>
      <c r="J695" s="42" t="str">
        <f ca="1">IFERROR(__xludf.DUMMYFUNCTION("""COMPUTED_VALUE"""),"HOM")</f>
        <v>HOM</v>
      </c>
      <c r="K695" s="98"/>
      <c r="L695" s="42" t="str">
        <f ca="1">IFERROR(__xludf.DUMMYFUNCTION("""COMPUTED_VALUE"""),"TRIMESTRE 4")</f>
        <v>TRIMESTRE 4</v>
      </c>
      <c r="M695" s="42" t="str">
        <f ca="1">IFERROR(__xludf.DUMMYFUNCTION("""COMPUTED_VALUE"""),"HOMBRES ADULTOS")</f>
        <v>HOMBRES ADULTOS</v>
      </c>
    </row>
    <row r="696" spans="1:13">
      <c r="A696" s="42" t="str">
        <f ca="1">IFERROR(__xludf.DUMMYFUNCTION("""COMPUTED_VALUE"""),"2.1.1.6")</f>
        <v>2.1.1.6</v>
      </c>
      <c r="B696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96" s="42" t="str">
        <f ca="1">IFERROR(__xludf.DUMMYFUNCTION("""COMPUTED_VALUE"""),"3. Operación")</f>
        <v>3. Operación</v>
      </c>
      <c r="D696" s="42" t="str">
        <f ca="1">IFERROR(__xludf.DUMMYFUNCTION("""COMPUTED_VALUE"""),"Guadalajara en Paz")</f>
        <v>Guadalajara en Paz</v>
      </c>
      <c r="E696" s="42" t="str">
        <f ca="1">IFERROR(__xludf.DUMMYFUNCTION("""COMPUTED_VALUE"""),"Asistencia Alimentaria y Nutrición")</f>
        <v>Asistencia Alimentaria y Nutrición</v>
      </c>
      <c r="F696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696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696" s="42" t="str">
        <f ca="1">IFERROR(__xludf.DUMMYFUNCTION("""COMPUTED_VALUE"""),"AMM Octubre")</f>
        <v>AMM Octubre</v>
      </c>
      <c r="I696" s="42" t="str">
        <f ca="1">IFERROR(__xludf.DUMMYFUNCTION("""COMPUTED_VALUE"""),"Octubre")</f>
        <v>Octubre</v>
      </c>
      <c r="J696" s="42" t="str">
        <f ca="1">IFERROR(__xludf.DUMMYFUNCTION("""COMPUTED_VALUE"""),"AMM")</f>
        <v>AMM</v>
      </c>
      <c r="K696" s="98"/>
      <c r="L696" s="42" t="str">
        <f ca="1">IFERROR(__xludf.DUMMYFUNCTION("""COMPUTED_VALUE"""),"TRIMESTRE 4")</f>
        <v>TRIMESTRE 4</v>
      </c>
      <c r="M696" s="42" t="str">
        <f ca="1">IFERROR(__xludf.DUMMYFUNCTION("""COMPUTED_VALUE"""),"ADULTA MAYOR MUJER")</f>
        <v>ADULTA MAYOR MUJER</v>
      </c>
    </row>
    <row r="697" spans="1:13">
      <c r="A697" s="42" t="str">
        <f ca="1">IFERROR(__xludf.DUMMYFUNCTION("""COMPUTED_VALUE"""),"2.1.1.6")</f>
        <v>2.1.1.6</v>
      </c>
      <c r="B697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97" s="42" t="str">
        <f ca="1">IFERROR(__xludf.DUMMYFUNCTION("""COMPUTED_VALUE"""),"3. Operación")</f>
        <v>3. Operación</v>
      </c>
      <c r="D697" s="42" t="str">
        <f ca="1">IFERROR(__xludf.DUMMYFUNCTION("""COMPUTED_VALUE"""),"Guadalajara en Paz")</f>
        <v>Guadalajara en Paz</v>
      </c>
      <c r="E697" s="42" t="str">
        <f ca="1">IFERROR(__xludf.DUMMYFUNCTION("""COMPUTED_VALUE"""),"Asistencia Alimentaria y Nutrición")</f>
        <v>Asistencia Alimentaria y Nutrición</v>
      </c>
      <c r="F697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697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697" s="42" t="str">
        <f ca="1">IFERROR(__xludf.DUMMYFUNCTION("""COMPUTED_VALUE"""),"AMH Octubre")</f>
        <v>AMH Octubre</v>
      </c>
      <c r="I697" s="42" t="str">
        <f ca="1">IFERROR(__xludf.DUMMYFUNCTION("""COMPUTED_VALUE"""),"Octubre")</f>
        <v>Octubre</v>
      </c>
      <c r="J697" s="42" t="str">
        <f ca="1">IFERROR(__xludf.DUMMYFUNCTION("""COMPUTED_VALUE"""),"AMH")</f>
        <v>AMH</v>
      </c>
      <c r="K697" s="98"/>
      <c r="L697" s="42" t="str">
        <f ca="1">IFERROR(__xludf.DUMMYFUNCTION("""COMPUTED_VALUE"""),"TRIMESTRE 4")</f>
        <v>TRIMESTRE 4</v>
      </c>
      <c r="M697" s="42" t="str">
        <f ca="1">IFERROR(__xludf.DUMMYFUNCTION("""COMPUTED_VALUE"""),"ADULTO MAYOR HOMBRE")</f>
        <v>ADULTO MAYOR HOMBRE</v>
      </c>
    </row>
    <row r="698" spans="1:13">
      <c r="A698" s="42" t="str">
        <f ca="1">IFERROR(__xludf.DUMMYFUNCTION("""COMPUTED_VALUE"""),"2.1.1.7")</f>
        <v>2.1.1.7</v>
      </c>
      <c r="B698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98" s="42" t="str">
        <f ca="1">IFERROR(__xludf.DUMMYFUNCTION("""COMPUTED_VALUE"""),"3. Operación")</f>
        <v>3. Operación</v>
      </c>
      <c r="D698" s="42" t="str">
        <f ca="1">IFERROR(__xludf.DUMMYFUNCTION("""COMPUTED_VALUE"""),"Guadalajara en Paz")</f>
        <v>Guadalajara en Paz</v>
      </c>
      <c r="E698" s="42" t="str">
        <f ca="1">IFERROR(__xludf.DUMMYFUNCTION("""COMPUTED_VALUE"""),"Asistencia Alimentaria y Nutrición")</f>
        <v>Asistencia Alimentaria y Nutrición</v>
      </c>
      <c r="F698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698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698" s="42" t="str">
        <f ca="1">IFERROR(__xludf.DUMMYFUNCTION("""COMPUTED_VALUE"""),"NAS Octubre")</f>
        <v>NAS Octubre</v>
      </c>
      <c r="I698" s="42" t="str">
        <f ca="1">IFERROR(__xludf.DUMMYFUNCTION("""COMPUTED_VALUE"""),"Octubre")</f>
        <v>Octubre</v>
      </c>
      <c r="J698" s="42" t="str">
        <f ca="1">IFERROR(__xludf.DUMMYFUNCTION("""COMPUTED_VALUE"""),"NAS")</f>
        <v>NAS</v>
      </c>
      <c r="K698" s="98"/>
      <c r="L698" s="42" t="str">
        <f ca="1">IFERROR(__xludf.DUMMYFUNCTION("""COMPUTED_VALUE"""),"TRIMESTRE 4")</f>
        <v>TRIMESTRE 4</v>
      </c>
      <c r="M698" s="42" t="str">
        <f ca="1">IFERROR(__xludf.DUMMYFUNCTION("""COMPUTED_VALUE"""),"NIÑAS")</f>
        <v>NIÑAS</v>
      </c>
    </row>
    <row r="699" spans="1:13">
      <c r="A699" s="42" t="str">
        <f ca="1">IFERROR(__xludf.DUMMYFUNCTION("""COMPUTED_VALUE"""),"2.1.1.7")</f>
        <v>2.1.1.7</v>
      </c>
      <c r="B699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699" s="42" t="str">
        <f ca="1">IFERROR(__xludf.DUMMYFUNCTION("""COMPUTED_VALUE"""),"3. Operación")</f>
        <v>3. Operación</v>
      </c>
      <c r="D699" s="42" t="str">
        <f ca="1">IFERROR(__xludf.DUMMYFUNCTION("""COMPUTED_VALUE"""),"Guadalajara en Paz")</f>
        <v>Guadalajara en Paz</v>
      </c>
      <c r="E699" s="42" t="str">
        <f ca="1">IFERROR(__xludf.DUMMYFUNCTION("""COMPUTED_VALUE"""),"Asistencia Alimentaria y Nutrición")</f>
        <v>Asistencia Alimentaria y Nutrición</v>
      </c>
      <c r="F699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699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699" s="42" t="str">
        <f ca="1">IFERROR(__xludf.DUMMYFUNCTION("""COMPUTED_VALUE"""),"NOS Octubre")</f>
        <v>NOS Octubre</v>
      </c>
      <c r="I699" s="42" t="str">
        <f ca="1">IFERROR(__xludf.DUMMYFUNCTION("""COMPUTED_VALUE"""),"Octubre")</f>
        <v>Octubre</v>
      </c>
      <c r="J699" s="42" t="str">
        <f ca="1">IFERROR(__xludf.DUMMYFUNCTION("""COMPUTED_VALUE"""),"NOS")</f>
        <v>NOS</v>
      </c>
      <c r="K699" s="98"/>
      <c r="L699" s="42" t="str">
        <f ca="1">IFERROR(__xludf.DUMMYFUNCTION("""COMPUTED_VALUE"""),"TRIMESTRE 4")</f>
        <v>TRIMESTRE 4</v>
      </c>
      <c r="M699" s="42" t="str">
        <f ca="1">IFERROR(__xludf.DUMMYFUNCTION("""COMPUTED_VALUE"""),"NIÑOS")</f>
        <v>NIÑOS</v>
      </c>
    </row>
    <row r="700" spans="1:13">
      <c r="A700" s="42" t="str">
        <f ca="1">IFERROR(__xludf.DUMMYFUNCTION("""COMPUTED_VALUE"""),"2.1.1.7")</f>
        <v>2.1.1.7</v>
      </c>
      <c r="B700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00" s="42" t="str">
        <f ca="1">IFERROR(__xludf.DUMMYFUNCTION("""COMPUTED_VALUE"""),"3. Operación")</f>
        <v>3. Operación</v>
      </c>
      <c r="D700" s="42" t="str">
        <f ca="1">IFERROR(__xludf.DUMMYFUNCTION("""COMPUTED_VALUE"""),"Guadalajara en Paz")</f>
        <v>Guadalajara en Paz</v>
      </c>
      <c r="E700" s="42" t="str">
        <f ca="1">IFERROR(__xludf.DUMMYFUNCTION("""COMPUTED_VALUE"""),"Asistencia Alimentaria y Nutrición")</f>
        <v>Asistencia Alimentaria y Nutrición</v>
      </c>
      <c r="F700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700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700" s="42" t="str">
        <f ca="1">IFERROR(__xludf.DUMMYFUNCTION("""COMPUTED_VALUE"""),"AM OCTUBRE")</f>
        <v>AM OCTUBRE</v>
      </c>
      <c r="I700" s="42" t="str">
        <f ca="1">IFERROR(__xludf.DUMMYFUNCTION("""COMPUTED_VALUE"""),"Octubre")</f>
        <v>Octubre</v>
      </c>
      <c r="J700" s="42" t="str">
        <f ca="1">IFERROR(__xludf.DUMMYFUNCTION("""COMPUTED_VALUE"""),"AM")</f>
        <v>AM</v>
      </c>
      <c r="K700" s="98"/>
      <c r="L700" s="42" t="str">
        <f ca="1">IFERROR(__xludf.DUMMYFUNCTION("""COMPUTED_VALUE"""),"TRIMESTRE 4")</f>
        <v>TRIMESTRE 4</v>
      </c>
      <c r="M700" s="42" t="str">
        <f ca="1">IFERROR(__xludf.DUMMYFUNCTION("""COMPUTED_VALUE"""),"ADOLESCENTES MUJERES")</f>
        <v>ADOLESCENTES MUJERES</v>
      </c>
    </row>
    <row r="701" spans="1:13">
      <c r="A701" s="42" t="str">
        <f ca="1">IFERROR(__xludf.DUMMYFUNCTION("""COMPUTED_VALUE"""),"2.1.1.7")</f>
        <v>2.1.1.7</v>
      </c>
      <c r="B701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01" s="42" t="str">
        <f ca="1">IFERROR(__xludf.DUMMYFUNCTION("""COMPUTED_VALUE"""),"3. Operación")</f>
        <v>3. Operación</v>
      </c>
      <c r="D701" s="42" t="str">
        <f ca="1">IFERROR(__xludf.DUMMYFUNCTION("""COMPUTED_VALUE"""),"Guadalajara en Paz")</f>
        <v>Guadalajara en Paz</v>
      </c>
      <c r="E701" s="42" t="str">
        <f ca="1">IFERROR(__xludf.DUMMYFUNCTION("""COMPUTED_VALUE"""),"Asistencia Alimentaria y Nutrición")</f>
        <v>Asistencia Alimentaria y Nutrición</v>
      </c>
      <c r="F701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701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701" s="42" t="str">
        <f ca="1">IFERROR(__xludf.DUMMYFUNCTION("""COMPUTED_VALUE"""),"AH OCTUBRE")</f>
        <v>AH OCTUBRE</v>
      </c>
      <c r="I701" s="42" t="str">
        <f ca="1">IFERROR(__xludf.DUMMYFUNCTION("""COMPUTED_VALUE"""),"Octubre")</f>
        <v>Octubre</v>
      </c>
      <c r="J701" s="42" t="str">
        <f ca="1">IFERROR(__xludf.DUMMYFUNCTION("""COMPUTED_VALUE"""),"AH")</f>
        <v>AH</v>
      </c>
      <c r="K701" s="98"/>
      <c r="L701" s="42" t="str">
        <f ca="1">IFERROR(__xludf.DUMMYFUNCTION("""COMPUTED_VALUE"""),"TRIMESTRE 4")</f>
        <v>TRIMESTRE 4</v>
      </c>
      <c r="M701" s="42" t="str">
        <f ca="1">IFERROR(__xludf.DUMMYFUNCTION("""COMPUTED_VALUE"""),"ADOLESCENTES HOMBRES")</f>
        <v>ADOLESCENTES HOMBRES</v>
      </c>
    </row>
    <row r="702" spans="1:13">
      <c r="A702" s="42" t="str">
        <f ca="1">IFERROR(__xludf.DUMMYFUNCTION("""COMPUTED_VALUE"""),"2.1.1.7")</f>
        <v>2.1.1.7</v>
      </c>
      <c r="B702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02" s="42" t="str">
        <f ca="1">IFERROR(__xludf.DUMMYFUNCTION("""COMPUTED_VALUE"""),"3. Operación")</f>
        <v>3. Operación</v>
      </c>
      <c r="D702" s="42" t="str">
        <f ca="1">IFERROR(__xludf.DUMMYFUNCTION("""COMPUTED_VALUE"""),"Guadalajara en Paz")</f>
        <v>Guadalajara en Paz</v>
      </c>
      <c r="E702" s="42" t="str">
        <f ca="1">IFERROR(__xludf.DUMMYFUNCTION("""COMPUTED_VALUE"""),"Asistencia Alimentaria y Nutrición")</f>
        <v>Asistencia Alimentaria y Nutrición</v>
      </c>
      <c r="F702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702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702" s="42" t="str">
        <f ca="1">IFERROR(__xludf.DUMMYFUNCTION("""COMPUTED_VALUE"""),"MUJ Octubre")</f>
        <v>MUJ Octubre</v>
      </c>
      <c r="I702" s="42" t="str">
        <f ca="1">IFERROR(__xludf.DUMMYFUNCTION("""COMPUTED_VALUE"""),"Octubre")</f>
        <v>Octubre</v>
      </c>
      <c r="J702" s="42" t="str">
        <f ca="1">IFERROR(__xludf.DUMMYFUNCTION("""COMPUTED_VALUE"""),"MUJ")</f>
        <v>MUJ</v>
      </c>
      <c r="K702" s="98"/>
      <c r="L702" s="42" t="str">
        <f ca="1">IFERROR(__xludf.DUMMYFUNCTION("""COMPUTED_VALUE"""),"TRIMESTRE 4")</f>
        <v>TRIMESTRE 4</v>
      </c>
      <c r="M702" s="42" t="str">
        <f ca="1">IFERROR(__xludf.DUMMYFUNCTION("""COMPUTED_VALUE"""),"MUJERES ADULTAS")</f>
        <v>MUJERES ADULTAS</v>
      </c>
    </row>
    <row r="703" spans="1:13">
      <c r="A703" s="42" t="str">
        <f ca="1">IFERROR(__xludf.DUMMYFUNCTION("""COMPUTED_VALUE"""),"2.1.1.7")</f>
        <v>2.1.1.7</v>
      </c>
      <c r="B703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03" s="42" t="str">
        <f ca="1">IFERROR(__xludf.DUMMYFUNCTION("""COMPUTED_VALUE"""),"3. Operación")</f>
        <v>3. Operación</v>
      </c>
      <c r="D703" s="42" t="str">
        <f ca="1">IFERROR(__xludf.DUMMYFUNCTION("""COMPUTED_VALUE"""),"Guadalajara en Paz")</f>
        <v>Guadalajara en Paz</v>
      </c>
      <c r="E703" s="42" t="str">
        <f ca="1">IFERROR(__xludf.DUMMYFUNCTION("""COMPUTED_VALUE"""),"Asistencia Alimentaria y Nutrición")</f>
        <v>Asistencia Alimentaria y Nutrición</v>
      </c>
      <c r="F703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703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703" s="42" t="str">
        <f ca="1">IFERROR(__xludf.DUMMYFUNCTION("""COMPUTED_VALUE"""),"HOM Octubre")</f>
        <v>HOM Octubre</v>
      </c>
      <c r="I703" s="42" t="str">
        <f ca="1">IFERROR(__xludf.DUMMYFUNCTION("""COMPUTED_VALUE"""),"Octubre")</f>
        <v>Octubre</v>
      </c>
      <c r="J703" s="42" t="str">
        <f ca="1">IFERROR(__xludf.DUMMYFUNCTION("""COMPUTED_VALUE"""),"HOM")</f>
        <v>HOM</v>
      </c>
      <c r="K703" s="98"/>
      <c r="L703" s="42" t="str">
        <f ca="1">IFERROR(__xludf.DUMMYFUNCTION("""COMPUTED_VALUE"""),"TRIMESTRE 4")</f>
        <v>TRIMESTRE 4</v>
      </c>
      <c r="M703" s="42" t="str">
        <f ca="1">IFERROR(__xludf.DUMMYFUNCTION("""COMPUTED_VALUE"""),"HOMBRES ADULTOS")</f>
        <v>HOMBRES ADULTOS</v>
      </c>
    </row>
    <row r="704" spans="1:13">
      <c r="A704" s="42" t="str">
        <f ca="1">IFERROR(__xludf.DUMMYFUNCTION("""COMPUTED_VALUE"""),"2.1.1.7")</f>
        <v>2.1.1.7</v>
      </c>
      <c r="B704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04" s="42" t="str">
        <f ca="1">IFERROR(__xludf.DUMMYFUNCTION("""COMPUTED_VALUE"""),"3. Operación")</f>
        <v>3. Operación</v>
      </c>
      <c r="D704" s="42" t="str">
        <f ca="1">IFERROR(__xludf.DUMMYFUNCTION("""COMPUTED_VALUE"""),"Guadalajara en Paz")</f>
        <v>Guadalajara en Paz</v>
      </c>
      <c r="E704" s="42" t="str">
        <f ca="1">IFERROR(__xludf.DUMMYFUNCTION("""COMPUTED_VALUE"""),"Asistencia Alimentaria y Nutrición")</f>
        <v>Asistencia Alimentaria y Nutrición</v>
      </c>
      <c r="F704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704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704" s="42" t="str">
        <f ca="1">IFERROR(__xludf.DUMMYFUNCTION("""COMPUTED_VALUE"""),"AMM Octubre")</f>
        <v>AMM Octubre</v>
      </c>
      <c r="I704" s="42" t="str">
        <f ca="1">IFERROR(__xludf.DUMMYFUNCTION("""COMPUTED_VALUE"""),"Octubre")</f>
        <v>Octubre</v>
      </c>
      <c r="J704" s="42" t="str">
        <f ca="1">IFERROR(__xludf.DUMMYFUNCTION("""COMPUTED_VALUE"""),"AMM")</f>
        <v>AMM</v>
      </c>
      <c r="K704" s="98"/>
      <c r="L704" s="42" t="str">
        <f ca="1">IFERROR(__xludf.DUMMYFUNCTION("""COMPUTED_VALUE"""),"TRIMESTRE 4")</f>
        <v>TRIMESTRE 4</v>
      </c>
      <c r="M704" s="42" t="str">
        <f ca="1">IFERROR(__xludf.DUMMYFUNCTION("""COMPUTED_VALUE"""),"ADULTA MAYOR MUJER")</f>
        <v>ADULTA MAYOR MUJER</v>
      </c>
    </row>
    <row r="705" spans="1:13">
      <c r="A705" s="42" t="str">
        <f ca="1">IFERROR(__xludf.DUMMYFUNCTION("""COMPUTED_VALUE"""),"2.1.1.7")</f>
        <v>2.1.1.7</v>
      </c>
      <c r="B705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05" s="42" t="str">
        <f ca="1">IFERROR(__xludf.DUMMYFUNCTION("""COMPUTED_VALUE"""),"3. Operación")</f>
        <v>3. Operación</v>
      </c>
      <c r="D705" s="42" t="str">
        <f ca="1">IFERROR(__xludf.DUMMYFUNCTION("""COMPUTED_VALUE"""),"Guadalajara en Paz")</f>
        <v>Guadalajara en Paz</v>
      </c>
      <c r="E705" s="42" t="str">
        <f ca="1">IFERROR(__xludf.DUMMYFUNCTION("""COMPUTED_VALUE"""),"Asistencia Alimentaria y Nutrición")</f>
        <v>Asistencia Alimentaria y Nutrición</v>
      </c>
      <c r="F705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705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705" s="42" t="str">
        <f ca="1">IFERROR(__xludf.DUMMYFUNCTION("""COMPUTED_VALUE"""),"AMH Octubre")</f>
        <v>AMH Octubre</v>
      </c>
      <c r="I705" s="42" t="str">
        <f ca="1">IFERROR(__xludf.DUMMYFUNCTION("""COMPUTED_VALUE"""),"Octubre")</f>
        <v>Octubre</v>
      </c>
      <c r="J705" s="42" t="str">
        <f ca="1">IFERROR(__xludf.DUMMYFUNCTION("""COMPUTED_VALUE"""),"AMH")</f>
        <v>AMH</v>
      </c>
      <c r="K705" s="98"/>
      <c r="L705" s="42" t="str">
        <f ca="1">IFERROR(__xludf.DUMMYFUNCTION("""COMPUTED_VALUE"""),"TRIMESTRE 4")</f>
        <v>TRIMESTRE 4</v>
      </c>
      <c r="M705" s="42" t="str">
        <f ca="1">IFERROR(__xludf.DUMMYFUNCTION("""COMPUTED_VALUE"""),"ADULTO MAYOR HOMBRE")</f>
        <v>ADULTO MAYOR HOMBRE</v>
      </c>
    </row>
    <row r="706" spans="1:13">
      <c r="A706" s="42" t="str">
        <f ca="1">IFERROR(__xludf.DUMMYFUNCTION("""COMPUTED_VALUE"""),"2.1.1.4")</f>
        <v>2.1.1.4</v>
      </c>
      <c r="B706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06" s="42" t="str">
        <f ca="1">IFERROR(__xludf.DUMMYFUNCTION("""COMPUTED_VALUE"""),"3. Operación")</f>
        <v>3. Operación</v>
      </c>
      <c r="D706" s="42" t="str">
        <f ca="1">IFERROR(__xludf.DUMMYFUNCTION("""COMPUTED_VALUE"""),"Guadalajara en Paz")</f>
        <v>Guadalajara en Paz</v>
      </c>
      <c r="E706" s="42" t="str">
        <f ca="1">IFERROR(__xludf.DUMMYFUNCTION("""COMPUTED_VALUE"""),"Asistencia Alimentaria y Nutrición")</f>
        <v>Asistencia Alimentaria y Nutrición</v>
      </c>
      <c r="F706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706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706" s="42" t="str">
        <f ca="1">IFERROR(__xludf.DUMMYFUNCTION("""COMPUTED_VALUE"""),"NAS Noviembre")</f>
        <v>NAS Noviembre</v>
      </c>
      <c r="I706" s="42" t="str">
        <f ca="1">IFERROR(__xludf.DUMMYFUNCTION("""COMPUTED_VALUE"""),"Noviembre")</f>
        <v>Noviembre</v>
      </c>
      <c r="J706" s="42" t="str">
        <f ca="1">IFERROR(__xludf.DUMMYFUNCTION("""COMPUTED_VALUE"""),"NAS")</f>
        <v>NAS</v>
      </c>
      <c r="K706" s="98"/>
      <c r="L706" s="42" t="str">
        <f ca="1">IFERROR(__xludf.DUMMYFUNCTION("""COMPUTED_VALUE"""),"TRIMESTRE 4")</f>
        <v>TRIMESTRE 4</v>
      </c>
      <c r="M706" s="42" t="str">
        <f ca="1">IFERROR(__xludf.DUMMYFUNCTION("""COMPUTED_VALUE"""),"NIÑAS")</f>
        <v>NIÑAS</v>
      </c>
    </row>
    <row r="707" spans="1:13">
      <c r="A707" s="42" t="str">
        <f ca="1">IFERROR(__xludf.DUMMYFUNCTION("""COMPUTED_VALUE"""),"2.1.1.4")</f>
        <v>2.1.1.4</v>
      </c>
      <c r="B707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07" s="42" t="str">
        <f ca="1">IFERROR(__xludf.DUMMYFUNCTION("""COMPUTED_VALUE"""),"3. Operación")</f>
        <v>3. Operación</v>
      </c>
      <c r="D707" s="42" t="str">
        <f ca="1">IFERROR(__xludf.DUMMYFUNCTION("""COMPUTED_VALUE"""),"Guadalajara en Paz")</f>
        <v>Guadalajara en Paz</v>
      </c>
      <c r="E707" s="42" t="str">
        <f ca="1">IFERROR(__xludf.DUMMYFUNCTION("""COMPUTED_VALUE"""),"Asistencia Alimentaria y Nutrición")</f>
        <v>Asistencia Alimentaria y Nutrición</v>
      </c>
      <c r="F707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707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707" s="42" t="str">
        <f ca="1">IFERROR(__xludf.DUMMYFUNCTION("""COMPUTED_VALUE"""),"NOS Noviembre")</f>
        <v>NOS Noviembre</v>
      </c>
      <c r="I707" s="42" t="str">
        <f ca="1">IFERROR(__xludf.DUMMYFUNCTION("""COMPUTED_VALUE"""),"Noviembre")</f>
        <v>Noviembre</v>
      </c>
      <c r="J707" s="42" t="str">
        <f ca="1">IFERROR(__xludf.DUMMYFUNCTION("""COMPUTED_VALUE"""),"NOS")</f>
        <v>NOS</v>
      </c>
      <c r="K707" s="98"/>
      <c r="L707" s="42" t="str">
        <f ca="1">IFERROR(__xludf.DUMMYFUNCTION("""COMPUTED_VALUE"""),"TRIMESTRE 4")</f>
        <v>TRIMESTRE 4</v>
      </c>
      <c r="M707" s="42" t="str">
        <f ca="1">IFERROR(__xludf.DUMMYFUNCTION("""COMPUTED_VALUE"""),"NIÑOS")</f>
        <v>NIÑOS</v>
      </c>
    </row>
    <row r="708" spans="1:13">
      <c r="A708" s="42" t="str">
        <f ca="1">IFERROR(__xludf.DUMMYFUNCTION("""COMPUTED_VALUE"""),"2.1.1.4")</f>
        <v>2.1.1.4</v>
      </c>
      <c r="B708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08" s="42" t="str">
        <f ca="1">IFERROR(__xludf.DUMMYFUNCTION("""COMPUTED_VALUE"""),"3. Operación")</f>
        <v>3. Operación</v>
      </c>
      <c r="D708" s="42" t="str">
        <f ca="1">IFERROR(__xludf.DUMMYFUNCTION("""COMPUTED_VALUE"""),"Guadalajara en Paz")</f>
        <v>Guadalajara en Paz</v>
      </c>
      <c r="E708" s="42" t="str">
        <f ca="1">IFERROR(__xludf.DUMMYFUNCTION("""COMPUTED_VALUE"""),"Asistencia Alimentaria y Nutrición")</f>
        <v>Asistencia Alimentaria y Nutrición</v>
      </c>
      <c r="F708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708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708" s="42" t="str">
        <f ca="1">IFERROR(__xludf.DUMMYFUNCTION("""COMPUTED_VALUE"""),"AM NOVIEMBRE")</f>
        <v>AM NOVIEMBRE</v>
      </c>
      <c r="I708" s="42" t="str">
        <f ca="1">IFERROR(__xludf.DUMMYFUNCTION("""COMPUTED_VALUE"""),"Noviembre")</f>
        <v>Noviembre</v>
      </c>
      <c r="J708" s="42" t="str">
        <f ca="1">IFERROR(__xludf.DUMMYFUNCTION("""COMPUTED_VALUE"""),"AM")</f>
        <v>AM</v>
      </c>
      <c r="K708" s="98"/>
      <c r="L708" s="42" t="str">
        <f ca="1">IFERROR(__xludf.DUMMYFUNCTION("""COMPUTED_VALUE"""),"TRIMESTRE 4")</f>
        <v>TRIMESTRE 4</v>
      </c>
      <c r="M708" s="42" t="str">
        <f ca="1">IFERROR(__xludf.DUMMYFUNCTION("""COMPUTED_VALUE"""),"ADOLESCENTES MUJERES")</f>
        <v>ADOLESCENTES MUJERES</v>
      </c>
    </row>
    <row r="709" spans="1:13">
      <c r="A709" s="42" t="str">
        <f ca="1">IFERROR(__xludf.DUMMYFUNCTION("""COMPUTED_VALUE"""),"2.1.1.4")</f>
        <v>2.1.1.4</v>
      </c>
      <c r="B709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09" s="42" t="str">
        <f ca="1">IFERROR(__xludf.DUMMYFUNCTION("""COMPUTED_VALUE"""),"3. Operación")</f>
        <v>3. Operación</v>
      </c>
      <c r="D709" s="42" t="str">
        <f ca="1">IFERROR(__xludf.DUMMYFUNCTION("""COMPUTED_VALUE"""),"Guadalajara en Paz")</f>
        <v>Guadalajara en Paz</v>
      </c>
      <c r="E709" s="42" t="str">
        <f ca="1">IFERROR(__xludf.DUMMYFUNCTION("""COMPUTED_VALUE"""),"Asistencia Alimentaria y Nutrición")</f>
        <v>Asistencia Alimentaria y Nutrición</v>
      </c>
      <c r="F709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709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709" s="42" t="str">
        <f ca="1">IFERROR(__xludf.DUMMYFUNCTION("""COMPUTED_VALUE"""),"AH NOVIEMBRE")</f>
        <v>AH NOVIEMBRE</v>
      </c>
      <c r="I709" s="42" t="str">
        <f ca="1">IFERROR(__xludf.DUMMYFUNCTION("""COMPUTED_VALUE"""),"Noviembre")</f>
        <v>Noviembre</v>
      </c>
      <c r="J709" s="42" t="str">
        <f ca="1">IFERROR(__xludf.DUMMYFUNCTION("""COMPUTED_VALUE"""),"AH")</f>
        <v>AH</v>
      </c>
      <c r="K709" s="98"/>
      <c r="L709" s="42" t="str">
        <f ca="1">IFERROR(__xludf.DUMMYFUNCTION("""COMPUTED_VALUE"""),"TRIMESTRE 4")</f>
        <v>TRIMESTRE 4</v>
      </c>
      <c r="M709" s="42" t="str">
        <f ca="1">IFERROR(__xludf.DUMMYFUNCTION("""COMPUTED_VALUE"""),"ADOLESCENTES HOMBRES")</f>
        <v>ADOLESCENTES HOMBRES</v>
      </c>
    </row>
    <row r="710" spans="1:13">
      <c r="A710" s="42" t="str">
        <f ca="1">IFERROR(__xludf.DUMMYFUNCTION("""COMPUTED_VALUE"""),"2.1.1.4")</f>
        <v>2.1.1.4</v>
      </c>
      <c r="B710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10" s="42" t="str">
        <f ca="1">IFERROR(__xludf.DUMMYFUNCTION("""COMPUTED_VALUE"""),"3. Operación")</f>
        <v>3. Operación</v>
      </c>
      <c r="D710" s="42" t="str">
        <f ca="1">IFERROR(__xludf.DUMMYFUNCTION("""COMPUTED_VALUE"""),"Guadalajara en Paz")</f>
        <v>Guadalajara en Paz</v>
      </c>
      <c r="E710" s="42" t="str">
        <f ca="1">IFERROR(__xludf.DUMMYFUNCTION("""COMPUTED_VALUE"""),"Asistencia Alimentaria y Nutrición")</f>
        <v>Asistencia Alimentaria y Nutrición</v>
      </c>
      <c r="F710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710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710" s="42" t="str">
        <f ca="1">IFERROR(__xludf.DUMMYFUNCTION("""COMPUTED_VALUE"""),"MUJ Noviembre")</f>
        <v>MUJ Noviembre</v>
      </c>
      <c r="I710" s="42" t="str">
        <f ca="1">IFERROR(__xludf.DUMMYFUNCTION("""COMPUTED_VALUE"""),"Noviembre")</f>
        <v>Noviembre</v>
      </c>
      <c r="J710" s="42" t="str">
        <f ca="1">IFERROR(__xludf.DUMMYFUNCTION("""COMPUTED_VALUE"""),"MUJ")</f>
        <v>MUJ</v>
      </c>
      <c r="K710" s="98"/>
      <c r="L710" s="42" t="str">
        <f ca="1">IFERROR(__xludf.DUMMYFUNCTION("""COMPUTED_VALUE"""),"TRIMESTRE 4")</f>
        <v>TRIMESTRE 4</v>
      </c>
      <c r="M710" s="42" t="str">
        <f ca="1">IFERROR(__xludf.DUMMYFUNCTION("""COMPUTED_VALUE"""),"MUJERES ADULTAS")</f>
        <v>MUJERES ADULTAS</v>
      </c>
    </row>
    <row r="711" spans="1:13">
      <c r="A711" s="42" t="str">
        <f ca="1">IFERROR(__xludf.DUMMYFUNCTION("""COMPUTED_VALUE"""),"2.1.1.4")</f>
        <v>2.1.1.4</v>
      </c>
      <c r="B711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11" s="42" t="str">
        <f ca="1">IFERROR(__xludf.DUMMYFUNCTION("""COMPUTED_VALUE"""),"3. Operación")</f>
        <v>3. Operación</v>
      </c>
      <c r="D711" s="42" t="str">
        <f ca="1">IFERROR(__xludf.DUMMYFUNCTION("""COMPUTED_VALUE"""),"Guadalajara en Paz")</f>
        <v>Guadalajara en Paz</v>
      </c>
      <c r="E711" s="42" t="str">
        <f ca="1">IFERROR(__xludf.DUMMYFUNCTION("""COMPUTED_VALUE"""),"Asistencia Alimentaria y Nutrición")</f>
        <v>Asistencia Alimentaria y Nutrición</v>
      </c>
      <c r="F711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711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711" s="42" t="str">
        <f ca="1">IFERROR(__xludf.DUMMYFUNCTION("""COMPUTED_VALUE"""),"HOM Noviembre")</f>
        <v>HOM Noviembre</v>
      </c>
      <c r="I711" s="42" t="str">
        <f ca="1">IFERROR(__xludf.DUMMYFUNCTION("""COMPUTED_VALUE"""),"Noviembre")</f>
        <v>Noviembre</v>
      </c>
      <c r="J711" s="42" t="str">
        <f ca="1">IFERROR(__xludf.DUMMYFUNCTION("""COMPUTED_VALUE"""),"HOM")</f>
        <v>HOM</v>
      </c>
      <c r="K711" s="98"/>
      <c r="L711" s="42" t="str">
        <f ca="1">IFERROR(__xludf.DUMMYFUNCTION("""COMPUTED_VALUE"""),"TRIMESTRE 4")</f>
        <v>TRIMESTRE 4</v>
      </c>
      <c r="M711" s="42" t="str">
        <f ca="1">IFERROR(__xludf.DUMMYFUNCTION("""COMPUTED_VALUE"""),"HOMBRES ADULTOS")</f>
        <v>HOMBRES ADULTOS</v>
      </c>
    </row>
    <row r="712" spans="1:13">
      <c r="A712" s="42" t="str">
        <f ca="1">IFERROR(__xludf.DUMMYFUNCTION("""COMPUTED_VALUE"""),"2.1.1.4")</f>
        <v>2.1.1.4</v>
      </c>
      <c r="B712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12" s="42" t="str">
        <f ca="1">IFERROR(__xludf.DUMMYFUNCTION("""COMPUTED_VALUE"""),"3. Operación")</f>
        <v>3. Operación</v>
      </c>
      <c r="D712" s="42" t="str">
        <f ca="1">IFERROR(__xludf.DUMMYFUNCTION("""COMPUTED_VALUE"""),"Guadalajara en Paz")</f>
        <v>Guadalajara en Paz</v>
      </c>
      <c r="E712" s="42" t="str">
        <f ca="1">IFERROR(__xludf.DUMMYFUNCTION("""COMPUTED_VALUE"""),"Asistencia Alimentaria y Nutrición")</f>
        <v>Asistencia Alimentaria y Nutrición</v>
      </c>
      <c r="F712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712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712" s="42" t="str">
        <f ca="1">IFERROR(__xludf.DUMMYFUNCTION("""COMPUTED_VALUE"""),"AMM Noviembre")</f>
        <v>AMM Noviembre</v>
      </c>
      <c r="I712" s="42" t="str">
        <f ca="1">IFERROR(__xludf.DUMMYFUNCTION("""COMPUTED_VALUE"""),"Noviembre")</f>
        <v>Noviembre</v>
      </c>
      <c r="J712" s="42" t="str">
        <f ca="1">IFERROR(__xludf.DUMMYFUNCTION("""COMPUTED_VALUE"""),"AMM")</f>
        <v>AMM</v>
      </c>
      <c r="K712" s="98"/>
      <c r="L712" s="42" t="str">
        <f ca="1">IFERROR(__xludf.DUMMYFUNCTION("""COMPUTED_VALUE"""),"TRIMESTRE 4")</f>
        <v>TRIMESTRE 4</v>
      </c>
      <c r="M712" s="42" t="str">
        <f ca="1">IFERROR(__xludf.DUMMYFUNCTION("""COMPUTED_VALUE"""),"ADULTA MAYOR MUJER")</f>
        <v>ADULTA MAYOR MUJER</v>
      </c>
    </row>
    <row r="713" spans="1:13">
      <c r="A713" s="42" t="str">
        <f ca="1">IFERROR(__xludf.DUMMYFUNCTION("""COMPUTED_VALUE"""),"2.1.1.4")</f>
        <v>2.1.1.4</v>
      </c>
      <c r="B713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13" s="42" t="str">
        <f ca="1">IFERROR(__xludf.DUMMYFUNCTION("""COMPUTED_VALUE"""),"3. Operación")</f>
        <v>3. Operación</v>
      </c>
      <c r="D713" s="42" t="str">
        <f ca="1">IFERROR(__xludf.DUMMYFUNCTION("""COMPUTED_VALUE"""),"Guadalajara en Paz")</f>
        <v>Guadalajara en Paz</v>
      </c>
      <c r="E713" s="42" t="str">
        <f ca="1">IFERROR(__xludf.DUMMYFUNCTION("""COMPUTED_VALUE"""),"Asistencia Alimentaria y Nutrición")</f>
        <v>Asistencia Alimentaria y Nutrición</v>
      </c>
      <c r="F713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713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713" s="42" t="str">
        <f ca="1">IFERROR(__xludf.DUMMYFUNCTION("""COMPUTED_VALUE"""),"AMH Noviembre")</f>
        <v>AMH Noviembre</v>
      </c>
      <c r="I713" s="42" t="str">
        <f ca="1">IFERROR(__xludf.DUMMYFUNCTION("""COMPUTED_VALUE"""),"Noviembre")</f>
        <v>Noviembre</v>
      </c>
      <c r="J713" s="42" t="str">
        <f ca="1">IFERROR(__xludf.DUMMYFUNCTION("""COMPUTED_VALUE"""),"AMH")</f>
        <v>AMH</v>
      </c>
      <c r="K713" s="98"/>
      <c r="L713" s="42" t="str">
        <f ca="1">IFERROR(__xludf.DUMMYFUNCTION("""COMPUTED_VALUE"""),"TRIMESTRE 4")</f>
        <v>TRIMESTRE 4</v>
      </c>
      <c r="M713" s="42" t="str">
        <f ca="1">IFERROR(__xludf.DUMMYFUNCTION("""COMPUTED_VALUE"""),"ADULTO MAYOR HOMBRE")</f>
        <v>ADULTO MAYOR HOMBRE</v>
      </c>
    </row>
    <row r="714" spans="1:13">
      <c r="A714" s="42" t="str">
        <f ca="1">IFERROR(__xludf.DUMMYFUNCTION("""COMPUTED_VALUE"""),"2.1.1.5")</f>
        <v>2.1.1.5</v>
      </c>
      <c r="B714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14" s="42" t="str">
        <f ca="1">IFERROR(__xludf.DUMMYFUNCTION("""COMPUTED_VALUE"""),"3. Operación")</f>
        <v>3. Operación</v>
      </c>
      <c r="D714" s="42" t="str">
        <f ca="1">IFERROR(__xludf.DUMMYFUNCTION("""COMPUTED_VALUE"""),"Guadalajara en Paz")</f>
        <v>Guadalajara en Paz</v>
      </c>
      <c r="E714" s="42" t="str">
        <f ca="1">IFERROR(__xludf.DUMMYFUNCTION("""COMPUTED_VALUE"""),"Asistencia Alimentaria y Nutrición")</f>
        <v>Asistencia Alimentaria y Nutrición</v>
      </c>
      <c r="F714" s="42" t="str">
        <f ca="1">IFERROR(__xludf.DUMMYFUNCTION("""COMPUTED_VALUE"""),"A5C1. Apoyos del Programa de Alimentación Escolar entregados en 2023")</f>
        <v>A5C1. Apoyos del Programa de Alimentación Escolar entregados en 2023</v>
      </c>
      <c r="G714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714" s="42" t="str">
        <f ca="1">IFERROR(__xludf.DUMMYFUNCTION("""COMPUTED_VALUE"""),"NAS Noviembre")</f>
        <v>NAS Noviembre</v>
      </c>
      <c r="I714" s="42" t="str">
        <f ca="1">IFERROR(__xludf.DUMMYFUNCTION("""COMPUTED_VALUE"""),"Noviembre")</f>
        <v>Noviembre</v>
      </c>
      <c r="J714" s="42" t="str">
        <f ca="1">IFERROR(__xludf.DUMMYFUNCTION("""COMPUTED_VALUE"""),"NAS")</f>
        <v>NAS</v>
      </c>
      <c r="K714" s="98"/>
      <c r="L714" s="42" t="str">
        <f ca="1">IFERROR(__xludf.DUMMYFUNCTION("""COMPUTED_VALUE"""),"TRIMESTRE 4")</f>
        <v>TRIMESTRE 4</v>
      </c>
      <c r="M714" s="42" t="str">
        <f ca="1">IFERROR(__xludf.DUMMYFUNCTION("""COMPUTED_VALUE"""),"NIÑAS")</f>
        <v>NIÑAS</v>
      </c>
    </row>
    <row r="715" spans="1:13">
      <c r="A715" s="42" t="str">
        <f ca="1">IFERROR(__xludf.DUMMYFUNCTION("""COMPUTED_VALUE"""),"2.1.1.5")</f>
        <v>2.1.1.5</v>
      </c>
      <c r="B715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15" s="42" t="str">
        <f ca="1">IFERROR(__xludf.DUMMYFUNCTION("""COMPUTED_VALUE"""),"3. Operación")</f>
        <v>3. Operación</v>
      </c>
      <c r="D715" s="42" t="str">
        <f ca="1">IFERROR(__xludf.DUMMYFUNCTION("""COMPUTED_VALUE"""),"Guadalajara en Paz")</f>
        <v>Guadalajara en Paz</v>
      </c>
      <c r="E715" s="42" t="str">
        <f ca="1">IFERROR(__xludf.DUMMYFUNCTION("""COMPUTED_VALUE"""),"Asistencia Alimentaria y Nutrición")</f>
        <v>Asistencia Alimentaria y Nutrición</v>
      </c>
      <c r="F715" s="42" t="str">
        <f ca="1">IFERROR(__xludf.DUMMYFUNCTION("""COMPUTED_VALUE"""),"A5C1. Apoyos del Programa de Alimentación Escolar entregados en 2023")</f>
        <v>A5C1. Apoyos del Programa de Alimentación Escolar entregados en 2023</v>
      </c>
      <c r="G715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715" s="42" t="str">
        <f ca="1">IFERROR(__xludf.DUMMYFUNCTION("""COMPUTED_VALUE"""),"NOS Noviembre")</f>
        <v>NOS Noviembre</v>
      </c>
      <c r="I715" s="42" t="str">
        <f ca="1">IFERROR(__xludf.DUMMYFUNCTION("""COMPUTED_VALUE"""),"Noviembre")</f>
        <v>Noviembre</v>
      </c>
      <c r="J715" s="42" t="str">
        <f ca="1">IFERROR(__xludf.DUMMYFUNCTION("""COMPUTED_VALUE"""),"NOS")</f>
        <v>NOS</v>
      </c>
      <c r="K715" s="98"/>
      <c r="L715" s="42" t="str">
        <f ca="1">IFERROR(__xludf.DUMMYFUNCTION("""COMPUTED_VALUE"""),"TRIMESTRE 4")</f>
        <v>TRIMESTRE 4</v>
      </c>
      <c r="M715" s="42" t="str">
        <f ca="1">IFERROR(__xludf.DUMMYFUNCTION("""COMPUTED_VALUE"""),"NIÑOS")</f>
        <v>NIÑOS</v>
      </c>
    </row>
    <row r="716" spans="1:13">
      <c r="A716" s="42" t="str">
        <f ca="1">IFERROR(__xludf.DUMMYFUNCTION("""COMPUTED_VALUE"""),"2.1.1.5")</f>
        <v>2.1.1.5</v>
      </c>
      <c r="B716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16" s="42" t="str">
        <f ca="1">IFERROR(__xludf.DUMMYFUNCTION("""COMPUTED_VALUE"""),"3. Operación")</f>
        <v>3. Operación</v>
      </c>
      <c r="D716" s="42" t="str">
        <f ca="1">IFERROR(__xludf.DUMMYFUNCTION("""COMPUTED_VALUE"""),"Guadalajara en Paz")</f>
        <v>Guadalajara en Paz</v>
      </c>
      <c r="E716" s="42" t="str">
        <f ca="1">IFERROR(__xludf.DUMMYFUNCTION("""COMPUTED_VALUE"""),"Asistencia Alimentaria y Nutrición")</f>
        <v>Asistencia Alimentaria y Nutrición</v>
      </c>
      <c r="F716" s="42" t="str">
        <f ca="1">IFERROR(__xludf.DUMMYFUNCTION("""COMPUTED_VALUE"""),"A5C1. Apoyos del Programa de Alimentación Escolar entregados en 2023")</f>
        <v>A5C1. Apoyos del Programa de Alimentación Escolar entregados en 2023</v>
      </c>
      <c r="G716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716" s="42" t="str">
        <f ca="1">IFERROR(__xludf.DUMMYFUNCTION("""COMPUTED_VALUE"""),"AM NOVIEMBRE")</f>
        <v>AM NOVIEMBRE</v>
      </c>
      <c r="I716" s="42" t="str">
        <f ca="1">IFERROR(__xludf.DUMMYFUNCTION("""COMPUTED_VALUE"""),"Noviembre")</f>
        <v>Noviembre</v>
      </c>
      <c r="J716" s="42" t="str">
        <f ca="1">IFERROR(__xludf.DUMMYFUNCTION("""COMPUTED_VALUE"""),"AM")</f>
        <v>AM</v>
      </c>
      <c r="K716" s="98"/>
      <c r="L716" s="42" t="str">
        <f ca="1">IFERROR(__xludf.DUMMYFUNCTION("""COMPUTED_VALUE"""),"TRIMESTRE 4")</f>
        <v>TRIMESTRE 4</v>
      </c>
      <c r="M716" s="42" t="str">
        <f ca="1">IFERROR(__xludf.DUMMYFUNCTION("""COMPUTED_VALUE"""),"ADOLESCENTES MUJERES")</f>
        <v>ADOLESCENTES MUJERES</v>
      </c>
    </row>
    <row r="717" spans="1:13">
      <c r="A717" s="42" t="str">
        <f ca="1">IFERROR(__xludf.DUMMYFUNCTION("""COMPUTED_VALUE"""),"2.1.1.5")</f>
        <v>2.1.1.5</v>
      </c>
      <c r="B717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17" s="42" t="str">
        <f ca="1">IFERROR(__xludf.DUMMYFUNCTION("""COMPUTED_VALUE"""),"3. Operación")</f>
        <v>3. Operación</v>
      </c>
      <c r="D717" s="42" t="str">
        <f ca="1">IFERROR(__xludf.DUMMYFUNCTION("""COMPUTED_VALUE"""),"Guadalajara en Paz")</f>
        <v>Guadalajara en Paz</v>
      </c>
      <c r="E717" s="42" t="str">
        <f ca="1">IFERROR(__xludf.DUMMYFUNCTION("""COMPUTED_VALUE"""),"Asistencia Alimentaria y Nutrición")</f>
        <v>Asistencia Alimentaria y Nutrición</v>
      </c>
      <c r="F717" s="42" t="str">
        <f ca="1">IFERROR(__xludf.DUMMYFUNCTION("""COMPUTED_VALUE"""),"A5C1. Apoyos del Programa de Alimentación Escolar entregados en 2023")</f>
        <v>A5C1. Apoyos del Programa de Alimentación Escolar entregados en 2023</v>
      </c>
      <c r="G717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717" s="42" t="str">
        <f ca="1">IFERROR(__xludf.DUMMYFUNCTION("""COMPUTED_VALUE"""),"AH NOVIEMBRE")</f>
        <v>AH NOVIEMBRE</v>
      </c>
      <c r="I717" s="42" t="str">
        <f ca="1">IFERROR(__xludf.DUMMYFUNCTION("""COMPUTED_VALUE"""),"Noviembre")</f>
        <v>Noviembre</v>
      </c>
      <c r="J717" s="42" t="str">
        <f ca="1">IFERROR(__xludf.DUMMYFUNCTION("""COMPUTED_VALUE"""),"AH")</f>
        <v>AH</v>
      </c>
      <c r="K717" s="98"/>
      <c r="L717" s="42" t="str">
        <f ca="1">IFERROR(__xludf.DUMMYFUNCTION("""COMPUTED_VALUE"""),"TRIMESTRE 4")</f>
        <v>TRIMESTRE 4</v>
      </c>
      <c r="M717" s="42" t="str">
        <f ca="1">IFERROR(__xludf.DUMMYFUNCTION("""COMPUTED_VALUE"""),"ADOLESCENTES HOMBRES")</f>
        <v>ADOLESCENTES HOMBRES</v>
      </c>
    </row>
    <row r="718" spans="1:13">
      <c r="A718" s="42" t="str">
        <f ca="1">IFERROR(__xludf.DUMMYFUNCTION("""COMPUTED_VALUE"""),"2.1.1.5")</f>
        <v>2.1.1.5</v>
      </c>
      <c r="B718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18" s="42" t="str">
        <f ca="1">IFERROR(__xludf.DUMMYFUNCTION("""COMPUTED_VALUE"""),"3. Operación")</f>
        <v>3. Operación</v>
      </c>
      <c r="D718" s="42" t="str">
        <f ca="1">IFERROR(__xludf.DUMMYFUNCTION("""COMPUTED_VALUE"""),"Guadalajara en Paz")</f>
        <v>Guadalajara en Paz</v>
      </c>
      <c r="E718" s="42" t="str">
        <f ca="1">IFERROR(__xludf.DUMMYFUNCTION("""COMPUTED_VALUE"""),"Asistencia Alimentaria y Nutrición")</f>
        <v>Asistencia Alimentaria y Nutrición</v>
      </c>
      <c r="F718" s="42" t="str">
        <f ca="1">IFERROR(__xludf.DUMMYFUNCTION("""COMPUTED_VALUE"""),"A5C1. Apoyos del Programa de Alimentación Escolar entregados en 2023")</f>
        <v>A5C1. Apoyos del Programa de Alimentación Escolar entregados en 2023</v>
      </c>
      <c r="G718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718" s="42" t="str">
        <f ca="1">IFERROR(__xludf.DUMMYFUNCTION("""COMPUTED_VALUE"""),"MUJ Noviembre")</f>
        <v>MUJ Noviembre</v>
      </c>
      <c r="I718" s="42" t="str">
        <f ca="1">IFERROR(__xludf.DUMMYFUNCTION("""COMPUTED_VALUE"""),"Noviembre")</f>
        <v>Noviembre</v>
      </c>
      <c r="J718" s="42" t="str">
        <f ca="1">IFERROR(__xludf.DUMMYFUNCTION("""COMPUTED_VALUE"""),"MUJ")</f>
        <v>MUJ</v>
      </c>
      <c r="K718" s="98"/>
      <c r="L718" s="42" t="str">
        <f ca="1">IFERROR(__xludf.DUMMYFUNCTION("""COMPUTED_VALUE"""),"TRIMESTRE 4")</f>
        <v>TRIMESTRE 4</v>
      </c>
      <c r="M718" s="42" t="str">
        <f ca="1">IFERROR(__xludf.DUMMYFUNCTION("""COMPUTED_VALUE"""),"MUJERES ADULTAS")</f>
        <v>MUJERES ADULTAS</v>
      </c>
    </row>
    <row r="719" spans="1:13">
      <c r="A719" s="42" t="str">
        <f ca="1">IFERROR(__xludf.DUMMYFUNCTION("""COMPUTED_VALUE"""),"2.1.1.5")</f>
        <v>2.1.1.5</v>
      </c>
      <c r="B719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19" s="42" t="str">
        <f ca="1">IFERROR(__xludf.DUMMYFUNCTION("""COMPUTED_VALUE"""),"3. Operación")</f>
        <v>3. Operación</v>
      </c>
      <c r="D719" s="42" t="str">
        <f ca="1">IFERROR(__xludf.DUMMYFUNCTION("""COMPUTED_VALUE"""),"Guadalajara en Paz")</f>
        <v>Guadalajara en Paz</v>
      </c>
      <c r="E719" s="42" t="str">
        <f ca="1">IFERROR(__xludf.DUMMYFUNCTION("""COMPUTED_VALUE"""),"Asistencia Alimentaria y Nutrición")</f>
        <v>Asistencia Alimentaria y Nutrición</v>
      </c>
      <c r="F719" s="42" t="str">
        <f ca="1">IFERROR(__xludf.DUMMYFUNCTION("""COMPUTED_VALUE"""),"A5C1. Apoyos del Programa de Alimentación Escolar entregados en 2023")</f>
        <v>A5C1. Apoyos del Programa de Alimentación Escolar entregados en 2023</v>
      </c>
      <c r="G719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719" s="42" t="str">
        <f ca="1">IFERROR(__xludf.DUMMYFUNCTION("""COMPUTED_VALUE"""),"HOM Noviembre")</f>
        <v>HOM Noviembre</v>
      </c>
      <c r="I719" s="42" t="str">
        <f ca="1">IFERROR(__xludf.DUMMYFUNCTION("""COMPUTED_VALUE"""),"Noviembre")</f>
        <v>Noviembre</v>
      </c>
      <c r="J719" s="42" t="str">
        <f ca="1">IFERROR(__xludf.DUMMYFUNCTION("""COMPUTED_VALUE"""),"HOM")</f>
        <v>HOM</v>
      </c>
      <c r="K719" s="98"/>
      <c r="L719" s="42" t="str">
        <f ca="1">IFERROR(__xludf.DUMMYFUNCTION("""COMPUTED_VALUE"""),"TRIMESTRE 4")</f>
        <v>TRIMESTRE 4</v>
      </c>
      <c r="M719" s="42" t="str">
        <f ca="1">IFERROR(__xludf.DUMMYFUNCTION("""COMPUTED_VALUE"""),"HOMBRES ADULTOS")</f>
        <v>HOMBRES ADULTOS</v>
      </c>
    </row>
    <row r="720" spans="1:13">
      <c r="A720" s="42" t="str">
        <f ca="1">IFERROR(__xludf.DUMMYFUNCTION("""COMPUTED_VALUE"""),"2.1.1.5")</f>
        <v>2.1.1.5</v>
      </c>
      <c r="B720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20" s="42" t="str">
        <f ca="1">IFERROR(__xludf.DUMMYFUNCTION("""COMPUTED_VALUE"""),"3. Operación")</f>
        <v>3. Operación</v>
      </c>
      <c r="D720" s="42" t="str">
        <f ca="1">IFERROR(__xludf.DUMMYFUNCTION("""COMPUTED_VALUE"""),"Guadalajara en Paz")</f>
        <v>Guadalajara en Paz</v>
      </c>
      <c r="E720" s="42" t="str">
        <f ca="1">IFERROR(__xludf.DUMMYFUNCTION("""COMPUTED_VALUE"""),"Asistencia Alimentaria y Nutrición")</f>
        <v>Asistencia Alimentaria y Nutrición</v>
      </c>
      <c r="F720" s="42" t="str">
        <f ca="1">IFERROR(__xludf.DUMMYFUNCTION("""COMPUTED_VALUE"""),"A5C1. Apoyos del Programa de Alimentación Escolar entregados en 2023")</f>
        <v>A5C1. Apoyos del Programa de Alimentación Escolar entregados en 2023</v>
      </c>
      <c r="G720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720" s="42" t="str">
        <f ca="1">IFERROR(__xludf.DUMMYFUNCTION("""COMPUTED_VALUE"""),"AMM Noviembre")</f>
        <v>AMM Noviembre</v>
      </c>
      <c r="I720" s="42" t="str">
        <f ca="1">IFERROR(__xludf.DUMMYFUNCTION("""COMPUTED_VALUE"""),"Noviembre")</f>
        <v>Noviembre</v>
      </c>
      <c r="J720" s="42" t="str">
        <f ca="1">IFERROR(__xludf.DUMMYFUNCTION("""COMPUTED_VALUE"""),"AMM")</f>
        <v>AMM</v>
      </c>
      <c r="K720" s="98"/>
      <c r="L720" s="42" t="str">
        <f ca="1">IFERROR(__xludf.DUMMYFUNCTION("""COMPUTED_VALUE"""),"TRIMESTRE 4")</f>
        <v>TRIMESTRE 4</v>
      </c>
      <c r="M720" s="42" t="str">
        <f ca="1">IFERROR(__xludf.DUMMYFUNCTION("""COMPUTED_VALUE"""),"ADULTA MAYOR MUJER")</f>
        <v>ADULTA MAYOR MUJER</v>
      </c>
    </row>
    <row r="721" spans="1:13">
      <c r="A721" s="42" t="str">
        <f ca="1">IFERROR(__xludf.DUMMYFUNCTION("""COMPUTED_VALUE"""),"2.1.1.5")</f>
        <v>2.1.1.5</v>
      </c>
      <c r="B721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21" s="42" t="str">
        <f ca="1">IFERROR(__xludf.DUMMYFUNCTION("""COMPUTED_VALUE"""),"3. Operación")</f>
        <v>3. Operación</v>
      </c>
      <c r="D721" s="42" t="str">
        <f ca="1">IFERROR(__xludf.DUMMYFUNCTION("""COMPUTED_VALUE"""),"Guadalajara en Paz")</f>
        <v>Guadalajara en Paz</v>
      </c>
      <c r="E721" s="42" t="str">
        <f ca="1">IFERROR(__xludf.DUMMYFUNCTION("""COMPUTED_VALUE"""),"Asistencia Alimentaria y Nutrición")</f>
        <v>Asistencia Alimentaria y Nutrición</v>
      </c>
      <c r="F721" s="42" t="str">
        <f ca="1">IFERROR(__xludf.DUMMYFUNCTION("""COMPUTED_VALUE"""),"A5C1. Apoyos del Programa de Alimentación Escolar entregados en 2023")</f>
        <v>A5C1. Apoyos del Programa de Alimentación Escolar entregados en 2023</v>
      </c>
      <c r="G721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721" s="42" t="str">
        <f ca="1">IFERROR(__xludf.DUMMYFUNCTION("""COMPUTED_VALUE"""),"AMH Noviembre")</f>
        <v>AMH Noviembre</v>
      </c>
      <c r="I721" s="42" t="str">
        <f ca="1">IFERROR(__xludf.DUMMYFUNCTION("""COMPUTED_VALUE"""),"Noviembre")</f>
        <v>Noviembre</v>
      </c>
      <c r="J721" s="42" t="str">
        <f ca="1">IFERROR(__xludf.DUMMYFUNCTION("""COMPUTED_VALUE"""),"AMH")</f>
        <v>AMH</v>
      </c>
      <c r="K721" s="98"/>
      <c r="L721" s="42" t="str">
        <f ca="1">IFERROR(__xludf.DUMMYFUNCTION("""COMPUTED_VALUE"""),"TRIMESTRE 4")</f>
        <v>TRIMESTRE 4</v>
      </c>
      <c r="M721" s="42" t="str">
        <f ca="1">IFERROR(__xludf.DUMMYFUNCTION("""COMPUTED_VALUE"""),"ADULTO MAYOR HOMBRE")</f>
        <v>ADULTO MAYOR HOMBRE</v>
      </c>
    </row>
    <row r="722" spans="1:13">
      <c r="A722" s="42" t="str">
        <f ca="1">IFERROR(__xludf.DUMMYFUNCTION("""COMPUTED_VALUE"""),"2.1.1.6")</f>
        <v>2.1.1.6</v>
      </c>
      <c r="B722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22" s="42" t="str">
        <f ca="1">IFERROR(__xludf.DUMMYFUNCTION("""COMPUTED_VALUE"""),"3. Operación")</f>
        <v>3. Operación</v>
      </c>
      <c r="D722" s="42" t="str">
        <f ca="1">IFERROR(__xludf.DUMMYFUNCTION("""COMPUTED_VALUE"""),"Guadalajara en Paz")</f>
        <v>Guadalajara en Paz</v>
      </c>
      <c r="E722" s="42" t="str">
        <f ca="1">IFERROR(__xludf.DUMMYFUNCTION("""COMPUTED_VALUE"""),"Asistencia Alimentaria y Nutrición")</f>
        <v>Asistencia Alimentaria y Nutrición</v>
      </c>
      <c r="F722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722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722" s="42" t="str">
        <f ca="1">IFERROR(__xludf.DUMMYFUNCTION("""COMPUTED_VALUE"""),"NAS Noviembre")</f>
        <v>NAS Noviembre</v>
      </c>
      <c r="I722" s="42" t="str">
        <f ca="1">IFERROR(__xludf.DUMMYFUNCTION("""COMPUTED_VALUE"""),"Noviembre")</f>
        <v>Noviembre</v>
      </c>
      <c r="J722" s="42" t="str">
        <f ca="1">IFERROR(__xludf.DUMMYFUNCTION("""COMPUTED_VALUE"""),"NAS")</f>
        <v>NAS</v>
      </c>
      <c r="K722" s="98"/>
      <c r="L722" s="42" t="str">
        <f ca="1">IFERROR(__xludf.DUMMYFUNCTION("""COMPUTED_VALUE"""),"TRIMESTRE 4")</f>
        <v>TRIMESTRE 4</v>
      </c>
      <c r="M722" s="42" t="str">
        <f ca="1">IFERROR(__xludf.DUMMYFUNCTION("""COMPUTED_VALUE"""),"NIÑAS")</f>
        <v>NIÑAS</v>
      </c>
    </row>
    <row r="723" spans="1:13">
      <c r="A723" s="42" t="str">
        <f ca="1">IFERROR(__xludf.DUMMYFUNCTION("""COMPUTED_VALUE"""),"2.1.1.6")</f>
        <v>2.1.1.6</v>
      </c>
      <c r="B723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23" s="42" t="str">
        <f ca="1">IFERROR(__xludf.DUMMYFUNCTION("""COMPUTED_VALUE"""),"3. Operación")</f>
        <v>3. Operación</v>
      </c>
      <c r="D723" s="42" t="str">
        <f ca="1">IFERROR(__xludf.DUMMYFUNCTION("""COMPUTED_VALUE"""),"Guadalajara en Paz")</f>
        <v>Guadalajara en Paz</v>
      </c>
      <c r="E723" s="42" t="str">
        <f ca="1">IFERROR(__xludf.DUMMYFUNCTION("""COMPUTED_VALUE"""),"Asistencia Alimentaria y Nutrición")</f>
        <v>Asistencia Alimentaria y Nutrición</v>
      </c>
      <c r="F723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723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723" s="42" t="str">
        <f ca="1">IFERROR(__xludf.DUMMYFUNCTION("""COMPUTED_VALUE"""),"NOS Noviembre")</f>
        <v>NOS Noviembre</v>
      </c>
      <c r="I723" s="42" t="str">
        <f ca="1">IFERROR(__xludf.DUMMYFUNCTION("""COMPUTED_VALUE"""),"Noviembre")</f>
        <v>Noviembre</v>
      </c>
      <c r="J723" s="42" t="str">
        <f ca="1">IFERROR(__xludf.DUMMYFUNCTION("""COMPUTED_VALUE"""),"NOS")</f>
        <v>NOS</v>
      </c>
      <c r="K723" s="98"/>
      <c r="L723" s="42" t="str">
        <f ca="1">IFERROR(__xludf.DUMMYFUNCTION("""COMPUTED_VALUE"""),"TRIMESTRE 4")</f>
        <v>TRIMESTRE 4</v>
      </c>
      <c r="M723" s="42" t="str">
        <f ca="1">IFERROR(__xludf.DUMMYFUNCTION("""COMPUTED_VALUE"""),"NIÑOS")</f>
        <v>NIÑOS</v>
      </c>
    </row>
    <row r="724" spans="1:13">
      <c r="A724" s="42" t="str">
        <f ca="1">IFERROR(__xludf.DUMMYFUNCTION("""COMPUTED_VALUE"""),"2.1.1.6")</f>
        <v>2.1.1.6</v>
      </c>
      <c r="B724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24" s="42" t="str">
        <f ca="1">IFERROR(__xludf.DUMMYFUNCTION("""COMPUTED_VALUE"""),"3. Operación")</f>
        <v>3. Operación</v>
      </c>
      <c r="D724" s="42" t="str">
        <f ca="1">IFERROR(__xludf.DUMMYFUNCTION("""COMPUTED_VALUE"""),"Guadalajara en Paz")</f>
        <v>Guadalajara en Paz</v>
      </c>
      <c r="E724" s="42" t="str">
        <f ca="1">IFERROR(__xludf.DUMMYFUNCTION("""COMPUTED_VALUE"""),"Asistencia Alimentaria y Nutrición")</f>
        <v>Asistencia Alimentaria y Nutrición</v>
      </c>
      <c r="F724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724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724" s="42" t="str">
        <f ca="1">IFERROR(__xludf.DUMMYFUNCTION("""COMPUTED_VALUE"""),"AM NOVIEMBRE")</f>
        <v>AM NOVIEMBRE</v>
      </c>
      <c r="I724" s="42" t="str">
        <f ca="1">IFERROR(__xludf.DUMMYFUNCTION("""COMPUTED_VALUE"""),"Noviembre")</f>
        <v>Noviembre</v>
      </c>
      <c r="J724" s="42" t="str">
        <f ca="1">IFERROR(__xludf.DUMMYFUNCTION("""COMPUTED_VALUE"""),"AM")</f>
        <v>AM</v>
      </c>
      <c r="K724" s="98"/>
      <c r="L724" s="42" t="str">
        <f ca="1">IFERROR(__xludf.DUMMYFUNCTION("""COMPUTED_VALUE"""),"TRIMESTRE 4")</f>
        <v>TRIMESTRE 4</v>
      </c>
      <c r="M724" s="42" t="str">
        <f ca="1">IFERROR(__xludf.DUMMYFUNCTION("""COMPUTED_VALUE"""),"ADOLESCENTES MUJERES")</f>
        <v>ADOLESCENTES MUJERES</v>
      </c>
    </row>
    <row r="725" spans="1:13">
      <c r="A725" s="42" t="str">
        <f ca="1">IFERROR(__xludf.DUMMYFUNCTION("""COMPUTED_VALUE"""),"2.1.1.6")</f>
        <v>2.1.1.6</v>
      </c>
      <c r="B725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25" s="42" t="str">
        <f ca="1">IFERROR(__xludf.DUMMYFUNCTION("""COMPUTED_VALUE"""),"3. Operación")</f>
        <v>3. Operación</v>
      </c>
      <c r="D725" s="42" t="str">
        <f ca="1">IFERROR(__xludf.DUMMYFUNCTION("""COMPUTED_VALUE"""),"Guadalajara en Paz")</f>
        <v>Guadalajara en Paz</v>
      </c>
      <c r="E725" s="42" t="str">
        <f ca="1">IFERROR(__xludf.DUMMYFUNCTION("""COMPUTED_VALUE"""),"Asistencia Alimentaria y Nutrición")</f>
        <v>Asistencia Alimentaria y Nutrición</v>
      </c>
      <c r="F725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725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725" s="42" t="str">
        <f ca="1">IFERROR(__xludf.DUMMYFUNCTION("""COMPUTED_VALUE"""),"AH NOVIEMBRE")</f>
        <v>AH NOVIEMBRE</v>
      </c>
      <c r="I725" s="42" t="str">
        <f ca="1">IFERROR(__xludf.DUMMYFUNCTION("""COMPUTED_VALUE"""),"Noviembre")</f>
        <v>Noviembre</v>
      </c>
      <c r="J725" s="42" t="str">
        <f ca="1">IFERROR(__xludf.DUMMYFUNCTION("""COMPUTED_VALUE"""),"AH")</f>
        <v>AH</v>
      </c>
      <c r="K725" s="98"/>
      <c r="L725" s="42" t="str">
        <f ca="1">IFERROR(__xludf.DUMMYFUNCTION("""COMPUTED_VALUE"""),"TRIMESTRE 4")</f>
        <v>TRIMESTRE 4</v>
      </c>
      <c r="M725" s="42" t="str">
        <f ca="1">IFERROR(__xludf.DUMMYFUNCTION("""COMPUTED_VALUE"""),"ADOLESCENTES HOMBRES")</f>
        <v>ADOLESCENTES HOMBRES</v>
      </c>
    </row>
    <row r="726" spans="1:13">
      <c r="A726" s="42" t="str">
        <f ca="1">IFERROR(__xludf.DUMMYFUNCTION("""COMPUTED_VALUE"""),"2.1.1.6")</f>
        <v>2.1.1.6</v>
      </c>
      <c r="B726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26" s="42" t="str">
        <f ca="1">IFERROR(__xludf.DUMMYFUNCTION("""COMPUTED_VALUE"""),"3. Operación")</f>
        <v>3. Operación</v>
      </c>
      <c r="D726" s="42" t="str">
        <f ca="1">IFERROR(__xludf.DUMMYFUNCTION("""COMPUTED_VALUE"""),"Guadalajara en Paz")</f>
        <v>Guadalajara en Paz</v>
      </c>
      <c r="E726" s="42" t="str">
        <f ca="1">IFERROR(__xludf.DUMMYFUNCTION("""COMPUTED_VALUE"""),"Asistencia Alimentaria y Nutrición")</f>
        <v>Asistencia Alimentaria y Nutrición</v>
      </c>
      <c r="F726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726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726" s="42" t="str">
        <f ca="1">IFERROR(__xludf.DUMMYFUNCTION("""COMPUTED_VALUE"""),"MUJ Noviembre")</f>
        <v>MUJ Noviembre</v>
      </c>
      <c r="I726" s="42" t="str">
        <f ca="1">IFERROR(__xludf.DUMMYFUNCTION("""COMPUTED_VALUE"""),"Noviembre")</f>
        <v>Noviembre</v>
      </c>
      <c r="J726" s="42" t="str">
        <f ca="1">IFERROR(__xludf.DUMMYFUNCTION("""COMPUTED_VALUE"""),"MUJ")</f>
        <v>MUJ</v>
      </c>
      <c r="K726" s="98"/>
      <c r="L726" s="42" t="str">
        <f ca="1">IFERROR(__xludf.DUMMYFUNCTION("""COMPUTED_VALUE"""),"TRIMESTRE 4")</f>
        <v>TRIMESTRE 4</v>
      </c>
      <c r="M726" s="42" t="str">
        <f ca="1">IFERROR(__xludf.DUMMYFUNCTION("""COMPUTED_VALUE"""),"MUJERES ADULTAS")</f>
        <v>MUJERES ADULTAS</v>
      </c>
    </row>
    <row r="727" spans="1:13">
      <c r="A727" s="42" t="str">
        <f ca="1">IFERROR(__xludf.DUMMYFUNCTION("""COMPUTED_VALUE"""),"2.1.1.6")</f>
        <v>2.1.1.6</v>
      </c>
      <c r="B727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27" s="42" t="str">
        <f ca="1">IFERROR(__xludf.DUMMYFUNCTION("""COMPUTED_VALUE"""),"3. Operación")</f>
        <v>3. Operación</v>
      </c>
      <c r="D727" s="42" t="str">
        <f ca="1">IFERROR(__xludf.DUMMYFUNCTION("""COMPUTED_VALUE"""),"Guadalajara en Paz")</f>
        <v>Guadalajara en Paz</v>
      </c>
      <c r="E727" s="42" t="str">
        <f ca="1">IFERROR(__xludf.DUMMYFUNCTION("""COMPUTED_VALUE"""),"Asistencia Alimentaria y Nutrición")</f>
        <v>Asistencia Alimentaria y Nutrición</v>
      </c>
      <c r="F727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727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727" s="42" t="str">
        <f ca="1">IFERROR(__xludf.DUMMYFUNCTION("""COMPUTED_VALUE"""),"HOM Noviembre")</f>
        <v>HOM Noviembre</v>
      </c>
      <c r="I727" s="42" t="str">
        <f ca="1">IFERROR(__xludf.DUMMYFUNCTION("""COMPUTED_VALUE"""),"Noviembre")</f>
        <v>Noviembre</v>
      </c>
      <c r="J727" s="42" t="str">
        <f ca="1">IFERROR(__xludf.DUMMYFUNCTION("""COMPUTED_VALUE"""),"HOM")</f>
        <v>HOM</v>
      </c>
      <c r="K727" s="98"/>
      <c r="L727" s="42" t="str">
        <f ca="1">IFERROR(__xludf.DUMMYFUNCTION("""COMPUTED_VALUE"""),"TRIMESTRE 4")</f>
        <v>TRIMESTRE 4</v>
      </c>
      <c r="M727" s="42" t="str">
        <f ca="1">IFERROR(__xludf.DUMMYFUNCTION("""COMPUTED_VALUE"""),"HOMBRES ADULTOS")</f>
        <v>HOMBRES ADULTOS</v>
      </c>
    </row>
    <row r="728" spans="1:13">
      <c r="A728" s="42" t="str">
        <f ca="1">IFERROR(__xludf.DUMMYFUNCTION("""COMPUTED_VALUE"""),"2.1.1.6")</f>
        <v>2.1.1.6</v>
      </c>
      <c r="B728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28" s="42" t="str">
        <f ca="1">IFERROR(__xludf.DUMMYFUNCTION("""COMPUTED_VALUE"""),"3. Operación")</f>
        <v>3. Operación</v>
      </c>
      <c r="D728" s="42" t="str">
        <f ca="1">IFERROR(__xludf.DUMMYFUNCTION("""COMPUTED_VALUE"""),"Guadalajara en Paz")</f>
        <v>Guadalajara en Paz</v>
      </c>
      <c r="E728" s="42" t="str">
        <f ca="1">IFERROR(__xludf.DUMMYFUNCTION("""COMPUTED_VALUE"""),"Asistencia Alimentaria y Nutrición")</f>
        <v>Asistencia Alimentaria y Nutrición</v>
      </c>
      <c r="F728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728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728" s="42" t="str">
        <f ca="1">IFERROR(__xludf.DUMMYFUNCTION("""COMPUTED_VALUE"""),"AMM Noviembre")</f>
        <v>AMM Noviembre</v>
      </c>
      <c r="I728" s="42" t="str">
        <f ca="1">IFERROR(__xludf.DUMMYFUNCTION("""COMPUTED_VALUE"""),"Noviembre")</f>
        <v>Noviembre</v>
      </c>
      <c r="J728" s="42" t="str">
        <f ca="1">IFERROR(__xludf.DUMMYFUNCTION("""COMPUTED_VALUE"""),"AMM")</f>
        <v>AMM</v>
      </c>
      <c r="K728" s="98"/>
      <c r="L728" s="42" t="str">
        <f ca="1">IFERROR(__xludf.DUMMYFUNCTION("""COMPUTED_VALUE"""),"TRIMESTRE 4")</f>
        <v>TRIMESTRE 4</v>
      </c>
      <c r="M728" s="42" t="str">
        <f ca="1">IFERROR(__xludf.DUMMYFUNCTION("""COMPUTED_VALUE"""),"ADULTA MAYOR MUJER")</f>
        <v>ADULTA MAYOR MUJER</v>
      </c>
    </row>
    <row r="729" spans="1:13">
      <c r="A729" s="42" t="str">
        <f ca="1">IFERROR(__xludf.DUMMYFUNCTION("""COMPUTED_VALUE"""),"2.1.1.6")</f>
        <v>2.1.1.6</v>
      </c>
      <c r="B729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29" s="42" t="str">
        <f ca="1">IFERROR(__xludf.DUMMYFUNCTION("""COMPUTED_VALUE"""),"3. Operación")</f>
        <v>3. Operación</v>
      </c>
      <c r="D729" s="42" t="str">
        <f ca="1">IFERROR(__xludf.DUMMYFUNCTION("""COMPUTED_VALUE"""),"Guadalajara en Paz")</f>
        <v>Guadalajara en Paz</v>
      </c>
      <c r="E729" s="42" t="str">
        <f ca="1">IFERROR(__xludf.DUMMYFUNCTION("""COMPUTED_VALUE"""),"Asistencia Alimentaria y Nutrición")</f>
        <v>Asistencia Alimentaria y Nutrición</v>
      </c>
      <c r="F729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729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729" s="42" t="str">
        <f ca="1">IFERROR(__xludf.DUMMYFUNCTION("""COMPUTED_VALUE"""),"AMH Noviembre")</f>
        <v>AMH Noviembre</v>
      </c>
      <c r="I729" s="42" t="str">
        <f ca="1">IFERROR(__xludf.DUMMYFUNCTION("""COMPUTED_VALUE"""),"Noviembre")</f>
        <v>Noviembre</v>
      </c>
      <c r="J729" s="42" t="str">
        <f ca="1">IFERROR(__xludf.DUMMYFUNCTION("""COMPUTED_VALUE"""),"AMH")</f>
        <v>AMH</v>
      </c>
      <c r="K729" s="98"/>
      <c r="L729" s="42" t="str">
        <f ca="1">IFERROR(__xludf.DUMMYFUNCTION("""COMPUTED_VALUE"""),"TRIMESTRE 4")</f>
        <v>TRIMESTRE 4</v>
      </c>
      <c r="M729" s="42" t="str">
        <f ca="1">IFERROR(__xludf.DUMMYFUNCTION("""COMPUTED_VALUE"""),"ADULTO MAYOR HOMBRE")</f>
        <v>ADULTO MAYOR HOMBRE</v>
      </c>
    </row>
    <row r="730" spans="1:13">
      <c r="A730" s="42" t="str">
        <f ca="1">IFERROR(__xludf.DUMMYFUNCTION("""COMPUTED_VALUE"""),"2.1.1.7")</f>
        <v>2.1.1.7</v>
      </c>
      <c r="B730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30" s="42" t="str">
        <f ca="1">IFERROR(__xludf.DUMMYFUNCTION("""COMPUTED_VALUE"""),"3. Operación")</f>
        <v>3. Operación</v>
      </c>
      <c r="D730" s="42" t="str">
        <f ca="1">IFERROR(__xludf.DUMMYFUNCTION("""COMPUTED_VALUE"""),"Guadalajara en Paz")</f>
        <v>Guadalajara en Paz</v>
      </c>
      <c r="E730" s="42" t="str">
        <f ca="1">IFERROR(__xludf.DUMMYFUNCTION("""COMPUTED_VALUE"""),"Asistencia Alimentaria y Nutrición")</f>
        <v>Asistencia Alimentaria y Nutrición</v>
      </c>
      <c r="F730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730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730" s="42" t="str">
        <f ca="1">IFERROR(__xludf.DUMMYFUNCTION("""COMPUTED_VALUE"""),"NAS Noviembre")</f>
        <v>NAS Noviembre</v>
      </c>
      <c r="I730" s="42" t="str">
        <f ca="1">IFERROR(__xludf.DUMMYFUNCTION("""COMPUTED_VALUE"""),"Noviembre")</f>
        <v>Noviembre</v>
      </c>
      <c r="J730" s="42" t="str">
        <f ca="1">IFERROR(__xludf.DUMMYFUNCTION("""COMPUTED_VALUE"""),"NAS")</f>
        <v>NAS</v>
      </c>
      <c r="K730" s="98"/>
      <c r="L730" s="42" t="str">
        <f ca="1">IFERROR(__xludf.DUMMYFUNCTION("""COMPUTED_VALUE"""),"TRIMESTRE 4")</f>
        <v>TRIMESTRE 4</v>
      </c>
      <c r="M730" s="42" t="str">
        <f ca="1">IFERROR(__xludf.DUMMYFUNCTION("""COMPUTED_VALUE"""),"NIÑAS")</f>
        <v>NIÑAS</v>
      </c>
    </row>
    <row r="731" spans="1:13">
      <c r="A731" s="42" t="str">
        <f ca="1">IFERROR(__xludf.DUMMYFUNCTION("""COMPUTED_VALUE"""),"2.1.1.7")</f>
        <v>2.1.1.7</v>
      </c>
      <c r="B731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31" s="42" t="str">
        <f ca="1">IFERROR(__xludf.DUMMYFUNCTION("""COMPUTED_VALUE"""),"3. Operación")</f>
        <v>3. Operación</v>
      </c>
      <c r="D731" s="42" t="str">
        <f ca="1">IFERROR(__xludf.DUMMYFUNCTION("""COMPUTED_VALUE"""),"Guadalajara en Paz")</f>
        <v>Guadalajara en Paz</v>
      </c>
      <c r="E731" s="42" t="str">
        <f ca="1">IFERROR(__xludf.DUMMYFUNCTION("""COMPUTED_VALUE"""),"Asistencia Alimentaria y Nutrición")</f>
        <v>Asistencia Alimentaria y Nutrición</v>
      </c>
      <c r="F731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731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731" s="42" t="str">
        <f ca="1">IFERROR(__xludf.DUMMYFUNCTION("""COMPUTED_VALUE"""),"NOS Noviembre")</f>
        <v>NOS Noviembre</v>
      </c>
      <c r="I731" s="42" t="str">
        <f ca="1">IFERROR(__xludf.DUMMYFUNCTION("""COMPUTED_VALUE"""),"Noviembre")</f>
        <v>Noviembre</v>
      </c>
      <c r="J731" s="42" t="str">
        <f ca="1">IFERROR(__xludf.DUMMYFUNCTION("""COMPUTED_VALUE"""),"NOS")</f>
        <v>NOS</v>
      </c>
      <c r="K731" s="98"/>
      <c r="L731" s="42" t="str">
        <f ca="1">IFERROR(__xludf.DUMMYFUNCTION("""COMPUTED_VALUE"""),"TRIMESTRE 4")</f>
        <v>TRIMESTRE 4</v>
      </c>
      <c r="M731" s="42" t="str">
        <f ca="1">IFERROR(__xludf.DUMMYFUNCTION("""COMPUTED_VALUE"""),"NIÑOS")</f>
        <v>NIÑOS</v>
      </c>
    </row>
    <row r="732" spans="1:13">
      <c r="A732" s="42" t="str">
        <f ca="1">IFERROR(__xludf.DUMMYFUNCTION("""COMPUTED_VALUE"""),"2.1.1.7")</f>
        <v>2.1.1.7</v>
      </c>
      <c r="B732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32" s="42" t="str">
        <f ca="1">IFERROR(__xludf.DUMMYFUNCTION("""COMPUTED_VALUE"""),"3. Operación")</f>
        <v>3. Operación</v>
      </c>
      <c r="D732" s="42" t="str">
        <f ca="1">IFERROR(__xludf.DUMMYFUNCTION("""COMPUTED_VALUE"""),"Guadalajara en Paz")</f>
        <v>Guadalajara en Paz</v>
      </c>
      <c r="E732" s="42" t="str">
        <f ca="1">IFERROR(__xludf.DUMMYFUNCTION("""COMPUTED_VALUE"""),"Asistencia Alimentaria y Nutrición")</f>
        <v>Asistencia Alimentaria y Nutrición</v>
      </c>
      <c r="F732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732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732" s="42" t="str">
        <f ca="1">IFERROR(__xludf.DUMMYFUNCTION("""COMPUTED_VALUE"""),"AM NOVIEMBRE")</f>
        <v>AM NOVIEMBRE</v>
      </c>
      <c r="I732" s="42" t="str">
        <f ca="1">IFERROR(__xludf.DUMMYFUNCTION("""COMPUTED_VALUE"""),"Noviembre")</f>
        <v>Noviembre</v>
      </c>
      <c r="J732" s="42" t="str">
        <f ca="1">IFERROR(__xludf.DUMMYFUNCTION("""COMPUTED_VALUE"""),"AM")</f>
        <v>AM</v>
      </c>
      <c r="K732" s="98"/>
      <c r="L732" s="42" t="str">
        <f ca="1">IFERROR(__xludf.DUMMYFUNCTION("""COMPUTED_VALUE"""),"TRIMESTRE 4")</f>
        <v>TRIMESTRE 4</v>
      </c>
      <c r="M732" s="42" t="str">
        <f ca="1">IFERROR(__xludf.DUMMYFUNCTION("""COMPUTED_VALUE"""),"ADOLESCENTES MUJERES")</f>
        <v>ADOLESCENTES MUJERES</v>
      </c>
    </row>
    <row r="733" spans="1:13">
      <c r="A733" s="42" t="str">
        <f ca="1">IFERROR(__xludf.DUMMYFUNCTION("""COMPUTED_VALUE"""),"2.1.1.7")</f>
        <v>2.1.1.7</v>
      </c>
      <c r="B733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33" s="42" t="str">
        <f ca="1">IFERROR(__xludf.DUMMYFUNCTION("""COMPUTED_VALUE"""),"3. Operación")</f>
        <v>3. Operación</v>
      </c>
      <c r="D733" s="42" t="str">
        <f ca="1">IFERROR(__xludf.DUMMYFUNCTION("""COMPUTED_VALUE"""),"Guadalajara en Paz")</f>
        <v>Guadalajara en Paz</v>
      </c>
      <c r="E733" s="42" t="str">
        <f ca="1">IFERROR(__xludf.DUMMYFUNCTION("""COMPUTED_VALUE"""),"Asistencia Alimentaria y Nutrición")</f>
        <v>Asistencia Alimentaria y Nutrición</v>
      </c>
      <c r="F733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733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733" s="42" t="str">
        <f ca="1">IFERROR(__xludf.DUMMYFUNCTION("""COMPUTED_VALUE"""),"AH NOVIEMBRE")</f>
        <v>AH NOVIEMBRE</v>
      </c>
      <c r="I733" s="42" t="str">
        <f ca="1">IFERROR(__xludf.DUMMYFUNCTION("""COMPUTED_VALUE"""),"Noviembre")</f>
        <v>Noviembre</v>
      </c>
      <c r="J733" s="42" t="str">
        <f ca="1">IFERROR(__xludf.DUMMYFUNCTION("""COMPUTED_VALUE"""),"AH")</f>
        <v>AH</v>
      </c>
      <c r="K733" s="98"/>
      <c r="L733" s="42" t="str">
        <f ca="1">IFERROR(__xludf.DUMMYFUNCTION("""COMPUTED_VALUE"""),"TRIMESTRE 4")</f>
        <v>TRIMESTRE 4</v>
      </c>
      <c r="M733" s="42" t="str">
        <f ca="1">IFERROR(__xludf.DUMMYFUNCTION("""COMPUTED_VALUE"""),"ADOLESCENTES HOMBRES")</f>
        <v>ADOLESCENTES HOMBRES</v>
      </c>
    </row>
    <row r="734" spans="1:13">
      <c r="A734" s="42" t="str">
        <f ca="1">IFERROR(__xludf.DUMMYFUNCTION("""COMPUTED_VALUE"""),"2.1.1.7")</f>
        <v>2.1.1.7</v>
      </c>
      <c r="B734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34" s="42" t="str">
        <f ca="1">IFERROR(__xludf.DUMMYFUNCTION("""COMPUTED_VALUE"""),"3. Operación")</f>
        <v>3. Operación</v>
      </c>
      <c r="D734" s="42" t="str">
        <f ca="1">IFERROR(__xludf.DUMMYFUNCTION("""COMPUTED_VALUE"""),"Guadalajara en Paz")</f>
        <v>Guadalajara en Paz</v>
      </c>
      <c r="E734" s="42" t="str">
        <f ca="1">IFERROR(__xludf.DUMMYFUNCTION("""COMPUTED_VALUE"""),"Asistencia Alimentaria y Nutrición")</f>
        <v>Asistencia Alimentaria y Nutrición</v>
      </c>
      <c r="F734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734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734" s="42" t="str">
        <f ca="1">IFERROR(__xludf.DUMMYFUNCTION("""COMPUTED_VALUE"""),"MUJ Noviembre")</f>
        <v>MUJ Noviembre</v>
      </c>
      <c r="I734" s="42" t="str">
        <f ca="1">IFERROR(__xludf.DUMMYFUNCTION("""COMPUTED_VALUE"""),"Noviembre")</f>
        <v>Noviembre</v>
      </c>
      <c r="J734" s="42" t="str">
        <f ca="1">IFERROR(__xludf.DUMMYFUNCTION("""COMPUTED_VALUE"""),"MUJ")</f>
        <v>MUJ</v>
      </c>
      <c r="K734" s="98"/>
      <c r="L734" s="42" t="str">
        <f ca="1">IFERROR(__xludf.DUMMYFUNCTION("""COMPUTED_VALUE"""),"TRIMESTRE 4")</f>
        <v>TRIMESTRE 4</v>
      </c>
      <c r="M734" s="42" t="str">
        <f ca="1">IFERROR(__xludf.DUMMYFUNCTION("""COMPUTED_VALUE"""),"MUJERES ADULTAS")</f>
        <v>MUJERES ADULTAS</v>
      </c>
    </row>
    <row r="735" spans="1:13">
      <c r="A735" s="42" t="str">
        <f ca="1">IFERROR(__xludf.DUMMYFUNCTION("""COMPUTED_VALUE"""),"2.1.1.7")</f>
        <v>2.1.1.7</v>
      </c>
      <c r="B735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35" s="42" t="str">
        <f ca="1">IFERROR(__xludf.DUMMYFUNCTION("""COMPUTED_VALUE"""),"3. Operación")</f>
        <v>3. Operación</v>
      </c>
      <c r="D735" s="42" t="str">
        <f ca="1">IFERROR(__xludf.DUMMYFUNCTION("""COMPUTED_VALUE"""),"Guadalajara en Paz")</f>
        <v>Guadalajara en Paz</v>
      </c>
      <c r="E735" s="42" t="str">
        <f ca="1">IFERROR(__xludf.DUMMYFUNCTION("""COMPUTED_VALUE"""),"Asistencia Alimentaria y Nutrición")</f>
        <v>Asistencia Alimentaria y Nutrición</v>
      </c>
      <c r="F735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735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735" s="42" t="str">
        <f ca="1">IFERROR(__xludf.DUMMYFUNCTION("""COMPUTED_VALUE"""),"HOM Noviembre")</f>
        <v>HOM Noviembre</v>
      </c>
      <c r="I735" s="42" t="str">
        <f ca="1">IFERROR(__xludf.DUMMYFUNCTION("""COMPUTED_VALUE"""),"Noviembre")</f>
        <v>Noviembre</v>
      </c>
      <c r="J735" s="42" t="str">
        <f ca="1">IFERROR(__xludf.DUMMYFUNCTION("""COMPUTED_VALUE"""),"HOM")</f>
        <v>HOM</v>
      </c>
      <c r="K735" s="98"/>
      <c r="L735" s="42" t="str">
        <f ca="1">IFERROR(__xludf.DUMMYFUNCTION("""COMPUTED_VALUE"""),"TRIMESTRE 4")</f>
        <v>TRIMESTRE 4</v>
      </c>
      <c r="M735" s="42" t="str">
        <f ca="1">IFERROR(__xludf.DUMMYFUNCTION("""COMPUTED_VALUE"""),"HOMBRES ADULTOS")</f>
        <v>HOMBRES ADULTOS</v>
      </c>
    </row>
    <row r="736" spans="1:13">
      <c r="A736" s="42" t="str">
        <f ca="1">IFERROR(__xludf.DUMMYFUNCTION("""COMPUTED_VALUE"""),"2.1.1.7")</f>
        <v>2.1.1.7</v>
      </c>
      <c r="B736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36" s="42" t="str">
        <f ca="1">IFERROR(__xludf.DUMMYFUNCTION("""COMPUTED_VALUE"""),"3. Operación")</f>
        <v>3. Operación</v>
      </c>
      <c r="D736" s="42" t="str">
        <f ca="1">IFERROR(__xludf.DUMMYFUNCTION("""COMPUTED_VALUE"""),"Guadalajara en Paz")</f>
        <v>Guadalajara en Paz</v>
      </c>
      <c r="E736" s="42" t="str">
        <f ca="1">IFERROR(__xludf.DUMMYFUNCTION("""COMPUTED_VALUE"""),"Asistencia Alimentaria y Nutrición")</f>
        <v>Asistencia Alimentaria y Nutrición</v>
      </c>
      <c r="F736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736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736" s="42" t="str">
        <f ca="1">IFERROR(__xludf.DUMMYFUNCTION("""COMPUTED_VALUE"""),"AMM Noviembre")</f>
        <v>AMM Noviembre</v>
      </c>
      <c r="I736" s="42" t="str">
        <f ca="1">IFERROR(__xludf.DUMMYFUNCTION("""COMPUTED_VALUE"""),"Noviembre")</f>
        <v>Noviembre</v>
      </c>
      <c r="J736" s="42" t="str">
        <f ca="1">IFERROR(__xludf.DUMMYFUNCTION("""COMPUTED_VALUE"""),"AMM")</f>
        <v>AMM</v>
      </c>
      <c r="K736" s="98"/>
      <c r="L736" s="42" t="str">
        <f ca="1">IFERROR(__xludf.DUMMYFUNCTION("""COMPUTED_VALUE"""),"TRIMESTRE 4")</f>
        <v>TRIMESTRE 4</v>
      </c>
      <c r="M736" s="42" t="str">
        <f ca="1">IFERROR(__xludf.DUMMYFUNCTION("""COMPUTED_VALUE"""),"ADULTA MAYOR MUJER")</f>
        <v>ADULTA MAYOR MUJER</v>
      </c>
    </row>
    <row r="737" spans="1:13">
      <c r="A737" s="42" t="str">
        <f ca="1">IFERROR(__xludf.DUMMYFUNCTION("""COMPUTED_VALUE"""),"2.1.1.7")</f>
        <v>2.1.1.7</v>
      </c>
      <c r="B737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37" s="42" t="str">
        <f ca="1">IFERROR(__xludf.DUMMYFUNCTION("""COMPUTED_VALUE"""),"3. Operación")</f>
        <v>3. Operación</v>
      </c>
      <c r="D737" s="42" t="str">
        <f ca="1">IFERROR(__xludf.DUMMYFUNCTION("""COMPUTED_VALUE"""),"Guadalajara en Paz")</f>
        <v>Guadalajara en Paz</v>
      </c>
      <c r="E737" s="42" t="str">
        <f ca="1">IFERROR(__xludf.DUMMYFUNCTION("""COMPUTED_VALUE"""),"Asistencia Alimentaria y Nutrición")</f>
        <v>Asistencia Alimentaria y Nutrición</v>
      </c>
      <c r="F737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737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737" s="42" t="str">
        <f ca="1">IFERROR(__xludf.DUMMYFUNCTION("""COMPUTED_VALUE"""),"AMH Noviembre")</f>
        <v>AMH Noviembre</v>
      </c>
      <c r="I737" s="42" t="str">
        <f ca="1">IFERROR(__xludf.DUMMYFUNCTION("""COMPUTED_VALUE"""),"Noviembre")</f>
        <v>Noviembre</v>
      </c>
      <c r="J737" s="42" t="str">
        <f ca="1">IFERROR(__xludf.DUMMYFUNCTION("""COMPUTED_VALUE"""),"AMH")</f>
        <v>AMH</v>
      </c>
      <c r="K737" s="98"/>
      <c r="L737" s="42" t="str">
        <f ca="1">IFERROR(__xludf.DUMMYFUNCTION("""COMPUTED_VALUE"""),"TRIMESTRE 4")</f>
        <v>TRIMESTRE 4</v>
      </c>
      <c r="M737" s="42" t="str">
        <f ca="1">IFERROR(__xludf.DUMMYFUNCTION("""COMPUTED_VALUE"""),"ADULTO MAYOR HOMBRE")</f>
        <v>ADULTO MAYOR HOMBRE</v>
      </c>
    </row>
    <row r="738" spans="1:13">
      <c r="A738" s="42" t="str">
        <f ca="1">IFERROR(__xludf.DUMMYFUNCTION("""COMPUTED_VALUE"""),"2.1.1.4")</f>
        <v>2.1.1.4</v>
      </c>
      <c r="B738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38" s="42" t="str">
        <f ca="1">IFERROR(__xludf.DUMMYFUNCTION("""COMPUTED_VALUE"""),"3. Operación")</f>
        <v>3. Operación</v>
      </c>
      <c r="D738" s="42" t="str">
        <f ca="1">IFERROR(__xludf.DUMMYFUNCTION("""COMPUTED_VALUE"""),"Guadalajara en Paz")</f>
        <v>Guadalajara en Paz</v>
      </c>
      <c r="E738" s="42" t="str">
        <f ca="1">IFERROR(__xludf.DUMMYFUNCTION("""COMPUTED_VALUE"""),"Asistencia Alimentaria y Nutrición")</f>
        <v>Asistencia Alimentaria y Nutrición</v>
      </c>
      <c r="F738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738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738" s="42" t="str">
        <f ca="1">IFERROR(__xludf.DUMMYFUNCTION("""COMPUTED_VALUE"""),"NAS Diciembre")</f>
        <v>NAS Diciembre</v>
      </c>
      <c r="I738" s="42" t="str">
        <f ca="1">IFERROR(__xludf.DUMMYFUNCTION("""COMPUTED_VALUE"""),"Diciembre")</f>
        <v>Diciembre</v>
      </c>
      <c r="J738" s="42" t="str">
        <f ca="1">IFERROR(__xludf.DUMMYFUNCTION("""COMPUTED_VALUE"""),"NAS")</f>
        <v>NAS</v>
      </c>
      <c r="K738" s="98"/>
      <c r="L738" s="42" t="str">
        <f ca="1">IFERROR(__xludf.DUMMYFUNCTION("""COMPUTED_VALUE"""),"TRIMESTRE 4")</f>
        <v>TRIMESTRE 4</v>
      </c>
      <c r="M738" s="42" t="str">
        <f ca="1">IFERROR(__xludf.DUMMYFUNCTION("""COMPUTED_VALUE"""),"NIÑAS")</f>
        <v>NIÑAS</v>
      </c>
    </row>
    <row r="739" spans="1:13">
      <c r="A739" s="42" t="str">
        <f ca="1">IFERROR(__xludf.DUMMYFUNCTION("""COMPUTED_VALUE"""),"2.1.1.4")</f>
        <v>2.1.1.4</v>
      </c>
      <c r="B739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39" s="42" t="str">
        <f ca="1">IFERROR(__xludf.DUMMYFUNCTION("""COMPUTED_VALUE"""),"3. Operación")</f>
        <v>3. Operación</v>
      </c>
      <c r="D739" s="42" t="str">
        <f ca="1">IFERROR(__xludf.DUMMYFUNCTION("""COMPUTED_VALUE"""),"Guadalajara en Paz")</f>
        <v>Guadalajara en Paz</v>
      </c>
      <c r="E739" s="42" t="str">
        <f ca="1">IFERROR(__xludf.DUMMYFUNCTION("""COMPUTED_VALUE"""),"Asistencia Alimentaria y Nutrición")</f>
        <v>Asistencia Alimentaria y Nutrición</v>
      </c>
      <c r="F739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739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739" s="42" t="str">
        <f ca="1">IFERROR(__xludf.DUMMYFUNCTION("""COMPUTED_VALUE"""),"NOS Diciembre")</f>
        <v>NOS Diciembre</v>
      </c>
      <c r="I739" s="42" t="str">
        <f ca="1">IFERROR(__xludf.DUMMYFUNCTION("""COMPUTED_VALUE"""),"Diciembre")</f>
        <v>Diciembre</v>
      </c>
      <c r="J739" s="42" t="str">
        <f ca="1">IFERROR(__xludf.DUMMYFUNCTION("""COMPUTED_VALUE"""),"NOS")</f>
        <v>NOS</v>
      </c>
      <c r="K739" s="98"/>
      <c r="L739" s="42" t="str">
        <f ca="1">IFERROR(__xludf.DUMMYFUNCTION("""COMPUTED_VALUE"""),"TRIMESTRE 4")</f>
        <v>TRIMESTRE 4</v>
      </c>
      <c r="M739" s="42" t="str">
        <f ca="1">IFERROR(__xludf.DUMMYFUNCTION("""COMPUTED_VALUE"""),"NIÑOS")</f>
        <v>NIÑOS</v>
      </c>
    </row>
    <row r="740" spans="1:13">
      <c r="A740" s="42" t="str">
        <f ca="1">IFERROR(__xludf.DUMMYFUNCTION("""COMPUTED_VALUE"""),"2.1.1.4")</f>
        <v>2.1.1.4</v>
      </c>
      <c r="B740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40" s="42" t="str">
        <f ca="1">IFERROR(__xludf.DUMMYFUNCTION("""COMPUTED_VALUE"""),"3. Operación")</f>
        <v>3. Operación</v>
      </c>
      <c r="D740" s="42" t="str">
        <f ca="1">IFERROR(__xludf.DUMMYFUNCTION("""COMPUTED_VALUE"""),"Guadalajara en Paz")</f>
        <v>Guadalajara en Paz</v>
      </c>
      <c r="E740" s="42" t="str">
        <f ca="1">IFERROR(__xludf.DUMMYFUNCTION("""COMPUTED_VALUE"""),"Asistencia Alimentaria y Nutrición")</f>
        <v>Asistencia Alimentaria y Nutrición</v>
      </c>
      <c r="F740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740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740" s="42" t="str">
        <f ca="1">IFERROR(__xludf.DUMMYFUNCTION("""COMPUTED_VALUE"""),"AM DICIEMBRE")</f>
        <v>AM DICIEMBRE</v>
      </c>
      <c r="I740" s="42" t="str">
        <f ca="1">IFERROR(__xludf.DUMMYFUNCTION("""COMPUTED_VALUE"""),"Diciembre")</f>
        <v>Diciembre</v>
      </c>
      <c r="J740" s="42" t="str">
        <f ca="1">IFERROR(__xludf.DUMMYFUNCTION("""COMPUTED_VALUE"""),"AM")</f>
        <v>AM</v>
      </c>
      <c r="K740" s="98"/>
      <c r="L740" s="42" t="str">
        <f ca="1">IFERROR(__xludf.DUMMYFUNCTION("""COMPUTED_VALUE"""),"TRIMESTRE 4")</f>
        <v>TRIMESTRE 4</v>
      </c>
      <c r="M740" s="42" t="str">
        <f ca="1">IFERROR(__xludf.DUMMYFUNCTION("""COMPUTED_VALUE"""),"ADOLESCENTES MUJERES")</f>
        <v>ADOLESCENTES MUJERES</v>
      </c>
    </row>
    <row r="741" spans="1:13">
      <c r="A741" s="42" t="str">
        <f ca="1">IFERROR(__xludf.DUMMYFUNCTION("""COMPUTED_VALUE"""),"2.1.1.4")</f>
        <v>2.1.1.4</v>
      </c>
      <c r="B741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41" s="42" t="str">
        <f ca="1">IFERROR(__xludf.DUMMYFUNCTION("""COMPUTED_VALUE"""),"3. Operación")</f>
        <v>3. Operación</v>
      </c>
      <c r="D741" s="42" t="str">
        <f ca="1">IFERROR(__xludf.DUMMYFUNCTION("""COMPUTED_VALUE"""),"Guadalajara en Paz")</f>
        <v>Guadalajara en Paz</v>
      </c>
      <c r="E741" s="42" t="str">
        <f ca="1">IFERROR(__xludf.DUMMYFUNCTION("""COMPUTED_VALUE"""),"Asistencia Alimentaria y Nutrición")</f>
        <v>Asistencia Alimentaria y Nutrición</v>
      </c>
      <c r="F741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741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741" s="42" t="str">
        <f ca="1">IFERROR(__xludf.DUMMYFUNCTION("""COMPUTED_VALUE"""),"AH DICIEMBRE")</f>
        <v>AH DICIEMBRE</v>
      </c>
      <c r="I741" s="42" t="str">
        <f ca="1">IFERROR(__xludf.DUMMYFUNCTION("""COMPUTED_VALUE"""),"Diciembre")</f>
        <v>Diciembre</v>
      </c>
      <c r="J741" s="42" t="str">
        <f ca="1">IFERROR(__xludf.DUMMYFUNCTION("""COMPUTED_VALUE"""),"AH")</f>
        <v>AH</v>
      </c>
      <c r="K741" s="98"/>
      <c r="L741" s="42" t="str">
        <f ca="1">IFERROR(__xludf.DUMMYFUNCTION("""COMPUTED_VALUE"""),"TRIMESTRE 4")</f>
        <v>TRIMESTRE 4</v>
      </c>
      <c r="M741" s="42" t="str">
        <f ca="1">IFERROR(__xludf.DUMMYFUNCTION("""COMPUTED_VALUE"""),"ADOLESCENTES HOMBRES")</f>
        <v>ADOLESCENTES HOMBRES</v>
      </c>
    </row>
    <row r="742" spans="1:13">
      <c r="A742" s="42" t="str">
        <f ca="1">IFERROR(__xludf.DUMMYFUNCTION("""COMPUTED_VALUE"""),"2.1.1.4")</f>
        <v>2.1.1.4</v>
      </c>
      <c r="B742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42" s="42" t="str">
        <f ca="1">IFERROR(__xludf.DUMMYFUNCTION("""COMPUTED_VALUE"""),"3. Operación")</f>
        <v>3. Operación</v>
      </c>
      <c r="D742" s="42" t="str">
        <f ca="1">IFERROR(__xludf.DUMMYFUNCTION("""COMPUTED_VALUE"""),"Guadalajara en Paz")</f>
        <v>Guadalajara en Paz</v>
      </c>
      <c r="E742" s="42" t="str">
        <f ca="1">IFERROR(__xludf.DUMMYFUNCTION("""COMPUTED_VALUE"""),"Asistencia Alimentaria y Nutrición")</f>
        <v>Asistencia Alimentaria y Nutrición</v>
      </c>
      <c r="F742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742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742" s="42" t="str">
        <f ca="1">IFERROR(__xludf.DUMMYFUNCTION("""COMPUTED_VALUE"""),"MUJ Diciembre")</f>
        <v>MUJ Diciembre</v>
      </c>
      <c r="I742" s="42" t="str">
        <f ca="1">IFERROR(__xludf.DUMMYFUNCTION("""COMPUTED_VALUE"""),"Diciembre")</f>
        <v>Diciembre</v>
      </c>
      <c r="J742" s="42" t="str">
        <f ca="1">IFERROR(__xludf.DUMMYFUNCTION("""COMPUTED_VALUE"""),"MUJ")</f>
        <v>MUJ</v>
      </c>
      <c r="K742" s="98"/>
      <c r="L742" s="42" t="str">
        <f ca="1">IFERROR(__xludf.DUMMYFUNCTION("""COMPUTED_VALUE"""),"TRIMESTRE 4")</f>
        <v>TRIMESTRE 4</v>
      </c>
      <c r="M742" s="42" t="str">
        <f ca="1">IFERROR(__xludf.DUMMYFUNCTION("""COMPUTED_VALUE"""),"MUJERES ADULTAS")</f>
        <v>MUJERES ADULTAS</v>
      </c>
    </row>
    <row r="743" spans="1:13">
      <c r="A743" s="42" t="str">
        <f ca="1">IFERROR(__xludf.DUMMYFUNCTION("""COMPUTED_VALUE"""),"2.1.1.4")</f>
        <v>2.1.1.4</v>
      </c>
      <c r="B743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43" s="42" t="str">
        <f ca="1">IFERROR(__xludf.DUMMYFUNCTION("""COMPUTED_VALUE"""),"3. Operación")</f>
        <v>3. Operación</v>
      </c>
      <c r="D743" s="42" t="str">
        <f ca="1">IFERROR(__xludf.DUMMYFUNCTION("""COMPUTED_VALUE"""),"Guadalajara en Paz")</f>
        <v>Guadalajara en Paz</v>
      </c>
      <c r="E743" s="42" t="str">
        <f ca="1">IFERROR(__xludf.DUMMYFUNCTION("""COMPUTED_VALUE"""),"Asistencia Alimentaria y Nutrición")</f>
        <v>Asistencia Alimentaria y Nutrición</v>
      </c>
      <c r="F743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743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743" s="42" t="str">
        <f ca="1">IFERROR(__xludf.DUMMYFUNCTION("""COMPUTED_VALUE"""),"HOM Diciembre")</f>
        <v>HOM Diciembre</v>
      </c>
      <c r="I743" s="42" t="str">
        <f ca="1">IFERROR(__xludf.DUMMYFUNCTION("""COMPUTED_VALUE"""),"Diciembre")</f>
        <v>Diciembre</v>
      </c>
      <c r="J743" s="42" t="str">
        <f ca="1">IFERROR(__xludf.DUMMYFUNCTION("""COMPUTED_VALUE"""),"HOM")</f>
        <v>HOM</v>
      </c>
      <c r="K743" s="98"/>
      <c r="L743" s="42" t="str">
        <f ca="1">IFERROR(__xludf.DUMMYFUNCTION("""COMPUTED_VALUE"""),"TRIMESTRE 4")</f>
        <v>TRIMESTRE 4</v>
      </c>
      <c r="M743" s="42" t="str">
        <f ca="1">IFERROR(__xludf.DUMMYFUNCTION("""COMPUTED_VALUE"""),"HOMBRES ADULTOS")</f>
        <v>HOMBRES ADULTOS</v>
      </c>
    </row>
    <row r="744" spans="1:13">
      <c r="A744" s="42" t="str">
        <f ca="1">IFERROR(__xludf.DUMMYFUNCTION("""COMPUTED_VALUE"""),"2.1.1.4")</f>
        <v>2.1.1.4</v>
      </c>
      <c r="B744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44" s="42" t="str">
        <f ca="1">IFERROR(__xludf.DUMMYFUNCTION("""COMPUTED_VALUE"""),"3. Operación")</f>
        <v>3. Operación</v>
      </c>
      <c r="D744" s="42" t="str">
        <f ca="1">IFERROR(__xludf.DUMMYFUNCTION("""COMPUTED_VALUE"""),"Guadalajara en Paz")</f>
        <v>Guadalajara en Paz</v>
      </c>
      <c r="E744" s="42" t="str">
        <f ca="1">IFERROR(__xludf.DUMMYFUNCTION("""COMPUTED_VALUE"""),"Asistencia Alimentaria y Nutrición")</f>
        <v>Asistencia Alimentaria y Nutrición</v>
      </c>
      <c r="F744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744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744" s="42" t="str">
        <f ca="1">IFERROR(__xludf.DUMMYFUNCTION("""COMPUTED_VALUE"""),"AMM Diciembre")</f>
        <v>AMM Diciembre</v>
      </c>
      <c r="I744" s="42" t="str">
        <f ca="1">IFERROR(__xludf.DUMMYFUNCTION("""COMPUTED_VALUE"""),"Diciembre")</f>
        <v>Diciembre</v>
      </c>
      <c r="J744" s="42" t="str">
        <f ca="1">IFERROR(__xludf.DUMMYFUNCTION("""COMPUTED_VALUE"""),"AMM")</f>
        <v>AMM</v>
      </c>
      <c r="K744" s="98"/>
      <c r="L744" s="42" t="str">
        <f ca="1">IFERROR(__xludf.DUMMYFUNCTION("""COMPUTED_VALUE"""),"TRIMESTRE 4")</f>
        <v>TRIMESTRE 4</v>
      </c>
      <c r="M744" s="42" t="str">
        <f ca="1">IFERROR(__xludf.DUMMYFUNCTION("""COMPUTED_VALUE"""),"ADULTA MAYOR MUJER")</f>
        <v>ADULTA MAYOR MUJER</v>
      </c>
    </row>
    <row r="745" spans="1:13">
      <c r="A745" s="42" t="str">
        <f ca="1">IFERROR(__xludf.DUMMYFUNCTION("""COMPUTED_VALUE"""),"2.1.1.4")</f>
        <v>2.1.1.4</v>
      </c>
      <c r="B745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45" s="42" t="str">
        <f ca="1">IFERROR(__xludf.DUMMYFUNCTION("""COMPUTED_VALUE"""),"3. Operación")</f>
        <v>3. Operación</v>
      </c>
      <c r="D745" s="42" t="str">
        <f ca="1">IFERROR(__xludf.DUMMYFUNCTION("""COMPUTED_VALUE"""),"Guadalajara en Paz")</f>
        <v>Guadalajara en Paz</v>
      </c>
      <c r="E745" s="42" t="str">
        <f ca="1">IFERROR(__xludf.DUMMYFUNCTION("""COMPUTED_VALUE"""),"Asistencia Alimentaria y Nutrición")</f>
        <v>Asistencia Alimentaria y Nutrición</v>
      </c>
      <c r="F745" s="42" t="str">
        <f ca="1">IFERROR(__xludf.DUMMYFUNCTION("""COMPUTED_VALUE"""),"A4C1. Alimentos nutritivos e inocuos entregados a la población con inseguridad alimentaria en el municipio de Guadalajara ")</f>
        <v xml:space="preserve">A4C1. Alimentos nutritivos e inocuos entregados a la población con inseguridad alimentaria en el municipio de Guadalajara </v>
      </c>
      <c r="G745" s="42" t="str">
        <f ca="1">IFERROR(__xludf.DUMMYFUNCTION("""COMPUTED_VALUE"""),"Porcentaje de personas con inseguridad alimentaria que es atendida por el programa de  Atención Alimentaria, en 2023")</f>
        <v>Porcentaje de personas con inseguridad alimentaria que es atendida por el programa de  Atención Alimentaria, en 2023</v>
      </c>
      <c r="H745" s="42" t="str">
        <f ca="1">IFERROR(__xludf.DUMMYFUNCTION("""COMPUTED_VALUE"""),"AMH Diciembre")</f>
        <v>AMH Diciembre</v>
      </c>
      <c r="I745" s="42" t="str">
        <f ca="1">IFERROR(__xludf.DUMMYFUNCTION("""COMPUTED_VALUE"""),"Diciembre")</f>
        <v>Diciembre</v>
      </c>
      <c r="J745" s="42" t="str">
        <f ca="1">IFERROR(__xludf.DUMMYFUNCTION("""COMPUTED_VALUE"""),"AMH")</f>
        <v>AMH</v>
      </c>
      <c r="K745" s="98"/>
      <c r="L745" s="42" t="str">
        <f ca="1">IFERROR(__xludf.DUMMYFUNCTION("""COMPUTED_VALUE"""),"TRIMESTRE 4")</f>
        <v>TRIMESTRE 4</v>
      </c>
      <c r="M745" s="42" t="str">
        <f ca="1">IFERROR(__xludf.DUMMYFUNCTION("""COMPUTED_VALUE"""),"ADULTO MAYOR HOMBRE")</f>
        <v>ADULTO MAYOR HOMBRE</v>
      </c>
    </row>
    <row r="746" spans="1:13">
      <c r="A746" s="42" t="str">
        <f ca="1">IFERROR(__xludf.DUMMYFUNCTION("""COMPUTED_VALUE"""),"2.1.1.5")</f>
        <v>2.1.1.5</v>
      </c>
      <c r="B746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46" s="42" t="str">
        <f ca="1">IFERROR(__xludf.DUMMYFUNCTION("""COMPUTED_VALUE"""),"3. Operación")</f>
        <v>3. Operación</v>
      </c>
      <c r="D746" s="42" t="str">
        <f ca="1">IFERROR(__xludf.DUMMYFUNCTION("""COMPUTED_VALUE"""),"Guadalajara en Paz")</f>
        <v>Guadalajara en Paz</v>
      </c>
      <c r="E746" s="42" t="str">
        <f ca="1">IFERROR(__xludf.DUMMYFUNCTION("""COMPUTED_VALUE"""),"Asistencia Alimentaria y Nutrición")</f>
        <v>Asistencia Alimentaria y Nutrición</v>
      </c>
      <c r="F746" s="42" t="str">
        <f ca="1">IFERROR(__xludf.DUMMYFUNCTION("""COMPUTED_VALUE"""),"A5C1. Apoyos del Programa de Alimentación Escolar entregados en 2023")</f>
        <v>A5C1. Apoyos del Programa de Alimentación Escolar entregados en 2023</v>
      </c>
      <c r="G746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746" s="42" t="str">
        <f ca="1">IFERROR(__xludf.DUMMYFUNCTION("""COMPUTED_VALUE"""),"NAS Diciembre")</f>
        <v>NAS Diciembre</v>
      </c>
      <c r="I746" s="42" t="str">
        <f ca="1">IFERROR(__xludf.DUMMYFUNCTION("""COMPUTED_VALUE"""),"Diciembre")</f>
        <v>Diciembre</v>
      </c>
      <c r="J746" s="42" t="str">
        <f ca="1">IFERROR(__xludf.DUMMYFUNCTION("""COMPUTED_VALUE"""),"NAS")</f>
        <v>NAS</v>
      </c>
      <c r="K746" s="98"/>
      <c r="L746" s="42" t="str">
        <f ca="1">IFERROR(__xludf.DUMMYFUNCTION("""COMPUTED_VALUE"""),"TRIMESTRE 4")</f>
        <v>TRIMESTRE 4</v>
      </c>
      <c r="M746" s="42" t="str">
        <f ca="1">IFERROR(__xludf.DUMMYFUNCTION("""COMPUTED_VALUE"""),"NIÑAS")</f>
        <v>NIÑAS</v>
      </c>
    </row>
    <row r="747" spans="1:13">
      <c r="A747" s="42" t="str">
        <f ca="1">IFERROR(__xludf.DUMMYFUNCTION("""COMPUTED_VALUE"""),"2.1.1.5")</f>
        <v>2.1.1.5</v>
      </c>
      <c r="B747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47" s="42" t="str">
        <f ca="1">IFERROR(__xludf.DUMMYFUNCTION("""COMPUTED_VALUE"""),"3. Operación")</f>
        <v>3. Operación</v>
      </c>
      <c r="D747" s="42" t="str">
        <f ca="1">IFERROR(__xludf.DUMMYFUNCTION("""COMPUTED_VALUE"""),"Guadalajara en Paz")</f>
        <v>Guadalajara en Paz</v>
      </c>
      <c r="E747" s="42" t="str">
        <f ca="1">IFERROR(__xludf.DUMMYFUNCTION("""COMPUTED_VALUE"""),"Asistencia Alimentaria y Nutrición")</f>
        <v>Asistencia Alimentaria y Nutrición</v>
      </c>
      <c r="F747" s="42" t="str">
        <f ca="1">IFERROR(__xludf.DUMMYFUNCTION("""COMPUTED_VALUE"""),"A5C1. Apoyos del Programa de Alimentación Escolar entregados en 2023")</f>
        <v>A5C1. Apoyos del Programa de Alimentación Escolar entregados en 2023</v>
      </c>
      <c r="G747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747" s="42" t="str">
        <f ca="1">IFERROR(__xludf.DUMMYFUNCTION("""COMPUTED_VALUE"""),"NOS Diciembre")</f>
        <v>NOS Diciembre</v>
      </c>
      <c r="I747" s="42" t="str">
        <f ca="1">IFERROR(__xludf.DUMMYFUNCTION("""COMPUTED_VALUE"""),"Diciembre")</f>
        <v>Diciembre</v>
      </c>
      <c r="J747" s="42" t="str">
        <f ca="1">IFERROR(__xludf.DUMMYFUNCTION("""COMPUTED_VALUE"""),"NOS")</f>
        <v>NOS</v>
      </c>
      <c r="K747" s="98"/>
      <c r="L747" s="42" t="str">
        <f ca="1">IFERROR(__xludf.DUMMYFUNCTION("""COMPUTED_VALUE"""),"TRIMESTRE 4")</f>
        <v>TRIMESTRE 4</v>
      </c>
      <c r="M747" s="42" t="str">
        <f ca="1">IFERROR(__xludf.DUMMYFUNCTION("""COMPUTED_VALUE"""),"NIÑOS")</f>
        <v>NIÑOS</v>
      </c>
    </row>
    <row r="748" spans="1:13">
      <c r="A748" s="42" t="str">
        <f ca="1">IFERROR(__xludf.DUMMYFUNCTION("""COMPUTED_VALUE"""),"2.1.1.5")</f>
        <v>2.1.1.5</v>
      </c>
      <c r="B748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48" s="42" t="str">
        <f ca="1">IFERROR(__xludf.DUMMYFUNCTION("""COMPUTED_VALUE"""),"3. Operación")</f>
        <v>3. Operación</v>
      </c>
      <c r="D748" s="42" t="str">
        <f ca="1">IFERROR(__xludf.DUMMYFUNCTION("""COMPUTED_VALUE"""),"Guadalajara en Paz")</f>
        <v>Guadalajara en Paz</v>
      </c>
      <c r="E748" s="42" t="str">
        <f ca="1">IFERROR(__xludf.DUMMYFUNCTION("""COMPUTED_VALUE"""),"Asistencia Alimentaria y Nutrición")</f>
        <v>Asistencia Alimentaria y Nutrición</v>
      </c>
      <c r="F748" s="42" t="str">
        <f ca="1">IFERROR(__xludf.DUMMYFUNCTION("""COMPUTED_VALUE"""),"A5C1. Apoyos del Programa de Alimentación Escolar entregados en 2023")</f>
        <v>A5C1. Apoyos del Programa de Alimentación Escolar entregados en 2023</v>
      </c>
      <c r="G748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748" s="42" t="str">
        <f ca="1">IFERROR(__xludf.DUMMYFUNCTION("""COMPUTED_VALUE"""),"AM DICIEMBRE")</f>
        <v>AM DICIEMBRE</v>
      </c>
      <c r="I748" s="42" t="str">
        <f ca="1">IFERROR(__xludf.DUMMYFUNCTION("""COMPUTED_VALUE"""),"Diciembre")</f>
        <v>Diciembre</v>
      </c>
      <c r="J748" s="42" t="str">
        <f ca="1">IFERROR(__xludf.DUMMYFUNCTION("""COMPUTED_VALUE"""),"AM")</f>
        <v>AM</v>
      </c>
      <c r="K748" s="98"/>
      <c r="L748" s="42" t="str">
        <f ca="1">IFERROR(__xludf.DUMMYFUNCTION("""COMPUTED_VALUE"""),"TRIMESTRE 4")</f>
        <v>TRIMESTRE 4</v>
      </c>
      <c r="M748" s="42" t="str">
        <f ca="1">IFERROR(__xludf.DUMMYFUNCTION("""COMPUTED_VALUE"""),"ADOLESCENTES MUJERES")</f>
        <v>ADOLESCENTES MUJERES</v>
      </c>
    </row>
    <row r="749" spans="1:13">
      <c r="A749" s="42" t="str">
        <f ca="1">IFERROR(__xludf.DUMMYFUNCTION("""COMPUTED_VALUE"""),"2.1.1.5")</f>
        <v>2.1.1.5</v>
      </c>
      <c r="B749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49" s="42" t="str">
        <f ca="1">IFERROR(__xludf.DUMMYFUNCTION("""COMPUTED_VALUE"""),"3. Operación")</f>
        <v>3. Operación</v>
      </c>
      <c r="D749" s="42" t="str">
        <f ca="1">IFERROR(__xludf.DUMMYFUNCTION("""COMPUTED_VALUE"""),"Guadalajara en Paz")</f>
        <v>Guadalajara en Paz</v>
      </c>
      <c r="E749" s="42" t="str">
        <f ca="1">IFERROR(__xludf.DUMMYFUNCTION("""COMPUTED_VALUE"""),"Asistencia Alimentaria y Nutrición")</f>
        <v>Asistencia Alimentaria y Nutrición</v>
      </c>
      <c r="F749" s="42" t="str">
        <f ca="1">IFERROR(__xludf.DUMMYFUNCTION("""COMPUTED_VALUE"""),"A5C1. Apoyos del Programa de Alimentación Escolar entregados en 2023")</f>
        <v>A5C1. Apoyos del Programa de Alimentación Escolar entregados en 2023</v>
      </c>
      <c r="G749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749" s="42" t="str">
        <f ca="1">IFERROR(__xludf.DUMMYFUNCTION("""COMPUTED_VALUE"""),"AH DICIEMBRE")</f>
        <v>AH DICIEMBRE</v>
      </c>
      <c r="I749" s="42" t="str">
        <f ca="1">IFERROR(__xludf.DUMMYFUNCTION("""COMPUTED_VALUE"""),"Diciembre")</f>
        <v>Diciembre</v>
      </c>
      <c r="J749" s="42" t="str">
        <f ca="1">IFERROR(__xludf.DUMMYFUNCTION("""COMPUTED_VALUE"""),"AH")</f>
        <v>AH</v>
      </c>
      <c r="K749" s="98"/>
      <c r="L749" s="42" t="str">
        <f ca="1">IFERROR(__xludf.DUMMYFUNCTION("""COMPUTED_VALUE"""),"TRIMESTRE 4")</f>
        <v>TRIMESTRE 4</v>
      </c>
      <c r="M749" s="42" t="str">
        <f ca="1">IFERROR(__xludf.DUMMYFUNCTION("""COMPUTED_VALUE"""),"ADOLESCENTES HOMBRES")</f>
        <v>ADOLESCENTES HOMBRES</v>
      </c>
    </row>
    <row r="750" spans="1:13">
      <c r="A750" s="42" t="str">
        <f ca="1">IFERROR(__xludf.DUMMYFUNCTION("""COMPUTED_VALUE"""),"2.1.1.5")</f>
        <v>2.1.1.5</v>
      </c>
      <c r="B750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50" s="42" t="str">
        <f ca="1">IFERROR(__xludf.DUMMYFUNCTION("""COMPUTED_VALUE"""),"3. Operación")</f>
        <v>3. Operación</v>
      </c>
      <c r="D750" s="42" t="str">
        <f ca="1">IFERROR(__xludf.DUMMYFUNCTION("""COMPUTED_VALUE"""),"Guadalajara en Paz")</f>
        <v>Guadalajara en Paz</v>
      </c>
      <c r="E750" s="42" t="str">
        <f ca="1">IFERROR(__xludf.DUMMYFUNCTION("""COMPUTED_VALUE"""),"Asistencia Alimentaria y Nutrición")</f>
        <v>Asistencia Alimentaria y Nutrición</v>
      </c>
      <c r="F750" s="42" t="str">
        <f ca="1">IFERROR(__xludf.DUMMYFUNCTION("""COMPUTED_VALUE"""),"A5C1. Apoyos del Programa de Alimentación Escolar entregados en 2023")</f>
        <v>A5C1. Apoyos del Programa de Alimentación Escolar entregados en 2023</v>
      </c>
      <c r="G750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750" s="42" t="str">
        <f ca="1">IFERROR(__xludf.DUMMYFUNCTION("""COMPUTED_VALUE"""),"MUJ Diciembre")</f>
        <v>MUJ Diciembre</v>
      </c>
      <c r="I750" s="42" t="str">
        <f ca="1">IFERROR(__xludf.DUMMYFUNCTION("""COMPUTED_VALUE"""),"Diciembre")</f>
        <v>Diciembre</v>
      </c>
      <c r="J750" s="42" t="str">
        <f ca="1">IFERROR(__xludf.DUMMYFUNCTION("""COMPUTED_VALUE"""),"MUJ")</f>
        <v>MUJ</v>
      </c>
      <c r="K750" s="98"/>
      <c r="L750" s="42" t="str">
        <f ca="1">IFERROR(__xludf.DUMMYFUNCTION("""COMPUTED_VALUE"""),"TRIMESTRE 4")</f>
        <v>TRIMESTRE 4</v>
      </c>
      <c r="M750" s="42" t="str">
        <f ca="1">IFERROR(__xludf.DUMMYFUNCTION("""COMPUTED_VALUE"""),"MUJERES ADULTAS")</f>
        <v>MUJERES ADULTAS</v>
      </c>
    </row>
    <row r="751" spans="1:13">
      <c r="A751" s="42" t="str">
        <f ca="1">IFERROR(__xludf.DUMMYFUNCTION("""COMPUTED_VALUE"""),"2.1.1.5")</f>
        <v>2.1.1.5</v>
      </c>
      <c r="B751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51" s="42" t="str">
        <f ca="1">IFERROR(__xludf.DUMMYFUNCTION("""COMPUTED_VALUE"""),"3. Operación")</f>
        <v>3. Operación</v>
      </c>
      <c r="D751" s="42" t="str">
        <f ca="1">IFERROR(__xludf.DUMMYFUNCTION("""COMPUTED_VALUE"""),"Guadalajara en Paz")</f>
        <v>Guadalajara en Paz</v>
      </c>
      <c r="E751" s="42" t="str">
        <f ca="1">IFERROR(__xludf.DUMMYFUNCTION("""COMPUTED_VALUE"""),"Asistencia Alimentaria y Nutrición")</f>
        <v>Asistencia Alimentaria y Nutrición</v>
      </c>
      <c r="F751" s="42" t="str">
        <f ca="1">IFERROR(__xludf.DUMMYFUNCTION("""COMPUTED_VALUE"""),"A5C1. Apoyos del Programa de Alimentación Escolar entregados en 2023")</f>
        <v>A5C1. Apoyos del Programa de Alimentación Escolar entregados en 2023</v>
      </c>
      <c r="G751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751" s="42" t="str">
        <f ca="1">IFERROR(__xludf.DUMMYFUNCTION("""COMPUTED_VALUE"""),"HOM Diciembre")</f>
        <v>HOM Diciembre</v>
      </c>
      <c r="I751" s="42" t="str">
        <f ca="1">IFERROR(__xludf.DUMMYFUNCTION("""COMPUTED_VALUE"""),"Diciembre")</f>
        <v>Diciembre</v>
      </c>
      <c r="J751" s="42" t="str">
        <f ca="1">IFERROR(__xludf.DUMMYFUNCTION("""COMPUTED_VALUE"""),"HOM")</f>
        <v>HOM</v>
      </c>
      <c r="K751" s="98"/>
      <c r="L751" s="42" t="str">
        <f ca="1">IFERROR(__xludf.DUMMYFUNCTION("""COMPUTED_VALUE"""),"TRIMESTRE 4")</f>
        <v>TRIMESTRE 4</v>
      </c>
      <c r="M751" s="42" t="str">
        <f ca="1">IFERROR(__xludf.DUMMYFUNCTION("""COMPUTED_VALUE"""),"HOMBRES ADULTOS")</f>
        <v>HOMBRES ADULTOS</v>
      </c>
    </row>
    <row r="752" spans="1:13">
      <c r="A752" s="42" t="str">
        <f ca="1">IFERROR(__xludf.DUMMYFUNCTION("""COMPUTED_VALUE"""),"2.1.1.5")</f>
        <v>2.1.1.5</v>
      </c>
      <c r="B752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52" s="42" t="str">
        <f ca="1">IFERROR(__xludf.DUMMYFUNCTION("""COMPUTED_VALUE"""),"3. Operación")</f>
        <v>3. Operación</v>
      </c>
      <c r="D752" s="42" t="str">
        <f ca="1">IFERROR(__xludf.DUMMYFUNCTION("""COMPUTED_VALUE"""),"Guadalajara en Paz")</f>
        <v>Guadalajara en Paz</v>
      </c>
      <c r="E752" s="42" t="str">
        <f ca="1">IFERROR(__xludf.DUMMYFUNCTION("""COMPUTED_VALUE"""),"Asistencia Alimentaria y Nutrición")</f>
        <v>Asistencia Alimentaria y Nutrición</v>
      </c>
      <c r="F752" s="42" t="str">
        <f ca="1">IFERROR(__xludf.DUMMYFUNCTION("""COMPUTED_VALUE"""),"A5C1. Apoyos del Programa de Alimentación Escolar entregados en 2023")</f>
        <v>A5C1. Apoyos del Programa de Alimentación Escolar entregados en 2023</v>
      </c>
      <c r="G752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752" s="42" t="str">
        <f ca="1">IFERROR(__xludf.DUMMYFUNCTION("""COMPUTED_VALUE"""),"AMM Diciembre")</f>
        <v>AMM Diciembre</v>
      </c>
      <c r="I752" s="42" t="str">
        <f ca="1">IFERROR(__xludf.DUMMYFUNCTION("""COMPUTED_VALUE"""),"Diciembre")</f>
        <v>Diciembre</v>
      </c>
      <c r="J752" s="42" t="str">
        <f ca="1">IFERROR(__xludf.DUMMYFUNCTION("""COMPUTED_VALUE"""),"AMM")</f>
        <v>AMM</v>
      </c>
      <c r="K752" s="98"/>
      <c r="L752" s="42" t="str">
        <f ca="1">IFERROR(__xludf.DUMMYFUNCTION("""COMPUTED_VALUE"""),"TRIMESTRE 4")</f>
        <v>TRIMESTRE 4</v>
      </c>
      <c r="M752" s="42" t="str">
        <f ca="1">IFERROR(__xludf.DUMMYFUNCTION("""COMPUTED_VALUE"""),"ADULTA MAYOR MUJER")</f>
        <v>ADULTA MAYOR MUJER</v>
      </c>
    </row>
    <row r="753" spans="1:13">
      <c r="A753" s="42" t="str">
        <f ca="1">IFERROR(__xludf.DUMMYFUNCTION("""COMPUTED_VALUE"""),"2.1.1.5")</f>
        <v>2.1.1.5</v>
      </c>
      <c r="B753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53" s="42" t="str">
        <f ca="1">IFERROR(__xludf.DUMMYFUNCTION("""COMPUTED_VALUE"""),"3. Operación")</f>
        <v>3. Operación</v>
      </c>
      <c r="D753" s="42" t="str">
        <f ca="1">IFERROR(__xludf.DUMMYFUNCTION("""COMPUTED_VALUE"""),"Guadalajara en Paz")</f>
        <v>Guadalajara en Paz</v>
      </c>
      <c r="E753" s="42" t="str">
        <f ca="1">IFERROR(__xludf.DUMMYFUNCTION("""COMPUTED_VALUE"""),"Asistencia Alimentaria y Nutrición")</f>
        <v>Asistencia Alimentaria y Nutrición</v>
      </c>
      <c r="F753" s="42" t="str">
        <f ca="1">IFERROR(__xludf.DUMMYFUNCTION("""COMPUTED_VALUE"""),"A5C1. Apoyos del Programa de Alimentación Escolar entregados en 2023")</f>
        <v>A5C1. Apoyos del Programa de Alimentación Escolar entregados en 2023</v>
      </c>
      <c r="G753" s="42" t="str">
        <f ca="1">IFERROR(__xludf.DUMMYFUNCTION("""COMPUTED_VALUE"""),"Apoyos entregados a personas con inseguridad alimentaria del Programa de Alimentación Escolar, en 2023")</f>
        <v>Apoyos entregados a personas con inseguridad alimentaria del Programa de Alimentación Escolar, en 2023</v>
      </c>
      <c r="H753" s="42" t="str">
        <f ca="1">IFERROR(__xludf.DUMMYFUNCTION("""COMPUTED_VALUE"""),"AMH Diciembre")</f>
        <v>AMH Diciembre</v>
      </c>
      <c r="I753" s="42" t="str">
        <f ca="1">IFERROR(__xludf.DUMMYFUNCTION("""COMPUTED_VALUE"""),"Diciembre")</f>
        <v>Diciembre</v>
      </c>
      <c r="J753" s="42" t="str">
        <f ca="1">IFERROR(__xludf.DUMMYFUNCTION("""COMPUTED_VALUE"""),"AMH")</f>
        <v>AMH</v>
      </c>
      <c r="K753" s="98"/>
      <c r="L753" s="42" t="str">
        <f ca="1">IFERROR(__xludf.DUMMYFUNCTION("""COMPUTED_VALUE"""),"TRIMESTRE 4")</f>
        <v>TRIMESTRE 4</v>
      </c>
      <c r="M753" s="42" t="str">
        <f ca="1">IFERROR(__xludf.DUMMYFUNCTION("""COMPUTED_VALUE"""),"ADULTO MAYOR HOMBRE")</f>
        <v>ADULTO MAYOR HOMBRE</v>
      </c>
    </row>
    <row r="754" spans="1:13">
      <c r="A754" s="42" t="str">
        <f ca="1">IFERROR(__xludf.DUMMYFUNCTION("""COMPUTED_VALUE"""),"2.1.1.6")</f>
        <v>2.1.1.6</v>
      </c>
      <c r="B754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54" s="42" t="str">
        <f ca="1">IFERROR(__xludf.DUMMYFUNCTION("""COMPUTED_VALUE"""),"3. Operación")</f>
        <v>3. Operación</v>
      </c>
      <c r="D754" s="42" t="str">
        <f ca="1">IFERROR(__xludf.DUMMYFUNCTION("""COMPUTED_VALUE"""),"Guadalajara en Paz")</f>
        <v>Guadalajara en Paz</v>
      </c>
      <c r="E754" s="42" t="str">
        <f ca="1">IFERROR(__xludf.DUMMYFUNCTION("""COMPUTED_VALUE"""),"Asistencia Alimentaria y Nutrición")</f>
        <v>Asistencia Alimentaria y Nutrición</v>
      </c>
      <c r="F754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754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754" s="42" t="str">
        <f ca="1">IFERROR(__xludf.DUMMYFUNCTION("""COMPUTED_VALUE"""),"NAS Diciembre")</f>
        <v>NAS Diciembre</v>
      </c>
      <c r="I754" s="42" t="str">
        <f ca="1">IFERROR(__xludf.DUMMYFUNCTION("""COMPUTED_VALUE"""),"Diciembre")</f>
        <v>Diciembre</v>
      </c>
      <c r="J754" s="42" t="str">
        <f ca="1">IFERROR(__xludf.DUMMYFUNCTION("""COMPUTED_VALUE"""),"NAS")</f>
        <v>NAS</v>
      </c>
      <c r="K754" s="98"/>
      <c r="L754" s="42" t="str">
        <f ca="1">IFERROR(__xludf.DUMMYFUNCTION("""COMPUTED_VALUE"""),"TRIMESTRE 4")</f>
        <v>TRIMESTRE 4</v>
      </c>
      <c r="M754" s="42" t="str">
        <f ca="1">IFERROR(__xludf.DUMMYFUNCTION("""COMPUTED_VALUE"""),"NIÑAS")</f>
        <v>NIÑAS</v>
      </c>
    </row>
    <row r="755" spans="1:13">
      <c r="A755" s="42" t="str">
        <f ca="1">IFERROR(__xludf.DUMMYFUNCTION("""COMPUTED_VALUE"""),"2.1.1.6")</f>
        <v>2.1.1.6</v>
      </c>
      <c r="B755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55" s="42" t="str">
        <f ca="1">IFERROR(__xludf.DUMMYFUNCTION("""COMPUTED_VALUE"""),"3. Operación")</f>
        <v>3. Operación</v>
      </c>
      <c r="D755" s="42" t="str">
        <f ca="1">IFERROR(__xludf.DUMMYFUNCTION("""COMPUTED_VALUE"""),"Guadalajara en Paz")</f>
        <v>Guadalajara en Paz</v>
      </c>
      <c r="E755" s="42" t="str">
        <f ca="1">IFERROR(__xludf.DUMMYFUNCTION("""COMPUTED_VALUE"""),"Asistencia Alimentaria y Nutrición")</f>
        <v>Asistencia Alimentaria y Nutrición</v>
      </c>
      <c r="F755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755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755" s="42" t="str">
        <f ca="1">IFERROR(__xludf.DUMMYFUNCTION("""COMPUTED_VALUE"""),"NOS Diciembre")</f>
        <v>NOS Diciembre</v>
      </c>
      <c r="I755" s="42" t="str">
        <f ca="1">IFERROR(__xludf.DUMMYFUNCTION("""COMPUTED_VALUE"""),"Diciembre")</f>
        <v>Diciembre</v>
      </c>
      <c r="J755" s="42" t="str">
        <f ca="1">IFERROR(__xludf.DUMMYFUNCTION("""COMPUTED_VALUE"""),"NOS")</f>
        <v>NOS</v>
      </c>
      <c r="K755" s="98"/>
      <c r="L755" s="42" t="str">
        <f ca="1">IFERROR(__xludf.DUMMYFUNCTION("""COMPUTED_VALUE"""),"TRIMESTRE 4")</f>
        <v>TRIMESTRE 4</v>
      </c>
      <c r="M755" s="42" t="str">
        <f ca="1">IFERROR(__xludf.DUMMYFUNCTION("""COMPUTED_VALUE"""),"NIÑOS")</f>
        <v>NIÑOS</v>
      </c>
    </row>
    <row r="756" spans="1:13">
      <c r="A756" s="42" t="str">
        <f ca="1">IFERROR(__xludf.DUMMYFUNCTION("""COMPUTED_VALUE"""),"2.1.1.6")</f>
        <v>2.1.1.6</v>
      </c>
      <c r="B756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56" s="42" t="str">
        <f ca="1">IFERROR(__xludf.DUMMYFUNCTION("""COMPUTED_VALUE"""),"3. Operación")</f>
        <v>3. Operación</v>
      </c>
      <c r="D756" s="42" t="str">
        <f ca="1">IFERROR(__xludf.DUMMYFUNCTION("""COMPUTED_VALUE"""),"Guadalajara en Paz")</f>
        <v>Guadalajara en Paz</v>
      </c>
      <c r="E756" s="42" t="str">
        <f ca="1">IFERROR(__xludf.DUMMYFUNCTION("""COMPUTED_VALUE"""),"Asistencia Alimentaria y Nutrición")</f>
        <v>Asistencia Alimentaria y Nutrición</v>
      </c>
      <c r="F756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756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756" s="42" t="str">
        <f ca="1">IFERROR(__xludf.DUMMYFUNCTION("""COMPUTED_VALUE"""),"AM DICIEMBRE")</f>
        <v>AM DICIEMBRE</v>
      </c>
      <c r="I756" s="42" t="str">
        <f ca="1">IFERROR(__xludf.DUMMYFUNCTION("""COMPUTED_VALUE"""),"Diciembre")</f>
        <v>Diciembre</v>
      </c>
      <c r="J756" s="42" t="str">
        <f ca="1">IFERROR(__xludf.DUMMYFUNCTION("""COMPUTED_VALUE"""),"AM")</f>
        <v>AM</v>
      </c>
      <c r="K756" s="98"/>
      <c r="L756" s="42" t="str">
        <f ca="1">IFERROR(__xludf.DUMMYFUNCTION("""COMPUTED_VALUE"""),"TRIMESTRE 4")</f>
        <v>TRIMESTRE 4</v>
      </c>
      <c r="M756" s="42" t="str">
        <f ca="1">IFERROR(__xludf.DUMMYFUNCTION("""COMPUTED_VALUE"""),"ADOLESCENTES MUJERES")</f>
        <v>ADOLESCENTES MUJERES</v>
      </c>
    </row>
    <row r="757" spans="1:13">
      <c r="A757" s="42" t="str">
        <f ca="1">IFERROR(__xludf.DUMMYFUNCTION("""COMPUTED_VALUE"""),"2.1.1.6")</f>
        <v>2.1.1.6</v>
      </c>
      <c r="B757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57" s="42" t="str">
        <f ca="1">IFERROR(__xludf.DUMMYFUNCTION("""COMPUTED_VALUE"""),"3. Operación")</f>
        <v>3. Operación</v>
      </c>
      <c r="D757" s="42" t="str">
        <f ca="1">IFERROR(__xludf.DUMMYFUNCTION("""COMPUTED_VALUE"""),"Guadalajara en Paz")</f>
        <v>Guadalajara en Paz</v>
      </c>
      <c r="E757" s="42" t="str">
        <f ca="1">IFERROR(__xludf.DUMMYFUNCTION("""COMPUTED_VALUE"""),"Asistencia Alimentaria y Nutrición")</f>
        <v>Asistencia Alimentaria y Nutrición</v>
      </c>
      <c r="F757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757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757" s="42" t="str">
        <f ca="1">IFERROR(__xludf.DUMMYFUNCTION("""COMPUTED_VALUE"""),"AH DICIEMBRE")</f>
        <v>AH DICIEMBRE</v>
      </c>
      <c r="I757" s="42" t="str">
        <f ca="1">IFERROR(__xludf.DUMMYFUNCTION("""COMPUTED_VALUE"""),"Diciembre")</f>
        <v>Diciembre</v>
      </c>
      <c r="J757" s="42" t="str">
        <f ca="1">IFERROR(__xludf.DUMMYFUNCTION("""COMPUTED_VALUE"""),"AH")</f>
        <v>AH</v>
      </c>
      <c r="K757" s="98"/>
      <c r="L757" s="42" t="str">
        <f ca="1">IFERROR(__xludf.DUMMYFUNCTION("""COMPUTED_VALUE"""),"TRIMESTRE 4")</f>
        <v>TRIMESTRE 4</v>
      </c>
      <c r="M757" s="42" t="str">
        <f ca="1">IFERROR(__xludf.DUMMYFUNCTION("""COMPUTED_VALUE"""),"ADOLESCENTES HOMBRES")</f>
        <v>ADOLESCENTES HOMBRES</v>
      </c>
    </row>
    <row r="758" spans="1:13">
      <c r="A758" s="42" t="str">
        <f ca="1">IFERROR(__xludf.DUMMYFUNCTION("""COMPUTED_VALUE"""),"2.1.1.6")</f>
        <v>2.1.1.6</v>
      </c>
      <c r="B758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58" s="42" t="str">
        <f ca="1">IFERROR(__xludf.DUMMYFUNCTION("""COMPUTED_VALUE"""),"3. Operación")</f>
        <v>3. Operación</v>
      </c>
      <c r="D758" s="42" t="str">
        <f ca="1">IFERROR(__xludf.DUMMYFUNCTION("""COMPUTED_VALUE"""),"Guadalajara en Paz")</f>
        <v>Guadalajara en Paz</v>
      </c>
      <c r="E758" s="42" t="str">
        <f ca="1">IFERROR(__xludf.DUMMYFUNCTION("""COMPUTED_VALUE"""),"Asistencia Alimentaria y Nutrición")</f>
        <v>Asistencia Alimentaria y Nutrición</v>
      </c>
      <c r="F758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758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758" s="42" t="str">
        <f ca="1">IFERROR(__xludf.DUMMYFUNCTION("""COMPUTED_VALUE"""),"MUJ Diciembre")</f>
        <v>MUJ Diciembre</v>
      </c>
      <c r="I758" s="42" t="str">
        <f ca="1">IFERROR(__xludf.DUMMYFUNCTION("""COMPUTED_VALUE"""),"Diciembre")</f>
        <v>Diciembre</v>
      </c>
      <c r="J758" s="42" t="str">
        <f ca="1">IFERROR(__xludf.DUMMYFUNCTION("""COMPUTED_VALUE"""),"MUJ")</f>
        <v>MUJ</v>
      </c>
      <c r="K758" s="98"/>
      <c r="L758" s="42" t="str">
        <f ca="1">IFERROR(__xludf.DUMMYFUNCTION("""COMPUTED_VALUE"""),"TRIMESTRE 4")</f>
        <v>TRIMESTRE 4</v>
      </c>
      <c r="M758" s="42" t="str">
        <f ca="1">IFERROR(__xludf.DUMMYFUNCTION("""COMPUTED_VALUE"""),"MUJERES ADULTAS")</f>
        <v>MUJERES ADULTAS</v>
      </c>
    </row>
    <row r="759" spans="1:13">
      <c r="A759" s="42" t="str">
        <f ca="1">IFERROR(__xludf.DUMMYFUNCTION("""COMPUTED_VALUE"""),"2.1.1.6")</f>
        <v>2.1.1.6</v>
      </c>
      <c r="B759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59" s="42" t="str">
        <f ca="1">IFERROR(__xludf.DUMMYFUNCTION("""COMPUTED_VALUE"""),"3. Operación")</f>
        <v>3. Operación</v>
      </c>
      <c r="D759" s="42" t="str">
        <f ca="1">IFERROR(__xludf.DUMMYFUNCTION("""COMPUTED_VALUE"""),"Guadalajara en Paz")</f>
        <v>Guadalajara en Paz</v>
      </c>
      <c r="E759" s="42" t="str">
        <f ca="1">IFERROR(__xludf.DUMMYFUNCTION("""COMPUTED_VALUE"""),"Asistencia Alimentaria y Nutrición")</f>
        <v>Asistencia Alimentaria y Nutrición</v>
      </c>
      <c r="F759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759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759" s="42" t="str">
        <f ca="1">IFERROR(__xludf.DUMMYFUNCTION("""COMPUTED_VALUE"""),"HOM Diciembre")</f>
        <v>HOM Diciembre</v>
      </c>
      <c r="I759" s="42" t="str">
        <f ca="1">IFERROR(__xludf.DUMMYFUNCTION("""COMPUTED_VALUE"""),"Diciembre")</f>
        <v>Diciembre</v>
      </c>
      <c r="J759" s="42" t="str">
        <f ca="1">IFERROR(__xludf.DUMMYFUNCTION("""COMPUTED_VALUE"""),"HOM")</f>
        <v>HOM</v>
      </c>
      <c r="K759" s="98"/>
      <c r="L759" s="42" t="str">
        <f ca="1">IFERROR(__xludf.DUMMYFUNCTION("""COMPUTED_VALUE"""),"TRIMESTRE 4")</f>
        <v>TRIMESTRE 4</v>
      </c>
      <c r="M759" s="42" t="str">
        <f ca="1">IFERROR(__xludf.DUMMYFUNCTION("""COMPUTED_VALUE"""),"HOMBRES ADULTOS")</f>
        <v>HOMBRES ADULTOS</v>
      </c>
    </row>
    <row r="760" spans="1:13">
      <c r="A760" s="42" t="str">
        <f ca="1">IFERROR(__xludf.DUMMYFUNCTION("""COMPUTED_VALUE"""),"2.1.1.6")</f>
        <v>2.1.1.6</v>
      </c>
      <c r="B760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60" s="42" t="str">
        <f ca="1">IFERROR(__xludf.DUMMYFUNCTION("""COMPUTED_VALUE"""),"3. Operación")</f>
        <v>3. Operación</v>
      </c>
      <c r="D760" s="42" t="str">
        <f ca="1">IFERROR(__xludf.DUMMYFUNCTION("""COMPUTED_VALUE"""),"Guadalajara en Paz")</f>
        <v>Guadalajara en Paz</v>
      </c>
      <c r="E760" s="42" t="str">
        <f ca="1">IFERROR(__xludf.DUMMYFUNCTION("""COMPUTED_VALUE"""),"Asistencia Alimentaria y Nutrición")</f>
        <v>Asistencia Alimentaria y Nutrición</v>
      </c>
      <c r="F760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760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760" s="42" t="str">
        <f ca="1">IFERROR(__xludf.DUMMYFUNCTION("""COMPUTED_VALUE"""),"AMM Diciembre")</f>
        <v>AMM Diciembre</v>
      </c>
      <c r="I760" s="42" t="str">
        <f ca="1">IFERROR(__xludf.DUMMYFUNCTION("""COMPUTED_VALUE"""),"Diciembre")</f>
        <v>Diciembre</v>
      </c>
      <c r="J760" s="42" t="str">
        <f ca="1">IFERROR(__xludf.DUMMYFUNCTION("""COMPUTED_VALUE"""),"AMM")</f>
        <v>AMM</v>
      </c>
      <c r="K760" s="98"/>
      <c r="L760" s="42" t="str">
        <f ca="1">IFERROR(__xludf.DUMMYFUNCTION("""COMPUTED_VALUE"""),"TRIMESTRE 4")</f>
        <v>TRIMESTRE 4</v>
      </c>
      <c r="M760" s="42" t="str">
        <f ca="1">IFERROR(__xludf.DUMMYFUNCTION("""COMPUTED_VALUE"""),"ADULTA MAYOR MUJER")</f>
        <v>ADULTA MAYOR MUJER</v>
      </c>
    </row>
    <row r="761" spans="1:13">
      <c r="A761" s="42" t="str">
        <f ca="1">IFERROR(__xludf.DUMMYFUNCTION("""COMPUTED_VALUE"""),"2.1.1.6")</f>
        <v>2.1.1.6</v>
      </c>
      <c r="B761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61" s="42" t="str">
        <f ca="1">IFERROR(__xludf.DUMMYFUNCTION("""COMPUTED_VALUE"""),"3. Operación")</f>
        <v>3. Operación</v>
      </c>
      <c r="D761" s="42" t="str">
        <f ca="1">IFERROR(__xludf.DUMMYFUNCTION("""COMPUTED_VALUE"""),"Guadalajara en Paz")</f>
        <v>Guadalajara en Paz</v>
      </c>
      <c r="E761" s="42" t="str">
        <f ca="1">IFERROR(__xludf.DUMMYFUNCTION("""COMPUTED_VALUE"""),"Asistencia Alimentaria y Nutrición")</f>
        <v>Asistencia Alimentaria y Nutrición</v>
      </c>
      <c r="F761" s="42" t="str">
        <f ca="1">IFERROR(__xludf.DUMMYFUNCTION("""COMPUTED_VALUE"""),"A6C1. Apoyos del Programa de Atención Alimentaria a Grupos Prioritarios entregados en 2023")</f>
        <v>A6C1. Apoyos del Programa de Atención Alimentaria a Grupos Prioritarios entregados en 2023</v>
      </c>
      <c r="G761" s="42" t="str">
        <f ca="1">IFERROR(__xludf.DUMMYFUNCTION("""COMPUTED_VALUE"""),"Apoyos entregados a personas con inseguridad alimentaria del Programa de Asistencia Alimentaria a Grupos Prioritarios, en 2023")</f>
        <v>Apoyos entregados a personas con inseguridad alimentaria del Programa de Asistencia Alimentaria a Grupos Prioritarios, en 2023</v>
      </c>
      <c r="H761" s="42" t="str">
        <f ca="1">IFERROR(__xludf.DUMMYFUNCTION("""COMPUTED_VALUE"""),"AMH Diciembre")</f>
        <v>AMH Diciembre</v>
      </c>
      <c r="I761" s="42" t="str">
        <f ca="1">IFERROR(__xludf.DUMMYFUNCTION("""COMPUTED_VALUE"""),"Diciembre")</f>
        <v>Diciembre</v>
      </c>
      <c r="J761" s="42" t="str">
        <f ca="1">IFERROR(__xludf.DUMMYFUNCTION("""COMPUTED_VALUE"""),"AMH")</f>
        <v>AMH</v>
      </c>
      <c r="K761" s="98"/>
      <c r="L761" s="42" t="str">
        <f ca="1">IFERROR(__xludf.DUMMYFUNCTION("""COMPUTED_VALUE"""),"TRIMESTRE 4")</f>
        <v>TRIMESTRE 4</v>
      </c>
      <c r="M761" s="42" t="str">
        <f ca="1">IFERROR(__xludf.DUMMYFUNCTION("""COMPUTED_VALUE"""),"ADULTO MAYOR HOMBRE")</f>
        <v>ADULTO MAYOR HOMBRE</v>
      </c>
    </row>
    <row r="762" spans="1:13">
      <c r="A762" s="42" t="str">
        <f ca="1">IFERROR(__xludf.DUMMYFUNCTION("""COMPUTED_VALUE"""),"2.1.1.7")</f>
        <v>2.1.1.7</v>
      </c>
      <c r="B762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62" s="42" t="str">
        <f ca="1">IFERROR(__xludf.DUMMYFUNCTION("""COMPUTED_VALUE"""),"3. Operación")</f>
        <v>3. Operación</v>
      </c>
      <c r="D762" s="42" t="str">
        <f ca="1">IFERROR(__xludf.DUMMYFUNCTION("""COMPUTED_VALUE"""),"Guadalajara en Paz")</f>
        <v>Guadalajara en Paz</v>
      </c>
      <c r="E762" s="42" t="str">
        <f ca="1">IFERROR(__xludf.DUMMYFUNCTION("""COMPUTED_VALUE"""),"Asistencia Alimentaria y Nutrición")</f>
        <v>Asistencia Alimentaria y Nutrición</v>
      </c>
      <c r="F762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762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762" s="42" t="str">
        <f ca="1">IFERROR(__xludf.DUMMYFUNCTION("""COMPUTED_VALUE"""),"NAS Diciembre")</f>
        <v>NAS Diciembre</v>
      </c>
      <c r="I762" s="42" t="str">
        <f ca="1">IFERROR(__xludf.DUMMYFUNCTION("""COMPUTED_VALUE"""),"Diciembre")</f>
        <v>Diciembre</v>
      </c>
      <c r="J762" s="42" t="str">
        <f ca="1">IFERROR(__xludf.DUMMYFUNCTION("""COMPUTED_VALUE"""),"NAS")</f>
        <v>NAS</v>
      </c>
      <c r="K762" s="98"/>
      <c r="L762" s="42" t="str">
        <f ca="1">IFERROR(__xludf.DUMMYFUNCTION("""COMPUTED_VALUE"""),"TRIMESTRE 4")</f>
        <v>TRIMESTRE 4</v>
      </c>
      <c r="M762" s="42" t="str">
        <f ca="1">IFERROR(__xludf.DUMMYFUNCTION("""COMPUTED_VALUE"""),"NIÑAS")</f>
        <v>NIÑAS</v>
      </c>
    </row>
    <row r="763" spans="1:13">
      <c r="A763" s="42" t="str">
        <f ca="1">IFERROR(__xludf.DUMMYFUNCTION("""COMPUTED_VALUE"""),"2.1.1.7")</f>
        <v>2.1.1.7</v>
      </c>
      <c r="B763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63" s="42" t="str">
        <f ca="1">IFERROR(__xludf.DUMMYFUNCTION("""COMPUTED_VALUE"""),"3. Operación")</f>
        <v>3. Operación</v>
      </c>
      <c r="D763" s="42" t="str">
        <f ca="1">IFERROR(__xludf.DUMMYFUNCTION("""COMPUTED_VALUE"""),"Guadalajara en Paz")</f>
        <v>Guadalajara en Paz</v>
      </c>
      <c r="E763" s="42" t="str">
        <f ca="1">IFERROR(__xludf.DUMMYFUNCTION("""COMPUTED_VALUE"""),"Asistencia Alimentaria y Nutrición")</f>
        <v>Asistencia Alimentaria y Nutrición</v>
      </c>
      <c r="F763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763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763" s="42" t="str">
        <f ca="1">IFERROR(__xludf.DUMMYFUNCTION("""COMPUTED_VALUE"""),"NOS Diciembre")</f>
        <v>NOS Diciembre</v>
      </c>
      <c r="I763" s="42" t="str">
        <f ca="1">IFERROR(__xludf.DUMMYFUNCTION("""COMPUTED_VALUE"""),"Diciembre")</f>
        <v>Diciembre</v>
      </c>
      <c r="J763" s="42" t="str">
        <f ca="1">IFERROR(__xludf.DUMMYFUNCTION("""COMPUTED_VALUE"""),"NOS")</f>
        <v>NOS</v>
      </c>
      <c r="K763" s="98"/>
      <c r="L763" s="42" t="str">
        <f ca="1">IFERROR(__xludf.DUMMYFUNCTION("""COMPUTED_VALUE"""),"TRIMESTRE 4")</f>
        <v>TRIMESTRE 4</v>
      </c>
      <c r="M763" s="42" t="str">
        <f ca="1">IFERROR(__xludf.DUMMYFUNCTION("""COMPUTED_VALUE"""),"NIÑOS")</f>
        <v>NIÑOS</v>
      </c>
    </row>
    <row r="764" spans="1:13">
      <c r="A764" s="42" t="str">
        <f ca="1">IFERROR(__xludf.DUMMYFUNCTION("""COMPUTED_VALUE"""),"2.1.1.7")</f>
        <v>2.1.1.7</v>
      </c>
      <c r="B764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64" s="42" t="str">
        <f ca="1">IFERROR(__xludf.DUMMYFUNCTION("""COMPUTED_VALUE"""),"3. Operación")</f>
        <v>3. Operación</v>
      </c>
      <c r="D764" s="42" t="str">
        <f ca="1">IFERROR(__xludf.DUMMYFUNCTION("""COMPUTED_VALUE"""),"Guadalajara en Paz")</f>
        <v>Guadalajara en Paz</v>
      </c>
      <c r="E764" s="42" t="str">
        <f ca="1">IFERROR(__xludf.DUMMYFUNCTION("""COMPUTED_VALUE"""),"Asistencia Alimentaria y Nutrición")</f>
        <v>Asistencia Alimentaria y Nutrición</v>
      </c>
      <c r="F764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764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764" s="42" t="str">
        <f ca="1">IFERROR(__xludf.DUMMYFUNCTION("""COMPUTED_VALUE"""),"AM DICIEMBRE")</f>
        <v>AM DICIEMBRE</v>
      </c>
      <c r="I764" s="42" t="str">
        <f ca="1">IFERROR(__xludf.DUMMYFUNCTION("""COMPUTED_VALUE"""),"Diciembre")</f>
        <v>Diciembre</v>
      </c>
      <c r="J764" s="42" t="str">
        <f ca="1">IFERROR(__xludf.DUMMYFUNCTION("""COMPUTED_VALUE"""),"AM")</f>
        <v>AM</v>
      </c>
      <c r="K764" s="98"/>
      <c r="L764" s="42" t="str">
        <f ca="1">IFERROR(__xludf.DUMMYFUNCTION("""COMPUTED_VALUE"""),"TRIMESTRE 4")</f>
        <v>TRIMESTRE 4</v>
      </c>
      <c r="M764" s="42" t="str">
        <f ca="1">IFERROR(__xludf.DUMMYFUNCTION("""COMPUTED_VALUE"""),"ADOLESCENTES MUJERES")</f>
        <v>ADOLESCENTES MUJERES</v>
      </c>
    </row>
    <row r="765" spans="1:13">
      <c r="A765" s="42" t="str">
        <f ca="1">IFERROR(__xludf.DUMMYFUNCTION("""COMPUTED_VALUE"""),"2.1.1.7")</f>
        <v>2.1.1.7</v>
      </c>
      <c r="B765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65" s="42" t="str">
        <f ca="1">IFERROR(__xludf.DUMMYFUNCTION("""COMPUTED_VALUE"""),"3. Operación")</f>
        <v>3. Operación</v>
      </c>
      <c r="D765" s="42" t="str">
        <f ca="1">IFERROR(__xludf.DUMMYFUNCTION("""COMPUTED_VALUE"""),"Guadalajara en Paz")</f>
        <v>Guadalajara en Paz</v>
      </c>
      <c r="E765" s="42" t="str">
        <f ca="1">IFERROR(__xludf.DUMMYFUNCTION("""COMPUTED_VALUE"""),"Asistencia Alimentaria y Nutrición")</f>
        <v>Asistencia Alimentaria y Nutrición</v>
      </c>
      <c r="F765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765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765" s="42" t="str">
        <f ca="1">IFERROR(__xludf.DUMMYFUNCTION("""COMPUTED_VALUE"""),"AH DICIEMBRE")</f>
        <v>AH DICIEMBRE</v>
      </c>
      <c r="I765" s="42" t="str">
        <f ca="1">IFERROR(__xludf.DUMMYFUNCTION("""COMPUTED_VALUE"""),"Diciembre")</f>
        <v>Diciembre</v>
      </c>
      <c r="J765" s="42" t="str">
        <f ca="1">IFERROR(__xludf.DUMMYFUNCTION("""COMPUTED_VALUE"""),"AH")</f>
        <v>AH</v>
      </c>
      <c r="K765" s="98"/>
      <c r="L765" s="42" t="str">
        <f ca="1">IFERROR(__xludf.DUMMYFUNCTION("""COMPUTED_VALUE"""),"TRIMESTRE 4")</f>
        <v>TRIMESTRE 4</v>
      </c>
      <c r="M765" s="42" t="str">
        <f ca="1">IFERROR(__xludf.DUMMYFUNCTION("""COMPUTED_VALUE"""),"ADOLESCENTES HOMBRES")</f>
        <v>ADOLESCENTES HOMBRES</v>
      </c>
    </row>
    <row r="766" spans="1:13">
      <c r="A766" s="42" t="str">
        <f ca="1">IFERROR(__xludf.DUMMYFUNCTION("""COMPUTED_VALUE"""),"2.1.1.7")</f>
        <v>2.1.1.7</v>
      </c>
      <c r="B766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66" s="42" t="str">
        <f ca="1">IFERROR(__xludf.DUMMYFUNCTION("""COMPUTED_VALUE"""),"3. Operación")</f>
        <v>3. Operación</v>
      </c>
      <c r="D766" s="42" t="str">
        <f ca="1">IFERROR(__xludf.DUMMYFUNCTION("""COMPUTED_VALUE"""),"Guadalajara en Paz")</f>
        <v>Guadalajara en Paz</v>
      </c>
      <c r="E766" s="42" t="str">
        <f ca="1">IFERROR(__xludf.DUMMYFUNCTION("""COMPUTED_VALUE"""),"Asistencia Alimentaria y Nutrición")</f>
        <v>Asistencia Alimentaria y Nutrición</v>
      </c>
      <c r="F766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766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766" s="42" t="str">
        <f ca="1">IFERROR(__xludf.DUMMYFUNCTION("""COMPUTED_VALUE"""),"MUJ Diciembre")</f>
        <v>MUJ Diciembre</v>
      </c>
      <c r="I766" s="42" t="str">
        <f ca="1">IFERROR(__xludf.DUMMYFUNCTION("""COMPUTED_VALUE"""),"Diciembre")</f>
        <v>Diciembre</v>
      </c>
      <c r="J766" s="42" t="str">
        <f ca="1">IFERROR(__xludf.DUMMYFUNCTION("""COMPUTED_VALUE"""),"MUJ")</f>
        <v>MUJ</v>
      </c>
      <c r="K766" s="98"/>
      <c r="L766" s="42" t="str">
        <f ca="1">IFERROR(__xludf.DUMMYFUNCTION("""COMPUTED_VALUE"""),"TRIMESTRE 4")</f>
        <v>TRIMESTRE 4</v>
      </c>
      <c r="M766" s="42" t="str">
        <f ca="1">IFERROR(__xludf.DUMMYFUNCTION("""COMPUTED_VALUE"""),"MUJERES ADULTAS")</f>
        <v>MUJERES ADULTAS</v>
      </c>
    </row>
    <row r="767" spans="1:13">
      <c r="A767" s="42" t="str">
        <f ca="1">IFERROR(__xludf.DUMMYFUNCTION("""COMPUTED_VALUE"""),"2.1.1.7")</f>
        <v>2.1.1.7</v>
      </c>
      <c r="B767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67" s="42" t="str">
        <f ca="1">IFERROR(__xludf.DUMMYFUNCTION("""COMPUTED_VALUE"""),"3. Operación")</f>
        <v>3. Operación</v>
      </c>
      <c r="D767" s="42" t="str">
        <f ca="1">IFERROR(__xludf.DUMMYFUNCTION("""COMPUTED_VALUE"""),"Guadalajara en Paz")</f>
        <v>Guadalajara en Paz</v>
      </c>
      <c r="E767" s="42" t="str">
        <f ca="1">IFERROR(__xludf.DUMMYFUNCTION("""COMPUTED_VALUE"""),"Asistencia Alimentaria y Nutrición")</f>
        <v>Asistencia Alimentaria y Nutrición</v>
      </c>
      <c r="F767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767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767" s="42" t="str">
        <f ca="1">IFERROR(__xludf.DUMMYFUNCTION("""COMPUTED_VALUE"""),"HOM Diciembre")</f>
        <v>HOM Diciembre</v>
      </c>
      <c r="I767" s="42" t="str">
        <f ca="1">IFERROR(__xludf.DUMMYFUNCTION("""COMPUTED_VALUE"""),"Diciembre")</f>
        <v>Diciembre</v>
      </c>
      <c r="J767" s="42" t="str">
        <f ca="1">IFERROR(__xludf.DUMMYFUNCTION("""COMPUTED_VALUE"""),"HOM")</f>
        <v>HOM</v>
      </c>
      <c r="K767" s="98"/>
      <c r="L767" s="42" t="str">
        <f ca="1">IFERROR(__xludf.DUMMYFUNCTION("""COMPUTED_VALUE"""),"TRIMESTRE 4")</f>
        <v>TRIMESTRE 4</v>
      </c>
      <c r="M767" s="42" t="str">
        <f ca="1">IFERROR(__xludf.DUMMYFUNCTION("""COMPUTED_VALUE"""),"HOMBRES ADULTOS")</f>
        <v>HOMBRES ADULTOS</v>
      </c>
    </row>
    <row r="768" spans="1:13">
      <c r="A768" s="42" t="str">
        <f ca="1">IFERROR(__xludf.DUMMYFUNCTION("""COMPUTED_VALUE"""),"2.1.1.7")</f>
        <v>2.1.1.7</v>
      </c>
      <c r="B768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68" s="42" t="str">
        <f ca="1">IFERROR(__xludf.DUMMYFUNCTION("""COMPUTED_VALUE"""),"3. Operación")</f>
        <v>3. Operación</v>
      </c>
      <c r="D768" s="42" t="str">
        <f ca="1">IFERROR(__xludf.DUMMYFUNCTION("""COMPUTED_VALUE"""),"Guadalajara en Paz")</f>
        <v>Guadalajara en Paz</v>
      </c>
      <c r="E768" s="42" t="str">
        <f ca="1">IFERROR(__xludf.DUMMYFUNCTION("""COMPUTED_VALUE"""),"Asistencia Alimentaria y Nutrición")</f>
        <v>Asistencia Alimentaria y Nutrición</v>
      </c>
      <c r="F768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768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768" s="42" t="str">
        <f ca="1">IFERROR(__xludf.DUMMYFUNCTION("""COMPUTED_VALUE"""),"AMM Diciembre")</f>
        <v>AMM Diciembre</v>
      </c>
      <c r="I768" s="42" t="str">
        <f ca="1">IFERROR(__xludf.DUMMYFUNCTION("""COMPUTED_VALUE"""),"Diciembre")</f>
        <v>Diciembre</v>
      </c>
      <c r="J768" s="42" t="str">
        <f ca="1">IFERROR(__xludf.DUMMYFUNCTION("""COMPUTED_VALUE"""),"AMM")</f>
        <v>AMM</v>
      </c>
      <c r="K768" s="98"/>
      <c r="L768" s="42" t="str">
        <f ca="1">IFERROR(__xludf.DUMMYFUNCTION("""COMPUTED_VALUE"""),"TRIMESTRE 4")</f>
        <v>TRIMESTRE 4</v>
      </c>
      <c r="M768" s="42" t="str">
        <f ca="1">IFERROR(__xludf.DUMMYFUNCTION("""COMPUTED_VALUE"""),"ADULTA MAYOR MUJER")</f>
        <v>ADULTA MAYOR MUJER</v>
      </c>
    </row>
    <row r="769" spans="1:13">
      <c r="A769" s="42" t="str">
        <f ca="1">IFERROR(__xludf.DUMMYFUNCTION("""COMPUTED_VALUE"""),"2.1.1.7")</f>
        <v>2.1.1.7</v>
      </c>
      <c r="B769" s="42" t="str">
        <f ca="1">IFERROR(__xludf.DUMMYFUNCTION("""COMPUTED_VALUE"""),"Asistencia Alimentaria y Nutrición/Jefatura del Departamento de Nutrición/Dirección del Área de Salud y Bienestar/Coord.3. Operación")</f>
        <v>Asistencia Alimentaria y Nutrición/Jefatura del Departamento de Nutrición/Dirección del Área de Salud y Bienestar/Coord.3. Operación</v>
      </c>
      <c r="C769" s="42" t="str">
        <f ca="1">IFERROR(__xludf.DUMMYFUNCTION("""COMPUTED_VALUE"""),"3. Operación")</f>
        <v>3. Operación</v>
      </c>
      <c r="D769" s="42" t="str">
        <f ca="1">IFERROR(__xludf.DUMMYFUNCTION("""COMPUTED_VALUE"""),"Guadalajara en Paz")</f>
        <v>Guadalajara en Paz</v>
      </c>
      <c r="E769" s="42" t="str">
        <f ca="1">IFERROR(__xludf.DUMMYFUNCTION("""COMPUTED_VALUE"""),"Asistencia Alimentaria y Nutrición")</f>
        <v>Asistencia Alimentaria y Nutrición</v>
      </c>
      <c r="F769" s="42" t="str">
        <f ca="1">IFERROR(__xludf.DUMMYFUNCTION("""COMPUTED_VALUE"""),"A7C1. Apoyos del Programa de Atención Alimentaria en los Primeros 1000 Días de Vida entregados en 2023")</f>
        <v>A7C1. Apoyos del Programa de Atención Alimentaria en los Primeros 1000 Días de Vida entregados en 2023</v>
      </c>
      <c r="G769" s="42" t="str">
        <f ca="1">IFERROR(__xludf.DUMMYFUNCTION("""COMPUTED_VALUE"""),"Apoyos entregados a personas con inseguridad alimentaria del Programa de Atención Alimentaria en los Primeros 1000 días de vida, en 2023")</f>
        <v>Apoyos entregados a personas con inseguridad alimentaria del Programa de Atención Alimentaria en los Primeros 1000 días de vida, en 2023</v>
      </c>
      <c r="H769" s="42" t="str">
        <f ca="1">IFERROR(__xludf.DUMMYFUNCTION("""COMPUTED_VALUE"""),"AMH Diciembre")</f>
        <v>AMH Diciembre</v>
      </c>
      <c r="I769" s="42" t="str">
        <f ca="1">IFERROR(__xludf.DUMMYFUNCTION("""COMPUTED_VALUE"""),"Diciembre")</f>
        <v>Diciembre</v>
      </c>
      <c r="J769" s="42" t="str">
        <f ca="1">IFERROR(__xludf.DUMMYFUNCTION("""COMPUTED_VALUE"""),"AMH")</f>
        <v>AMH</v>
      </c>
      <c r="K769" s="98"/>
      <c r="L769" s="42" t="str">
        <f ca="1">IFERROR(__xludf.DUMMYFUNCTION("""COMPUTED_VALUE"""),"TRIMESTRE 4")</f>
        <v>TRIMESTRE 4</v>
      </c>
      <c r="M769" s="42" t="str">
        <f ca="1">IFERROR(__xludf.DUMMYFUNCTION("""COMPUTED_VALUE"""),"ADULTO MAYOR HOMBRE")</f>
        <v>ADULTO MAYOR HOMBRE</v>
      </c>
    </row>
    <row r="770" spans="1:13">
      <c r="A770" s="42" t="str">
        <f ca="1">IFERROR(__xludf.DUMMYFUNCTION("""COMPUTED_VALUE"""),"2.1.1.3")</f>
        <v>2.1.1.3</v>
      </c>
      <c r="B770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770" s="42" t="str">
        <f ca="1">IFERROR(__xludf.DUMMYFUNCTION("""COMPUTED_VALUE"""),"3. Operación")</f>
        <v>3. Operación</v>
      </c>
      <c r="D770" s="42" t="str">
        <f ca="1">IFERROR(__xludf.DUMMYFUNCTION("""COMPUTED_VALUE"""),"Guadalajara en Paz")</f>
        <v>Guadalajara en Paz</v>
      </c>
      <c r="E770" s="42" t="str">
        <f ca="1">IFERROR(__xludf.DUMMYFUNCTION("""COMPUTED_VALUE"""),"Atención Médica de Primer Nivel")</f>
        <v>Atención Médica de Primer Nivel</v>
      </c>
      <c r="F770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770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770" s="42" t="str">
        <f ca="1">IFERROR(__xludf.DUMMYFUNCTION("""COMPUTED_VALUE"""),"NAS enero")</f>
        <v>NAS enero</v>
      </c>
      <c r="I770" s="42" t="str">
        <f ca="1">IFERROR(__xludf.DUMMYFUNCTION("""COMPUTED_VALUE"""),"Enero")</f>
        <v>Enero</v>
      </c>
      <c r="J770" s="42" t="str">
        <f ca="1">IFERROR(__xludf.DUMMYFUNCTION("""COMPUTED_VALUE"""),"NAS")</f>
        <v>NAS</v>
      </c>
      <c r="K770" s="98">
        <f ca="1">IFERROR(__xludf.DUMMYFUNCTION("""COMPUTED_VALUE"""),272)</f>
        <v>272</v>
      </c>
      <c r="L770" s="42" t="str">
        <f ca="1">IFERROR(__xludf.DUMMYFUNCTION("""COMPUTED_VALUE"""),"TRIMESTRE 1")</f>
        <v>TRIMESTRE 1</v>
      </c>
      <c r="M770" s="42" t="str">
        <f ca="1">IFERROR(__xludf.DUMMYFUNCTION("""COMPUTED_VALUE"""),"NIÑAS")</f>
        <v>NIÑAS</v>
      </c>
    </row>
    <row r="771" spans="1:13">
      <c r="A771" s="42" t="str">
        <f ca="1">IFERROR(__xludf.DUMMYFUNCTION("""COMPUTED_VALUE"""),"2.1.1.3")</f>
        <v>2.1.1.3</v>
      </c>
      <c r="B771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771" s="42" t="str">
        <f ca="1">IFERROR(__xludf.DUMMYFUNCTION("""COMPUTED_VALUE"""),"3. Operación")</f>
        <v>3. Operación</v>
      </c>
      <c r="D771" s="42" t="str">
        <f ca="1">IFERROR(__xludf.DUMMYFUNCTION("""COMPUTED_VALUE"""),"Guadalajara en Paz")</f>
        <v>Guadalajara en Paz</v>
      </c>
      <c r="E771" s="42" t="str">
        <f ca="1">IFERROR(__xludf.DUMMYFUNCTION("""COMPUTED_VALUE"""),"Atención Médica de Primer Nivel")</f>
        <v>Atención Médica de Primer Nivel</v>
      </c>
      <c r="F771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771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771" s="42" t="str">
        <f ca="1">IFERROR(__xludf.DUMMYFUNCTION("""COMPUTED_VALUE"""),"NOS enero")</f>
        <v>NOS enero</v>
      </c>
      <c r="I771" s="42" t="str">
        <f ca="1">IFERROR(__xludf.DUMMYFUNCTION("""COMPUTED_VALUE"""),"Enero")</f>
        <v>Enero</v>
      </c>
      <c r="J771" s="42" t="str">
        <f ca="1">IFERROR(__xludf.DUMMYFUNCTION("""COMPUTED_VALUE"""),"NOS")</f>
        <v>NOS</v>
      </c>
      <c r="K771" s="98">
        <f ca="1">IFERROR(__xludf.DUMMYFUNCTION("""COMPUTED_VALUE"""),235)</f>
        <v>235</v>
      </c>
      <c r="L771" s="42" t="str">
        <f ca="1">IFERROR(__xludf.DUMMYFUNCTION("""COMPUTED_VALUE"""),"TRIMESTRE 1")</f>
        <v>TRIMESTRE 1</v>
      </c>
      <c r="M771" s="42" t="str">
        <f ca="1">IFERROR(__xludf.DUMMYFUNCTION("""COMPUTED_VALUE"""),"NIÑOS")</f>
        <v>NIÑOS</v>
      </c>
    </row>
    <row r="772" spans="1:13">
      <c r="A772" s="42" t="str">
        <f ca="1">IFERROR(__xludf.DUMMYFUNCTION("""COMPUTED_VALUE"""),"2.1.1.3")</f>
        <v>2.1.1.3</v>
      </c>
      <c r="B772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772" s="42" t="str">
        <f ca="1">IFERROR(__xludf.DUMMYFUNCTION("""COMPUTED_VALUE"""),"3. Operación")</f>
        <v>3. Operación</v>
      </c>
      <c r="D772" s="42" t="str">
        <f ca="1">IFERROR(__xludf.DUMMYFUNCTION("""COMPUTED_VALUE"""),"Guadalajara en Paz")</f>
        <v>Guadalajara en Paz</v>
      </c>
      <c r="E772" s="42" t="str">
        <f ca="1">IFERROR(__xludf.DUMMYFUNCTION("""COMPUTED_VALUE"""),"Atención Médica de Primer Nivel")</f>
        <v>Atención Médica de Primer Nivel</v>
      </c>
      <c r="F772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772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772" s="42" t="str">
        <f ca="1">IFERROR(__xludf.DUMMYFUNCTION("""COMPUTED_VALUE"""),"AM enero")</f>
        <v>AM enero</v>
      </c>
      <c r="I772" s="42" t="str">
        <f ca="1">IFERROR(__xludf.DUMMYFUNCTION("""COMPUTED_VALUE"""),"Enero")</f>
        <v>Enero</v>
      </c>
      <c r="J772" s="42" t="str">
        <f ca="1">IFERROR(__xludf.DUMMYFUNCTION("""COMPUTED_VALUE"""),"AM")</f>
        <v>AM</v>
      </c>
      <c r="K772" s="98">
        <f ca="1">IFERROR(__xludf.DUMMYFUNCTION("""COMPUTED_VALUE"""),136)</f>
        <v>136</v>
      </c>
      <c r="L772" s="42" t="str">
        <f ca="1">IFERROR(__xludf.DUMMYFUNCTION("""COMPUTED_VALUE"""),"TRIMESTRE 1")</f>
        <v>TRIMESTRE 1</v>
      </c>
      <c r="M772" s="42" t="str">
        <f ca="1">IFERROR(__xludf.DUMMYFUNCTION("""COMPUTED_VALUE"""),"ADOLESCENTES MUJERES")</f>
        <v>ADOLESCENTES MUJERES</v>
      </c>
    </row>
    <row r="773" spans="1:13">
      <c r="A773" s="42" t="str">
        <f ca="1">IFERROR(__xludf.DUMMYFUNCTION("""COMPUTED_VALUE"""),"2.1.1.3")</f>
        <v>2.1.1.3</v>
      </c>
      <c r="B773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773" s="42" t="str">
        <f ca="1">IFERROR(__xludf.DUMMYFUNCTION("""COMPUTED_VALUE"""),"3. Operación")</f>
        <v>3. Operación</v>
      </c>
      <c r="D773" s="42" t="str">
        <f ca="1">IFERROR(__xludf.DUMMYFUNCTION("""COMPUTED_VALUE"""),"Guadalajara en Paz")</f>
        <v>Guadalajara en Paz</v>
      </c>
      <c r="E773" s="42" t="str">
        <f ca="1">IFERROR(__xludf.DUMMYFUNCTION("""COMPUTED_VALUE"""),"Atención Médica de Primer Nivel")</f>
        <v>Atención Médica de Primer Nivel</v>
      </c>
      <c r="F773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773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773" s="42" t="str">
        <f ca="1">IFERROR(__xludf.DUMMYFUNCTION("""COMPUTED_VALUE"""),"AH enero")</f>
        <v>AH enero</v>
      </c>
      <c r="I773" s="42" t="str">
        <f ca="1">IFERROR(__xludf.DUMMYFUNCTION("""COMPUTED_VALUE"""),"Enero")</f>
        <v>Enero</v>
      </c>
      <c r="J773" s="42" t="str">
        <f ca="1">IFERROR(__xludf.DUMMYFUNCTION("""COMPUTED_VALUE"""),"AH")</f>
        <v>AH</v>
      </c>
      <c r="K773" s="98">
        <f ca="1">IFERROR(__xludf.DUMMYFUNCTION("""COMPUTED_VALUE"""),145)</f>
        <v>145</v>
      </c>
      <c r="L773" s="42" t="str">
        <f ca="1">IFERROR(__xludf.DUMMYFUNCTION("""COMPUTED_VALUE"""),"TRIMESTRE 1")</f>
        <v>TRIMESTRE 1</v>
      </c>
      <c r="M773" s="42" t="str">
        <f ca="1">IFERROR(__xludf.DUMMYFUNCTION("""COMPUTED_VALUE"""),"ADOLESCENTES HOMBRES")</f>
        <v>ADOLESCENTES HOMBRES</v>
      </c>
    </row>
    <row r="774" spans="1:13">
      <c r="A774" s="42" t="str">
        <f ca="1">IFERROR(__xludf.DUMMYFUNCTION("""COMPUTED_VALUE"""),"2.1.1.3")</f>
        <v>2.1.1.3</v>
      </c>
      <c r="B774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774" s="42" t="str">
        <f ca="1">IFERROR(__xludf.DUMMYFUNCTION("""COMPUTED_VALUE"""),"3. Operación")</f>
        <v>3. Operación</v>
      </c>
      <c r="D774" s="42" t="str">
        <f ca="1">IFERROR(__xludf.DUMMYFUNCTION("""COMPUTED_VALUE"""),"Guadalajara en Paz")</f>
        <v>Guadalajara en Paz</v>
      </c>
      <c r="E774" s="42" t="str">
        <f ca="1">IFERROR(__xludf.DUMMYFUNCTION("""COMPUTED_VALUE"""),"Atención Médica de Primer Nivel")</f>
        <v>Atención Médica de Primer Nivel</v>
      </c>
      <c r="F774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774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774" s="42" t="str">
        <f ca="1">IFERROR(__xludf.DUMMYFUNCTION("""COMPUTED_VALUE"""),"MUJ enero")</f>
        <v>MUJ enero</v>
      </c>
      <c r="I774" s="42" t="str">
        <f ca="1">IFERROR(__xludf.DUMMYFUNCTION("""COMPUTED_VALUE"""),"Enero")</f>
        <v>Enero</v>
      </c>
      <c r="J774" s="42" t="str">
        <f ca="1">IFERROR(__xludf.DUMMYFUNCTION("""COMPUTED_VALUE"""),"MUJ")</f>
        <v>MUJ</v>
      </c>
      <c r="K774" s="98">
        <f ca="1">IFERROR(__xludf.DUMMYFUNCTION("""COMPUTED_VALUE"""),170)</f>
        <v>170</v>
      </c>
      <c r="L774" s="42" t="str">
        <f ca="1">IFERROR(__xludf.DUMMYFUNCTION("""COMPUTED_VALUE"""),"TRIMESTRE 1")</f>
        <v>TRIMESTRE 1</v>
      </c>
      <c r="M774" s="42" t="str">
        <f ca="1">IFERROR(__xludf.DUMMYFUNCTION("""COMPUTED_VALUE"""),"MUJERES ADULTAS")</f>
        <v>MUJERES ADULTAS</v>
      </c>
    </row>
    <row r="775" spans="1:13">
      <c r="A775" s="42" t="str">
        <f ca="1">IFERROR(__xludf.DUMMYFUNCTION("""COMPUTED_VALUE"""),"2.1.1.3")</f>
        <v>2.1.1.3</v>
      </c>
      <c r="B775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775" s="42" t="str">
        <f ca="1">IFERROR(__xludf.DUMMYFUNCTION("""COMPUTED_VALUE"""),"3. Operación")</f>
        <v>3. Operación</v>
      </c>
      <c r="D775" s="42" t="str">
        <f ca="1">IFERROR(__xludf.DUMMYFUNCTION("""COMPUTED_VALUE"""),"Guadalajara en Paz")</f>
        <v>Guadalajara en Paz</v>
      </c>
      <c r="E775" s="42" t="str">
        <f ca="1">IFERROR(__xludf.DUMMYFUNCTION("""COMPUTED_VALUE"""),"Atención Médica de Primer Nivel")</f>
        <v>Atención Médica de Primer Nivel</v>
      </c>
      <c r="F775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775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775" s="42" t="str">
        <f ca="1">IFERROR(__xludf.DUMMYFUNCTION("""COMPUTED_VALUE"""),"HOM enero")</f>
        <v>HOM enero</v>
      </c>
      <c r="I775" s="42" t="str">
        <f ca="1">IFERROR(__xludf.DUMMYFUNCTION("""COMPUTED_VALUE"""),"Enero")</f>
        <v>Enero</v>
      </c>
      <c r="J775" s="42" t="str">
        <f ca="1">IFERROR(__xludf.DUMMYFUNCTION("""COMPUTED_VALUE"""),"HOM")</f>
        <v>HOM</v>
      </c>
      <c r="K775" s="98">
        <f ca="1">IFERROR(__xludf.DUMMYFUNCTION("""COMPUTED_VALUE"""),52)</f>
        <v>52</v>
      </c>
      <c r="L775" s="42" t="str">
        <f ca="1">IFERROR(__xludf.DUMMYFUNCTION("""COMPUTED_VALUE"""),"TRIMESTRE 1")</f>
        <v>TRIMESTRE 1</v>
      </c>
      <c r="M775" s="42" t="str">
        <f ca="1">IFERROR(__xludf.DUMMYFUNCTION("""COMPUTED_VALUE"""),"HOMBRES ADULTOS")</f>
        <v>HOMBRES ADULTOS</v>
      </c>
    </row>
    <row r="776" spans="1:13">
      <c r="A776" s="42" t="str">
        <f ca="1">IFERROR(__xludf.DUMMYFUNCTION("""COMPUTED_VALUE"""),"2.1.1.3")</f>
        <v>2.1.1.3</v>
      </c>
      <c r="B776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776" s="42" t="str">
        <f ca="1">IFERROR(__xludf.DUMMYFUNCTION("""COMPUTED_VALUE"""),"3. Operación")</f>
        <v>3. Operación</v>
      </c>
      <c r="D776" s="42" t="str">
        <f ca="1">IFERROR(__xludf.DUMMYFUNCTION("""COMPUTED_VALUE"""),"Guadalajara en Paz")</f>
        <v>Guadalajara en Paz</v>
      </c>
      <c r="E776" s="42" t="str">
        <f ca="1">IFERROR(__xludf.DUMMYFUNCTION("""COMPUTED_VALUE"""),"Atención Médica de Primer Nivel")</f>
        <v>Atención Médica de Primer Nivel</v>
      </c>
      <c r="F776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776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776" s="42" t="str">
        <f ca="1">IFERROR(__xludf.DUMMYFUNCTION("""COMPUTED_VALUE"""),"AMM enero")</f>
        <v>AMM enero</v>
      </c>
      <c r="I776" s="42" t="str">
        <f ca="1">IFERROR(__xludf.DUMMYFUNCTION("""COMPUTED_VALUE"""),"Enero")</f>
        <v>Enero</v>
      </c>
      <c r="J776" s="42" t="str">
        <f ca="1">IFERROR(__xludf.DUMMYFUNCTION("""COMPUTED_VALUE"""),"AMM")</f>
        <v>AMM</v>
      </c>
      <c r="K776" s="98">
        <f ca="1">IFERROR(__xludf.DUMMYFUNCTION("""COMPUTED_VALUE"""),44)</f>
        <v>44</v>
      </c>
      <c r="L776" s="42" t="str">
        <f ca="1">IFERROR(__xludf.DUMMYFUNCTION("""COMPUTED_VALUE"""),"TRIMESTRE 1")</f>
        <v>TRIMESTRE 1</v>
      </c>
      <c r="M776" s="42" t="str">
        <f ca="1">IFERROR(__xludf.DUMMYFUNCTION("""COMPUTED_VALUE"""),"ADULTA MAYOR MUJER")</f>
        <v>ADULTA MAYOR MUJER</v>
      </c>
    </row>
    <row r="777" spans="1:13">
      <c r="A777" s="42" t="str">
        <f ca="1">IFERROR(__xludf.DUMMYFUNCTION("""COMPUTED_VALUE"""),"2.1.1.3")</f>
        <v>2.1.1.3</v>
      </c>
      <c r="B777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777" s="42" t="str">
        <f ca="1">IFERROR(__xludf.DUMMYFUNCTION("""COMPUTED_VALUE"""),"3. Operación")</f>
        <v>3. Operación</v>
      </c>
      <c r="D777" s="42" t="str">
        <f ca="1">IFERROR(__xludf.DUMMYFUNCTION("""COMPUTED_VALUE"""),"Guadalajara en Paz")</f>
        <v>Guadalajara en Paz</v>
      </c>
      <c r="E777" s="42" t="str">
        <f ca="1">IFERROR(__xludf.DUMMYFUNCTION("""COMPUTED_VALUE"""),"Atención Médica de Primer Nivel")</f>
        <v>Atención Médica de Primer Nivel</v>
      </c>
      <c r="F777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777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777" s="42" t="str">
        <f ca="1">IFERROR(__xludf.DUMMYFUNCTION("""COMPUTED_VALUE"""),"AMH enero")</f>
        <v>AMH enero</v>
      </c>
      <c r="I777" s="42" t="str">
        <f ca="1">IFERROR(__xludf.DUMMYFUNCTION("""COMPUTED_VALUE"""),"Enero")</f>
        <v>Enero</v>
      </c>
      <c r="J777" s="42" t="str">
        <f ca="1">IFERROR(__xludf.DUMMYFUNCTION("""COMPUTED_VALUE"""),"AMH")</f>
        <v>AMH</v>
      </c>
      <c r="K777" s="98">
        <f ca="1">IFERROR(__xludf.DUMMYFUNCTION("""COMPUTED_VALUE"""),32)</f>
        <v>32</v>
      </c>
      <c r="L777" s="42" t="str">
        <f ca="1">IFERROR(__xludf.DUMMYFUNCTION("""COMPUTED_VALUE"""),"TRIMESTRE 1")</f>
        <v>TRIMESTRE 1</v>
      </c>
      <c r="M777" s="42" t="str">
        <f ca="1">IFERROR(__xludf.DUMMYFUNCTION("""COMPUTED_VALUE"""),"ADULTO MAYOR HOMBRE")</f>
        <v>ADULTO MAYOR HOMBRE</v>
      </c>
    </row>
    <row r="778" spans="1:13">
      <c r="A778" s="42" t="str">
        <f ca="1">IFERROR(__xludf.DUMMYFUNCTION("""COMPUTED_VALUE"""),"2.1.1.3")</f>
        <v>2.1.1.3</v>
      </c>
      <c r="B778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778" s="42" t="str">
        <f ca="1">IFERROR(__xludf.DUMMYFUNCTION("""COMPUTED_VALUE"""),"3. Operación")</f>
        <v>3. Operación</v>
      </c>
      <c r="D778" s="42" t="str">
        <f ca="1">IFERROR(__xludf.DUMMYFUNCTION("""COMPUTED_VALUE"""),"Guadalajara en Paz")</f>
        <v>Guadalajara en Paz</v>
      </c>
      <c r="E778" s="42" t="str">
        <f ca="1">IFERROR(__xludf.DUMMYFUNCTION("""COMPUTED_VALUE"""),"Atención Médica de Primer Nivel")</f>
        <v>Atención Médica de Primer Nivel</v>
      </c>
      <c r="F778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778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778" s="42" t="str">
        <f ca="1">IFERROR(__xludf.DUMMYFUNCTION("""COMPUTED_VALUE"""),"NAS FEBRERO")</f>
        <v>NAS FEBRERO</v>
      </c>
      <c r="I778" s="42" t="str">
        <f ca="1">IFERROR(__xludf.DUMMYFUNCTION("""COMPUTED_VALUE"""),"Febrero")</f>
        <v>Febrero</v>
      </c>
      <c r="J778" s="42" t="str">
        <f ca="1">IFERROR(__xludf.DUMMYFUNCTION("""COMPUTED_VALUE"""),"NAS")</f>
        <v>NAS</v>
      </c>
      <c r="K778" s="98">
        <f ca="1">IFERROR(__xludf.DUMMYFUNCTION("""COMPUTED_VALUE"""),203)</f>
        <v>203</v>
      </c>
      <c r="L778" s="42" t="str">
        <f ca="1">IFERROR(__xludf.DUMMYFUNCTION("""COMPUTED_VALUE"""),"TRIMESTRE 1")</f>
        <v>TRIMESTRE 1</v>
      </c>
      <c r="M778" s="42" t="str">
        <f ca="1">IFERROR(__xludf.DUMMYFUNCTION("""COMPUTED_VALUE"""),"NIÑAS")</f>
        <v>NIÑAS</v>
      </c>
    </row>
    <row r="779" spans="1:13">
      <c r="A779" s="42" t="str">
        <f ca="1">IFERROR(__xludf.DUMMYFUNCTION("""COMPUTED_VALUE"""),"2.1.1.3")</f>
        <v>2.1.1.3</v>
      </c>
      <c r="B779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779" s="42" t="str">
        <f ca="1">IFERROR(__xludf.DUMMYFUNCTION("""COMPUTED_VALUE"""),"3. Operación")</f>
        <v>3. Operación</v>
      </c>
      <c r="D779" s="42" t="str">
        <f ca="1">IFERROR(__xludf.DUMMYFUNCTION("""COMPUTED_VALUE"""),"Guadalajara en Paz")</f>
        <v>Guadalajara en Paz</v>
      </c>
      <c r="E779" s="42" t="str">
        <f ca="1">IFERROR(__xludf.DUMMYFUNCTION("""COMPUTED_VALUE"""),"Atención Médica de Primer Nivel")</f>
        <v>Atención Médica de Primer Nivel</v>
      </c>
      <c r="F779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779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779" s="42" t="str">
        <f ca="1">IFERROR(__xludf.DUMMYFUNCTION("""COMPUTED_VALUE"""),"NOS FEBRERO")</f>
        <v>NOS FEBRERO</v>
      </c>
      <c r="I779" s="42" t="str">
        <f ca="1">IFERROR(__xludf.DUMMYFUNCTION("""COMPUTED_VALUE"""),"Febrero")</f>
        <v>Febrero</v>
      </c>
      <c r="J779" s="42" t="str">
        <f ca="1">IFERROR(__xludf.DUMMYFUNCTION("""COMPUTED_VALUE"""),"NOS")</f>
        <v>NOS</v>
      </c>
      <c r="K779" s="98">
        <f ca="1">IFERROR(__xludf.DUMMYFUNCTION("""COMPUTED_VALUE"""),135)</f>
        <v>135</v>
      </c>
      <c r="L779" s="42" t="str">
        <f ca="1">IFERROR(__xludf.DUMMYFUNCTION("""COMPUTED_VALUE"""),"TRIMESTRE 1")</f>
        <v>TRIMESTRE 1</v>
      </c>
      <c r="M779" s="42" t="str">
        <f ca="1">IFERROR(__xludf.DUMMYFUNCTION("""COMPUTED_VALUE"""),"NIÑOS")</f>
        <v>NIÑOS</v>
      </c>
    </row>
    <row r="780" spans="1:13">
      <c r="A780" s="42" t="str">
        <f ca="1">IFERROR(__xludf.DUMMYFUNCTION("""COMPUTED_VALUE"""),"2.1.1.3")</f>
        <v>2.1.1.3</v>
      </c>
      <c r="B780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780" s="42" t="str">
        <f ca="1">IFERROR(__xludf.DUMMYFUNCTION("""COMPUTED_VALUE"""),"3. Operación")</f>
        <v>3. Operación</v>
      </c>
      <c r="D780" s="42" t="str">
        <f ca="1">IFERROR(__xludf.DUMMYFUNCTION("""COMPUTED_VALUE"""),"Guadalajara en Paz")</f>
        <v>Guadalajara en Paz</v>
      </c>
      <c r="E780" s="42" t="str">
        <f ca="1">IFERROR(__xludf.DUMMYFUNCTION("""COMPUTED_VALUE"""),"Atención Médica de Primer Nivel")</f>
        <v>Atención Médica de Primer Nivel</v>
      </c>
      <c r="F780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780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780" s="42" t="str">
        <f ca="1">IFERROR(__xludf.DUMMYFUNCTION("""COMPUTED_VALUE"""),"AM FEBRERO")</f>
        <v>AM FEBRERO</v>
      </c>
      <c r="I780" s="42" t="str">
        <f ca="1">IFERROR(__xludf.DUMMYFUNCTION("""COMPUTED_VALUE"""),"Febrero")</f>
        <v>Febrero</v>
      </c>
      <c r="J780" s="42" t="str">
        <f ca="1">IFERROR(__xludf.DUMMYFUNCTION("""COMPUTED_VALUE"""),"AM")</f>
        <v>AM</v>
      </c>
      <c r="K780" s="98">
        <f ca="1">IFERROR(__xludf.DUMMYFUNCTION("""COMPUTED_VALUE"""),124)</f>
        <v>124</v>
      </c>
      <c r="L780" s="42" t="str">
        <f ca="1">IFERROR(__xludf.DUMMYFUNCTION("""COMPUTED_VALUE"""),"TRIMESTRE 1")</f>
        <v>TRIMESTRE 1</v>
      </c>
      <c r="M780" s="42" t="str">
        <f ca="1">IFERROR(__xludf.DUMMYFUNCTION("""COMPUTED_VALUE"""),"ADOLESCENTES MUJERES")</f>
        <v>ADOLESCENTES MUJERES</v>
      </c>
    </row>
    <row r="781" spans="1:13">
      <c r="A781" s="42" t="str">
        <f ca="1">IFERROR(__xludf.DUMMYFUNCTION("""COMPUTED_VALUE"""),"2.1.1.3")</f>
        <v>2.1.1.3</v>
      </c>
      <c r="B781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781" s="42" t="str">
        <f ca="1">IFERROR(__xludf.DUMMYFUNCTION("""COMPUTED_VALUE"""),"3. Operación")</f>
        <v>3. Operación</v>
      </c>
      <c r="D781" s="42" t="str">
        <f ca="1">IFERROR(__xludf.DUMMYFUNCTION("""COMPUTED_VALUE"""),"Guadalajara en Paz")</f>
        <v>Guadalajara en Paz</v>
      </c>
      <c r="E781" s="42" t="str">
        <f ca="1">IFERROR(__xludf.DUMMYFUNCTION("""COMPUTED_VALUE"""),"Atención Médica de Primer Nivel")</f>
        <v>Atención Médica de Primer Nivel</v>
      </c>
      <c r="F781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781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781" s="42" t="str">
        <f ca="1">IFERROR(__xludf.DUMMYFUNCTION("""COMPUTED_VALUE"""),"AH FEBRERO")</f>
        <v>AH FEBRERO</v>
      </c>
      <c r="I781" s="42" t="str">
        <f ca="1">IFERROR(__xludf.DUMMYFUNCTION("""COMPUTED_VALUE"""),"Febrero")</f>
        <v>Febrero</v>
      </c>
      <c r="J781" s="42" t="str">
        <f ca="1">IFERROR(__xludf.DUMMYFUNCTION("""COMPUTED_VALUE"""),"AH")</f>
        <v>AH</v>
      </c>
      <c r="K781" s="98">
        <f ca="1">IFERROR(__xludf.DUMMYFUNCTION("""COMPUTED_VALUE"""),126)</f>
        <v>126</v>
      </c>
      <c r="L781" s="42" t="str">
        <f ca="1">IFERROR(__xludf.DUMMYFUNCTION("""COMPUTED_VALUE"""),"TRIMESTRE 1")</f>
        <v>TRIMESTRE 1</v>
      </c>
      <c r="M781" s="42" t="str">
        <f ca="1">IFERROR(__xludf.DUMMYFUNCTION("""COMPUTED_VALUE"""),"ADOLESCENTES HOMBRES")</f>
        <v>ADOLESCENTES HOMBRES</v>
      </c>
    </row>
    <row r="782" spans="1:13">
      <c r="A782" s="42" t="str">
        <f ca="1">IFERROR(__xludf.DUMMYFUNCTION("""COMPUTED_VALUE"""),"2.1.1.3")</f>
        <v>2.1.1.3</v>
      </c>
      <c r="B782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782" s="42" t="str">
        <f ca="1">IFERROR(__xludf.DUMMYFUNCTION("""COMPUTED_VALUE"""),"3. Operación")</f>
        <v>3. Operación</v>
      </c>
      <c r="D782" s="42" t="str">
        <f ca="1">IFERROR(__xludf.DUMMYFUNCTION("""COMPUTED_VALUE"""),"Guadalajara en Paz")</f>
        <v>Guadalajara en Paz</v>
      </c>
      <c r="E782" s="42" t="str">
        <f ca="1">IFERROR(__xludf.DUMMYFUNCTION("""COMPUTED_VALUE"""),"Atención Médica de Primer Nivel")</f>
        <v>Atención Médica de Primer Nivel</v>
      </c>
      <c r="F782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782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782" s="42" t="str">
        <f ca="1">IFERROR(__xludf.DUMMYFUNCTION("""COMPUTED_VALUE"""),"MUJ FEBRERO")</f>
        <v>MUJ FEBRERO</v>
      </c>
      <c r="I782" s="42" t="str">
        <f ca="1">IFERROR(__xludf.DUMMYFUNCTION("""COMPUTED_VALUE"""),"Febrero")</f>
        <v>Febrero</v>
      </c>
      <c r="J782" s="42" t="str">
        <f ca="1">IFERROR(__xludf.DUMMYFUNCTION("""COMPUTED_VALUE"""),"MUJ")</f>
        <v>MUJ</v>
      </c>
      <c r="K782" s="98">
        <f ca="1">IFERROR(__xludf.DUMMYFUNCTION("""COMPUTED_VALUE"""),127)</f>
        <v>127</v>
      </c>
      <c r="L782" s="42" t="str">
        <f ca="1">IFERROR(__xludf.DUMMYFUNCTION("""COMPUTED_VALUE"""),"TRIMESTRE 1")</f>
        <v>TRIMESTRE 1</v>
      </c>
      <c r="M782" s="42" t="str">
        <f ca="1">IFERROR(__xludf.DUMMYFUNCTION("""COMPUTED_VALUE"""),"MUJERES ADULTAS")</f>
        <v>MUJERES ADULTAS</v>
      </c>
    </row>
    <row r="783" spans="1:13">
      <c r="A783" s="42" t="str">
        <f ca="1">IFERROR(__xludf.DUMMYFUNCTION("""COMPUTED_VALUE"""),"2.1.1.3")</f>
        <v>2.1.1.3</v>
      </c>
      <c r="B783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783" s="42" t="str">
        <f ca="1">IFERROR(__xludf.DUMMYFUNCTION("""COMPUTED_VALUE"""),"3. Operación")</f>
        <v>3. Operación</v>
      </c>
      <c r="D783" s="42" t="str">
        <f ca="1">IFERROR(__xludf.DUMMYFUNCTION("""COMPUTED_VALUE"""),"Guadalajara en Paz")</f>
        <v>Guadalajara en Paz</v>
      </c>
      <c r="E783" s="42" t="str">
        <f ca="1">IFERROR(__xludf.DUMMYFUNCTION("""COMPUTED_VALUE"""),"Atención Médica de Primer Nivel")</f>
        <v>Atención Médica de Primer Nivel</v>
      </c>
      <c r="F783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783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783" s="42" t="str">
        <f ca="1">IFERROR(__xludf.DUMMYFUNCTION("""COMPUTED_VALUE"""),"HOM FEBRERO")</f>
        <v>HOM FEBRERO</v>
      </c>
      <c r="I783" s="42" t="str">
        <f ca="1">IFERROR(__xludf.DUMMYFUNCTION("""COMPUTED_VALUE"""),"Febrero")</f>
        <v>Febrero</v>
      </c>
      <c r="J783" s="42" t="str">
        <f ca="1">IFERROR(__xludf.DUMMYFUNCTION("""COMPUTED_VALUE"""),"HOM")</f>
        <v>HOM</v>
      </c>
      <c r="K783" s="98">
        <f ca="1">IFERROR(__xludf.DUMMYFUNCTION("""COMPUTED_VALUE"""),138)</f>
        <v>138</v>
      </c>
      <c r="L783" s="42" t="str">
        <f ca="1">IFERROR(__xludf.DUMMYFUNCTION("""COMPUTED_VALUE"""),"TRIMESTRE 1")</f>
        <v>TRIMESTRE 1</v>
      </c>
      <c r="M783" s="42" t="str">
        <f ca="1">IFERROR(__xludf.DUMMYFUNCTION("""COMPUTED_VALUE"""),"HOMBRES ADULTOS")</f>
        <v>HOMBRES ADULTOS</v>
      </c>
    </row>
    <row r="784" spans="1:13">
      <c r="A784" s="42" t="str">
        <f ca="1">IFERROR(__xludf.DUMMYFUNCTION("""COMPUTED_VALUE"""),"2.1.1.3")</f>
        <v>2.1.1.3</v>
      </c>
      <c r="B784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784" s="42" t="str">
        <f ca="1">IFERROR(__xludf.DUMMYFUNCTION("""COMPUTED_VALUE"""),"3. Operación")</f>
        <v>3. Operación</v>
      </c>
      <c r="D784" s="42" t="str">
        <f ca="1">IFERROR(__xludf.DUMMYFUNCTION("""COMPUTED_VALUE"""),"Guadalajara en Paz")</f>
        <v>Guadalajara en Paz</v>
      </c>
      <c r="E784" s="42" t="str">
        <f ca="1">IFERROR(__xludf.DUMMYFUNCTION("""COMPUTED_VALUE"""),"Atención Médica de Primer Nivel")</f>
        <v>Atención Médica de Primer Nivel</v>
      </c>
      <c r="F784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784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784" s="42" t="str">
        <f ca="1">IFERROR(__xludf.DUMMYFUNCTION("""COMPUTED_VALUE"""),"AMM FEBRERO")</f>
        <v>AMM FEBRERO</v>
      </c>
      <c r="I784" s="42" t="str">
        <f ca="1">IFERROR(__xludf.DUMMYFUNCTION("""COMPUTED_VALUE"""),"Febrero")</f>
        <v>Febrero</v>
      </c>
      <c r="J784" s="42" t="str">
        <f ca="1">IFERROR(__xludf.DUMMYFUNCTION("""COMPUTED_VALUE"""),"AMM")</f>
        <v>AMM</v>
      </c>
      <c r="K784" s="98">
        <f ca="1">IFERROR(__xludf.DUMMYFUNCTION("""COMPUTED_VALUE"""),134)</f>
        <v>134</v>
      </c>
      <c r="L784" s="42" t="str">
        <f ca="1">IFERROR(__xludf.DUMMYFUNCTION("""COMPUTED_VALUE"""),"TRIMESTRE 1")</f>
        <v>TRIMESTRE 1</v>
      </c>
      <c r="M784" s="42" t="str">
        <f ca="1">IFERROR(__xludf.DUMMYFUNCTION("""COMPUTED_VALUE"""),"ADULTA MAYOR MUJER")</f>
        <v>ADULTA MAYOR MUJER</v>
      </c>
    </row>
    <row r="785" spans="1:13">
      <c r="A785" s="42" t="str">
        <f ca="1">IFERROR(__xludf.DUMMYFUNCTION("""COMPUTED_VALUE"""),"2.1.1.3")</f>
        <v>2.1.1.3</v>
      </c>
      <c r="B785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785" s="42" t="str">
        <f ca="1">IFERROR(__xludf.DUMMYFUNCTION("""COMPUTED_VALUE"""),"3. Operación")</f>
        <v>3. Operación</v>
      </c>
      <c r="D785" s="42" t="str">
        <f ca="1">IFERROR(__xludf.DUMMYFUNCTION("""COMPUTED_VALUE"""),"Guadalajara en Paz")</f>
        <v>Guadalajara en Paz</v>
      </c>
      <c r="E785" s="42" t="str">
        <f ca="1">IFERROR(__xludf.DUMMYFUNCTION("""COMPUTED_VALUE"""),"Atención Médica de Primer Nivel")</f>
        <v>Atención Médica de Primer Nivel</v>
      </c>
      <c r="F785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785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785" s="42" t="str">
        <f ca="1">IFERROR(__xludf.DUMMYFUNCTION("""COMPUTED_VALUE"""),"AMH FEBRERO")</f>
        <v>AMH FEBRERO</v>
      </c>
      <c r="I785" s="42" t="str">
        <f ca="1">IFERROR(__xludf.DUMMYFUNCTION("""COMPUTED_VALUE"""),"Febrero")</f>
        <v>Febrero</v>
      </c>
      <c r="J785" s="42" t="str">
        <f ca="1">IFERROR(__xludf.DUMMYFUNCTION("""COMPUTED_VALUE"""),"AMH")</f>
        <v>AMH</v>
      </c>
      <c r="K785" s="98">
        <f ca="1">IFERROR(__xludf.DUMMYFUNCTION("""COMPUTED_VALUE"""),139)</f>
        <v>139</v>
      </c>
      <c r="L785" s="42" t="str">
        <f ca="1">IFERROR(__xludf.DUMMYFUNCTION("""COMPUTED_VALUE"""),"TRIMESTRE 1")</f>
        <v>TRIMESTRE 1</v>
      </c>
      <c r="M785" s="42" t="str">
        <f ca="1">IFERROR(__xludf.DUMMYFUNCTION("""COMPUTED_VALUE"""),"ADULTO MAYOR HOMBRE")</f>
        <v>ADULTO MAYOR HOMBRE</v>
      </c>
    </row>
    <row r="786" spans="1:13">
      <c r="A786" s="42" t="str">
        <f ca="1">IFERROR(__xludf.DUMMYFUNCTION("""COMPUTED_VALUE"""),"2.1.1.3")</f>
        <v>2.1.1.3</v>
      </c>
      <c r="B786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786" s="42" t="str">
        <f ca="1">IFERROR(__xludf.DUMMYFUNCTION("""COMPUTED_VALUE"""),"3. Operación")</f>
        <v>3. Operación</v>
      </c>
      <c r="D786" s="42" t="str">
        <f ca="1">IFERROR(__xludf.DUMMYFUNCTION("""COMPUTED_VALUE"""),"Guadalajara en Paz")</f>
        <v>Guadalajara en Paz</v>
      </c>
      <c r="E786" s="42" t="str">
        <f ca="1">IFERROR(__xludf.DUMMYFUNCTION("""COMPUTED_VALUE"""),"Atención Médica de Primer Nivel")</f>
        <v>Atención Médica de Primer Nivel</v>
      </c>
      <c r="F786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786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786" s="42" t="str">
        <f ca="1">IFERROR(__xludf.DUMMYFUNCTION("""COMPUTED_VALUE"""),"NAS Marzo")</f>
        <v>NAS Marzo</v>
      </c>
      <c r="I786" s="42" t="str">
        <f ca="1">IFERROR(__xludf.DUMMYFUNCTION("""COMPUTED_VALUE"""),"Marzo")</f>
        <v>Marzo</v>
      </c>
      <c r="J786" s="42" t="str">
        <f ca="1">IFERROR(__xludf.DUMMYFUNCTION("""COMPUTED_VALUE"""),"NAS")</f>
        <v>NAS</v>
      </c>
      <c r="K786" s="98">
        <f ca="1">IFERROR(__xludf.DUMMYFUNCTION("""COMPUTED_VALUE"""),342)</f>
        <v>342</v>
      </c>
      <c r="L786" s="42" t="str">
        <f ca="1">IFERROR(__xludf.DUMMYFUNCTION("""COMPUTED_VALUE"""),"TRIMESTRE 1")</f>
        <v>TRIMESTRE 1</v>
      </c>
      <c r="M786" s="42" t="str">
        <f ca="1">IFERROR(__xludf.DUMMYFUNCTION("""COMPUTED_VALUE"""),"NIÑAS")</f>
        <v>NIÑAS</v>
      </c>
    </row>
    <row r="787" spans="1:13">
      <c r="A787" s="42" t="str">
        <f ca="1">IFERROR(__xludf.DUMMYFUNCTION("""COMPUTED_VALUE"""),"2.1.1.3")</f>
        <v>2.1.1.3</v>
      </c>
      <c r="B787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787" s="42" t="str">
        <f ca="1">IFERROR(__xludf.DUMMYFUNCTION("""COMPUTED_VALUE"""),"3. Operación")</f>
        <v>3. Operación</v>
      </c>
      <c r="D787" s="42" t="str">
        <f ca="1">IFERROR(__xludf.DUMMYFUNCTION("""COMPUTED_VALUE"""),"Guadalajara en Paz")</f>
        <v>Guadalajara en Paz</v>
      </c>
      <c r="E787" s="42" t="str">
        <f ca="1">IFERROR(__xludf.DUMMYFUNCTION("""COMPUTED_VALUE"""),"Atención Médica de Primer Nivel")</f>
        <v>Atención Médica de Primer Nivel</v>
      </c>
      <c r="F787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787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787" s="42" t="str">
        <f ca="1">IFERROR(__xludf.DUMMYFUNCTION("""COMPUTED_VALUE"""),"NOS Marzo")</f>
        <v>NOS Marzo</v>
      </c>
      <c r="I787" s="42" t="str">
        <f ca="1">IFERROR(__xludf.DUMMYFUNCTION("""COMPUTED_VALUE"""),"Marzo")</f>
        <v>Marzo</v>
      </c>
      <c r="J787" s="42" t="str">
        <f ca="1">IFERROR(__xludf.DUMMYFUNCTION("""COMPUTED_VALUE"""),"NOS")</f>
        <v>NOS</v>
      </c>
      <c r="K787" s="98">
        <f ca="1">IFERROR(__xludf.DUMMYFUNCTION("""COMPUTED_VALUE"""),283)</f>
        <v>283</v>
      </c>
      <c r="L787" s="42" t="str">
        <f ca="1">IFERROR(__xludf.DUMMYFUNCTION("""COMPUTED_VALUE"""),"TRIMESTRE 1")</f>
        <v>TRIMESTRE 1</v>
      </c>
      <c r="M787" s="42" t="str">
        <f ca="1">IFERROR(__xludf.DUMMYFUNCTION("""COMPUTED_VALUE"""),"NIÑOS")</f>
        <v>NIÑOS</v>
      </c>
    </row>
    <row r="788" spans="1:13">
      <c r="A788" s="42" t="str">
        <f ca="1">IFERROR(__xludf.DUMMYFUNCTION("""COMPUTED_VALUE"""),"2.1.1.3")</f>
        <v>2.1.1.3</v>
      </c>
      <c r="B788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788" s="42" t="str">
        <f ca="1">IFERROR(__xludf.DUMMYFUNCTION("""COMPUTED_VALUE"""),"3. Operación")</f>
        <v>3. Operación</v>
      </c>
      <c r="D788" s="42" t="str">
        <f ca="1">IFERROR(__xludf.DUMMYFUNCTION("""COMPUTED_VALUE"""),"Guadalajara en Paz")</f>
        <v>Guadalajara en Paz</v>
      </c>
      <c r="E788" s="42" t="str">
        <f ca="1">IFERROR(__xludf.DUMMYFUNCTION("""COMPUTED_VALUE"""),"Atención Médica de Primer Nivel")</f>
        <v>Atención Médica de Primer Nivel</v>
      </c>
      <c r="F788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788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788" s="42" t="str">
        <f ca="1">IFERROR(__xludf.DUMMYFUNCTION("""COMPUTED_VALUE"""),"AM MARZO")</f>
        <v>AM MARZO</v>
      </c>
      <c r="I788" s="42" t="str">
        <f ca="1">IFERROR(__xludf.DUMMYFUNCTION("""COMPUTED_VALUE"""),"Marzo")</f>
        <v>Marzo</v>
      </c>
      <c r="J788" s="42" t="str">
        <f ca="1">IFERROR(__xludf.DUMMYFUNCTION("""COMPUTED_VALUE"""),"AM")</f>
        <v>AM</v>
      </c>
      <c r="K788" s="98">
        <f ca="1">IFERROR(__xludf.DUMMYFUNCTION("""COMPUTED_VALUE"""),95)</f>
        <v>95</v>
      </c>
      <c r="L788" s="42" t="str">
        <f ca="1">IFERROR(__xludf.DUMMYFUNCTION("""COMPUTED_VALUE"""),"TRIMESTRE 1")</f>
        <v>TRIMESTRE 1</v>
      </c>
      <c r="M788" s="42" t="str">
        <f ca="1">IFERROR(__xludf.DUMMYFUNCTION("""COMPUTED_VALUE"""),"ADOLESCENTES MUJERES")</f>
        <v>ADOLESCENTES MUJERES</v>
      </c>
    </row>
    <row r="789" spans="1:13">
      <c r="A789" s="42" t="str">
        <f ca="1">IFERROR(__xludf.DUMMYFUNCTION("""COMPUTED_VALUE"""),"2.1.1.3")</f>
        <v>2.1.1.3</v>
      </c>
      <c r="B789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789" s="42" t="str">
        <f ca="1">IFERROR(__xludf.DUMMYFUNCTION("""COMPUTED_VALUE"""),"3. Operación")</f>
        <v>3. Operación</v>
      </c>
      <c r="D789" s="42" t="str">
        <f ca="1">IFERROR(__xludf.DUMMYFUNCTION("""COMPUTED_VALUE"""),"Guadalajara en Paz")</f>
        <v>Guadalajara en Paz</v>
      </c>
      <c r="E789" s="42" t="str">
        <f ca="1">IFERROR(__xludf.DUMMYFUNCTION("""COMPUTED_VALUE"""),"Atención Médica de Primer Nivel")</f>
        <v>Atención Médica de Primer Nivel</v>
      </c>
      <c r="F789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789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789" s="42" t="str">
        <f ca="1">IFERROR(__xludf.DUMMYFUNCTION("""COMPUTED_VALUE"""),"AH MARZO")</f>
        <v>AH MARZO</v>
      </c>
      <c r="I789" s="42" t="str">
        <f ca="1">IFERROR(__xludf.DUMMYFUNCTION("""COMPUTED_VALUE"""),"Marzo")</f>
        <v>Marzo</v>
      </c>
      <c r="J789" s="42" t="str">
        <f ca="1">IFERROR(__xludf.DUMMYFUNCTION("""COMPUTED_VALUE"""),"AH")</f>
        <v>AH</v>
      </c>
      <c r="K789" s="98">
        <f ca="1">IFERROR(__xludf.DUMMYFUNCTION("""COMPUTED_VALUE"""),87)</f>
        <v>87</v>
      </c>
      <c r="L789" s="42" t="str">
        <f ca="1">IFERROR(__xludf.DUMMYFUNCTION("""COMPUTED_VALUE"""),"TRIMESTRE 1")</f>
        <v>TRIMESTRE 1</v>
      </c>
      <c r="M789" s="42" t="str">
        <f ca="1">IFERROR(__xludf.DUMMYFUNCTION("""COMPUTED_VALUE"""),"ADOLESCENTES HOMBRES")</f>
        <v>ADOLESCENTES HOMBRES</v>
      </c>
    </row>
    <row r="790" spans="1:13">
      <c r="A790" s="42" t="str">
        <f ca="1">IFERROR(__xludf.DUMMYFUNCTION("""COMPUTED_VALUE"""),"2.1.1.3")</f>
        <v>2.1.1.3</v>
      </c>
      <c r="B790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790" s="42" t="str">
        <f ca="1">IFERROR(__xludf.DUMMYFUNCTION("""COMPUTED_VALUE"""),"3. Operación")</f>
        <v>3. Operación</v>
      </c>
      <c r="D790" s="42" t="str">
        <f ca="1">IFERROR(__xludf.DUMMYFUNCTION("""COMPUTED_VALUE"""),"Guadalajara en Paz")</f>
        <v>Guadalajara en Paz</v>
      </c>
      <c r="E790" s="42" t="str">
        <f ca="1">IFERROR(__xludf.DUMMYFUNCTION("""COMPUTED_VALUE"""),"Atención Médica de Primer Nivel")</f>
        <v>Atención Médica de Primer Nivel</v>
      </c>
      <c r="F790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790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790" s="42" t="str">
        <f ca="1">IFERROR(__xludf.DUMMYFUNCTION("""COMPUTED_VALUE"""),"MUJ Marzo")</f>
        <v>MUJ Marzo</v>
      </c>
      <c r="I790" s="42" t="str">
        <f ca="1">IFERROR(__xludf.DUMMYFUNCTION("""COMPUTED_VALUE"""),"Marzo")</f>
        <v>Marzo</v>
      </c>
      <c r="J790" s="42" t="str">
        <f ca="1">IFERROR(__xludf.DUMMYFUNCTION("""COMPUTED_VALUE"""),"MUJ")</f>
        <v>MUJ</v>
      </c>
      <c r="K790" s="98">
        <f ca="1">IFERROR(__xludf.DUMMYFUNCTION("""COMPUTED_VALUE"""),125)</f>
        <v>125</v>
      </c>
      <c r="L790" s="42" t="str">
        <f ca="1">IFERROR(__xludf.DUMMYFUNCTION("""COMPUTED_VALUE"""),"TRIMESTRE 1")</f>
        <v>TRIMESTRE 1</v>
      </c>
      <c r="M790" s="42" t="str">
        <f ca="1">IFERROR(__xludf.DUMMYFUNCTION("""COMPUTED_VALUE"""),"MUJERES ADULTAS")</f>
        <v>MUJERES ADULTAS</v>
      </c>
    </row>
    <row r="791" spans="1:13">
      <c r="A791" s="42" t="str">
        <f ca="1">IFERROR(__xludf.DUMMYFUNCTION("""COMPUTED_VALUE"""),"2.1.1.3")</f>
        <v>2.1.1.3</v>
      </c>
      <c r="B791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791" s="42" t="str">
        <f ca="1">IFERROR(__xludf.DUMMYFUNCTION("""COMPUTED_VALUE"""),"3. Operación")</f>
        <v>3. Operación</v>
      </c>
      <c r="D791" s="42" t="str">
        <f ca="1">IFERROR(__xludf.DUMMYFUNCTION("""COMPUTED_VALUE"""),"Guadalajara en Paz")</f>
        <v>Guadalajara en Paz</v>
      </c>
      <c r="E791" s="42" t="str">
        <f ca="1">IFERROR(__xludf.DUMMYFUNCTION("""COMPUTED_VALUE"""),"Atención Médica de Primer Nivel")</f>
        <v>Atención Médica de Primer Nivel</v>
      </c>
      <c r="F791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791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791" s="42" t="str">
        <f ca="1">IFERROR(__xludf.DUMMYFUNCTION("""COMPUTED_VALUE"""),"HOM Marzo")</f>
        <v>HOM Marzo</v>
      </c>
      <c r="I791" s="42" t="str">
        <f ca="1">IFERROR(__xludf.DUMMYFUNCTION("""COMPUTED_VALUE"""),"Marzo")</f>
        <v>Marzo</v>
      </c>
      <c r="J791" s="42" t="str">
        <f ca="1">IFERROR(__xludf.DUMMYFUNCTION("""COMPUTED_VALUE"""),"HOM")</f>
        <v>HOM</v>
      </c>
      <c r="K791" s="98">
        <f ca="1">IFERROR(__xludf.DUMMYFUNCTION("""COMPUTED_VALUE"""),113)</f>
        <v>113</v>
      </c>
      <c r="L791" s="42" t="str">
        <f ca="1">IFERROR(__xludf.DUMMYFUNCTION("""COMPUTED_VALUE"""),"TRIMESTRE 1")</f>
        <v>TRIMESTRE 1</v>
      </c>
      <c r="M791" s="42" t="str">
        <f ca="1">IFERROR(__xludf.DUMMYFUNCTION("""COMPUTED_VALUE"""),"HOMBRES ADULTOS")</f>
        <v>HOMBRES ADULTOS</v>
      </c>
    </row>
    <row r="792" spans="1:13">
      <c r="A792" s="42" t="str">
        <f ca="1">IFERROR(__xludf.DUMMYFUNCTION("""COMPUTED_VALUE"""),"2.1.1.3")</f>
        <v>2.1.1.3</v>
      </c>
      <c r="B792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792" s="42" t="str">
        <f ca="1">IFERROR(__xludf.DUMMYFUNCTION("""COMPUTED_VALUE"""),"3. Operación")</f>
        <v>3. Operación</v>
      </c>
      <c r="D792" s="42" t="str">
        <f ca="1">IFERROR(__xludf.DUMMYFUNCTION("""COMPUTED_VALUE"""),"Guadalajara en Paz")</f>
        <v>Guadalajara en Paz</v>
      </c>
      <c r="E792" s="42" t="str">
        <f ca="1">IFERROR(__xludf.DUMMYFUNCTION("""COMPUTED_VALUE"""),"Atención Médica de Primer Nivel")</f>
        <v>Atención Médica de Primer Nivel</v>
      </c>
      <c r="F792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792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792" s="42" t="str">
        <f ca="1">IFERROR(__xludf.DUMMYFUNCTION("""COMPUTED_VALUE"""),"AMM Marzo")</f>
        <v>AMM Marzo</v>
      </c>
      <c r="I792" s="42" t="str">
        <f ca="1">IFERROR(__xludf.DUMMYFUNCTION("""COMPUTED_VALUE"""),"Marzo")</f>
        <v>Marzo</v>
      </c>
      <c r="J792" s="42" t="str">
        <f ca="1">IFERROR(__xludf.DUMMYFUNCTION("""COMPUTED_VALUE"""),"AMM")</f>
        <v>AMM</v>
      </c>
      <c r="K792" s="98">
        <f ca="1">IFERROR(__xludf.DUMMYFUNCTION("""COMPUTED_VALUE"""),92)</f>
        <v>92</v>
      </c>
      <c r="L792" s="42" t="str">
        <f ca="1">IFERROR(__xludf.DUMMYFUNCTION("""COMPUTED_VALUE"""),"TRIMESTRE 1")</f>
        <v>TRIMESTRE 1</v>
      </c>
      <c r="M792" s="42" t="str">
        <f ca="1">IFERROR(__xludf.DUMMYFUNCTION("""COMPUTED_VALUE"""),"ADULTA MAYOR MUJER")</f>
        <v>ADULTA MAYOR MUJER</v>
      </c>
    </row>
    <row r="793" spans="1:13">
      <c r="A793" s="42" t="str">
        <f ca="1">IFERROR(__xludf.DUMMYFUNCTION("""COMPUTED_VALUE"""),"2.1.1.3")</f>
        <v>2.1.1.3</v>
      </c>
      <c r="B793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793" s="42" t="str">
        <f ca="1">IFERROR(__xludf.DUMMYFUNCTION("""COMPUTED_VALUE"""),"3. Operación")</f>
        <v>3. Operación</v>
      </c>
      <c r="D793" s="42" t="str">
        <f ca="1">IFERROR(__xludf.DUMMYFUNCTION("""COMPUTED_VALUE"""),"Guadalajara en Paz")</f>
        <v>Guadalajara en Paz</v>
      </c>
      <c r="E793" s="42" t="str">
        <f ca="1">IFERROR(__xludf.DUMMYFUNCTION("""COMPUTED_VALUE"""),"Atención Médica de Primer Nivel")</f>
        <v>Atención Médica de Primer Nivel</v>
      </c>
      <c r="F793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793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793" s="42" t="str">
        <f ca="1">IFERROR(__xludf.DUMMYFUNCTION("""COMPUTED_VALUE"""),"AMH Marzo")</f>
        <v>AMH Marzo</v>
      </c>
      <c r="I793" s="42" t="str">
        <f ca="1">IFERROR(__xludf.DUMMYFUNCTION("""COMPUTED_VALUE"""),"Marzo")</f>
        <v>Marzo</v>
      </c>
      <c r="J793" s="42" t="str">
        <f ca="1">IFERROR(__xludf.DUMMYFUNCTION("""COMPUTED_VALUE"""),"AMH")</f>
        <v>AMH</v>
      </c>
      <c r="K793" s="98">
        <f ca="1">IFERROR(__xludf.DUMMYFUNCTION("""COMPUTED_VALUE"""),99)</f>
        <v>99</v>
      </c>
      <c r="L793" s="42" t="str">
        <f ca="1">IFERROR(__xludf.DUMMYFUNCTION("""COMPUTED_VALUE"""),"TRIMESTRE 1")</f>
        <v>TRIMESTRE 1</v>
      </c>
      <c r="M793" s="42" t="str">
        <f ca="1">IFERROR(__xludf.DUMMYFUNCTION("""COMPUTED_VALUE"""),"ADULTO MAYOR HOMBRE")</f>
        <v>ADULTO MAYOR HOMBRE</v>
      </c>
    </row>
    <row r="794" spans="1:13">
      <c r="A794" s="42" t="str">
        <f ca="1">IFERROR(__xludf.DUMMYFUNCTION("""COMPUTED_VALUE"""),"2.1.1.3")</f>
        <v>2.1.1.3</v>
      </c>
      <c r="B794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794" s="42" t="str">
        <f ca="1">IFERROR(__xludf.DUMMYFUNCTION("""COMPUTED_VALUE"""),"3. Operación")</f>
        <v>3. Operación</v>
      </c>
      <c r="D794" s="42" t="str">
        <f ca="1">IFERROR(__xludf.DUMMYFUNCTION("""COMPUTED_VALUE"""),"Guadalajara en Paz")</f>
        <v>Guadalajara en Paz</v>
      </c>
      <c r="E794" s="42" t="str">
        <f ca="1">IFERROR(__xludf.DUMMYFUNCTION("""COMPUTED_VALUE"""),"Atención Médica de Primer Nivel")</f>
        <v>Atención Médica de Primer Nivel</v>
      </c>
      <c r="F794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794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794" s="42" t="str">
        <f ca="1">IFERROR(__xludf.DUMMYFUNCTION("""COMPUTED_VALUE"""),"NAS Abril")</f>
        <v>NAS Abril</v>
      </c>
      <c r="I794" s="42" t="str">
        <f ca="1">IFERROR(__xludf.DUMMYFUNCTION("""COMPUTED_VALUE"""),"Abril")</f>
        <v>Abril</v>
      </c>
      <c r="J794" s="42" t="str">
        <f ca="1">IFERROR(__xludf.DUMMYFUNCTION("""COMPUTED_VALUE"""),"NAS")</f>
        <v>NAS</v>
      </c>
      <c r="K794" s="98">
        <f ca="1">IFERROR(__xludf.DUMMYFUNCTION("""COMPUTED_VALUE"""),175)</f>
        <v>175</v>
      </c>
      <c r="L794" s="42" t="str">
        <f ca="1">IFERROR(__xludf.DUMMYFUNCTION("""COMPUTED_VALUE"""),"TRIMESTRE 2")</f>
        <v>TRIMESTRE 2</v>
      </c>
      <c r="M794" s="42" t="str">
        <f ca="1">IFERROR(__xludf.DUMMYFUNCTION("""COMPUTED_VALUE"""),"NIÑAS")</f>
        <v>NIÑAS</v>
      </c>
    </row>
    <row r="795" spans="1:13">
      <c r="A795" s="42" t="str">
        <f ca="1">IFERROR(__xludf.DUMMYFUNCTION("""COMPUTED_VALUE"""),"2.1.1.3")</f>
        <v>2.1.1.3</v>
      </c>
      <c r="B795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795" s="42" t="str">
        <f ca="1">IFERROR(__xludf.DUMMYFUNCTION("""COMPUTED_VALUE"""),"3. Operación")</f>
        <v>3. Operación</v>
      </c>
      <c r="D795" s="42" t="str">
        <f ca="1">IFERROR(__xludf.DUMMYFUNCTION("""COMPUTED_VALUE"""),"Guadalajara en Paz")</f>
        <v>Guadalajara en Paz</v>
      </c>
      <c r="E795" s="42" t="str">
        <f ca="1">IFERROR(__xludf.DUMMYFUNCTION("""COMPUTED_VALUE"""),"Atención Médica de Primer Nivel")</f>
        <v>Atención Médica de Primer Nivel</v>
      </c>
      <c r="F795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795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795" s="42" t="str">
        <f ca="1">IFERROR(__xludf.DUMMYFUNCTION("""COMPUTED_VALUE"""),"NOS Abril")</f>
        <v>NOS Abril</v>
      </c>
      <c r="I795" s="42" t="str">
        <f ca="1">IFERROR(__xludf.DUMMYFUNCTION("""COMPUTED_VALUE"""),"Abril")</f>
        <v>Abril</v>
      </c>
      <c r="J795" s="42" t="str">
        <f ca="1">IFERROR(__xludf.DUMMYFUNCTION("""COMPUTED_VALUE"""),"NOS")</f>
        <v>NOS</v>
      </c>
      <c r="K795" s="98">
        <f ca="1">IFERROR(__xludf.DUMMYFUNCTION("""COMPUTED_VALUE"""),186)</f>
        <v>186</v>
      </c>
      <c r="L795" s="42" t="str">
        <f ca="1">IFERROR(__xludf.DUMMYFUNCTION("""COMPUTED_VALUE"""),"TRIMESTRE 2")</f>
        <v>TRIMESTRE 2</v>
      </c>
      <c r="M795" s="42" t="str">
        <f ca="1">IFERROR(__xludf.DUMMYFUNCTION("""COMPUTED_VALUE"""),"NIÑOS")</f>
        <v>NIÑOS</v>
      </c>
    </row>
    <row r="796" spans="1:13">
      <c r="A796" s="42" t="str">
        <f ca="1">IFERROR(__xludf.DUMMYFUNCTION("""COMPUTED_VALUE"""),"2.1.1.3")</f>
        <v>2.1.1.3</v>
      </c>
      <c r="B796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796" s="42" t="str">
        <f ca="1">IFERROR(__xludf.DUMMYFUNCTION("""COMPUTED_VALUE"""),"3. Operación")</f>
        <v>3. Operación</v>
      </c>
      <c r="D796" s="42" t="str">
        <f ca="1">IFERROR(__xludf.DUMMYFUNCTION("""COMPUTED_VALUE"""),"Guadalajara en Paz")</f>
        <v>Guadalajara en Paz</v>
      </c>
      <c r="E796" s="42" t="str">
        <f ca="1">IFERROR(__xludf.DUMMYFUNCTION("""COMPUTED_VALUE"""),"Atención Médica de Primer Nivel")</f>
        <v>Atención Médica de Primer Nivel</v>
      </c>
      <c r="F796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796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796" s="42" t="str">
        <f ca="1">IFERROR(__xludf.DUMMYFUNCTION("""COMPUTED_VALUE"""),"AM ABRIL")</f>
        <v>AM ABRIL</v>
      </c>
      <c r="I796" s="42" t="str">
        <f ca="1">IFERROR(__xludf.DUMMYFUNCTION("""COMPUTED_VALUE"""),"Abril")</f>
        <v>Abril</v>
      </c>
      <c r="J796" s="42" t="str">
        <f ca="1">IFERROR(__xludf.DUMMYFUNCTION("""COMPUTED_VALUE"""),"AM")</f>
        <v>AM</v>
      </c>
      <c r="K796" s="98">
        <f ca="1">IFERROR(__xludf.DUMMYFUNCTION("""COMPUTED_VALUE"""),57)</f>
        <v>57</v>
      </c>
      <c r="L796" s="42" t="str">
        <f ca="1">IFERROR(__xludf.DUMMYFUNCTION("""COMPUTED_VALUE"""),"TRIMESTRE 2")</f>
        <v>TRIMESTRE 2</v>
      </c>
      <c r="M796" s="42" t="str">
        <f ca="1">IFERROR(__xludf.DUMMYFUNCTION("""COMPUTED_VALUE"""),"ADOLESCENTES MUJERES")</f>
        <v>ADOLESCENTES MUJERES</v>
      </c>
    </row>
    <row r="797" spans="1:13">
      <c r="A797" s="42" t="str">
        <f ca="1">IFERROR(__xludf.DUMMYFUNCTION("""COMPUTED_VALUE"""),"2.1.1.3")</f>
        <v>2.1.1.3</v>
      </c>
      <c r="B797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797" s="42" t="str">
        <f ca="1">IFERROR(__xludf.DUMMYFUNCTION("""COMPUTED_VALUE"""),"3. Operación")</f>
        <v>3. Operación</v>
      </c>
      <c r="D797" s="42" t="str">
        <f ca="1">IFERROR(__xludf.DUMMYFUNCTION("""COMPUTED_VALUE"""),"Guadalajara en Paz")</f>
        <v>Guadalajara en Paz</v>
      </c>
      <c r="E797" s="42" t="str">
        <f ca="1">IFERROR(__xludf.DUMMYFUNCTION("""COMPUTED_VALUE"""),"Atención Médica de Primer Nivel")</f>
        <v>Atención Médica de Primer Nivel</v>
      </c>
      <c r="F797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797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797" s="42" t="str">
        <f ca="1">IFERROR(__xludf.DUMMYFUNCTION("""COMPUTED_VALUE"""),"AH ABRIL")</f>
        <v>AH ABRIL</v>
      </c>
      <c r="I797" s="42" t="str">
        <f ca="1">IFERROR(__xludf.DUMMYFUNCTION("""COMPUTED_VALUE"""),"Abril")</f>
        <v>Abril</v>
      </c>
      <c r="J797" s="42" t="str">
        <f ca="1">IFERROR(__xludf.DUMMYFUNCTION("""COMPUTED_VALUE"""),"AH")</f>
        <v>AH</v>
      </c>
      <c r="K797" s="98">
        <f ca="1">IFERROR(__xludf.DUMMYFUNCTION("""COMPUTED_VALUE"""),56)</f>
        <v>56</v>
      </c>
      <c r="L797" s="42" t="str">
        <f ca="1">IFERROR(__xludf.DUMMYFUNCTION("""COMPUTED_VALUE"""),"TRIMESTRE 2")</f>
        <v>TRIMESTRE 2</v>
      </c>
      <c r="M797" s="42" t="str">
        <f ca="1">IFERROR(__xludf.DUMMYFUNCTION("""COMPUTED_VALUE"""),"ADOLESCENTES HOMBRES")</f>
        <v>ADOLESCENTES HOMBRES</v>
      </c>
    </row>
    <row r="798" spans="1:13">
      <c r="A798" s="42" t="str">
        <f ca="1">IFERROR(__xludf.DUMMYFUNCTION("""COMPUTED_VALUE"""),"2.1.1.3")</f>
        <v>2.1.1.3</v>
      </c>
      <c r="B798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798" s="42" t="str">
        <f ca="1">IFERROR(__xludf.DUMMYFUNCTION("""COMPUTED_VALUE"""),"3. Operación")</f>
        <v>3. Operación</v>
      </c>
      <c r="D798" s="42" t="str">
        <f ca="1">IFERROR(__xludf.DUMMYFUNCTION("""COMPUTED_VALUE"""),"Guadalajara en Paz")</f>
        <v>Guadalajara en Paz</v>
      </c>
      <c r="E798" s="42" t="str">
        <f ca="1">IFERROR(__xludf.DUMMYFUNCTION("""COMPUTED_VALUE"""),"Atención Médica de Primer Nivel")</f>
        <v>Atención Médica de Primer Nivel</v>
      </c>
      <c r="F798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798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798" s="42" t="str">
        <f ca="1">IFERROR(__xludf.DUMMYFUNCTION("""COMPUTED_VALUE"""),"MUJ Abril")</f>
        <v>MUJ Abril</v>
      </c>
      <c r="I798" s="42" t="str">
        <f ca="1">IFERROR(__xludf.DUMMYFUNCTION("""COMPUTED_VALUE"""),"Abril")</f>
        <v>Abril</v>
      </c>
      <c r="J798" s="42" t="str">
        <f ca="1">IFERROR(__xludf.DUMMYFUNCTION("""COMPUTED_VALUE"""),"MUJ")</f>
        <v>MUJ</v>
      </c>
      <c r="K798" s="98">
        <f ca="1">IFERROR(__xludf.DUMMYFUNCTION("""COMPUTED_VALUE"""),89)</f>
        <v>89</v>
      </c>
      <c r="L798" s="42" t="str">
        <f ca="1">IFERROR(__xludf.DUMMYFUNCTION("""COMPUTED_VALUE"""),"TRIMESTRE 2")</f>
        <v>TRIMESTRE 2</v>
      </c>
      <c r="M798" s="42" t="str">
        <f ca="1">IFERROR(__xludf.DUMMYFUNCTION("""COMPUTED_VALUE"""),"MUJERES ADULTAS")</f>
        <v>MUJERES ADULTAS</v>
      </c>
    </row>
    <row r="799" spans="1:13">
      <c r="A799" s="42" t="str">
        <f ca="1">IFERROR(__xludf.DUMMYFUNCTION("""COMPUTED_VALUE"""),"2.1.1.3")</f>
        <v>2.1.1.3</v>
      </c>
      <c r="B799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799" s="42" t="str">
        <f ca="1">IFERROR(__xludf.DUMMYFUNCTION("""COMPUTED_VALUE"""),"3. Operación")</f>
        <v>3. Operación</v>
      </c>
      <c r="D799" s="42" t="str">
        <f ca="1">IFERROR(__xludf.DUMMYFUNCTION("""COMPUTED_VALUE"""),"Guadalajara en Paz")</f>
        <v>Guadalajara en Paz</v>
      </c>
      <c r="E799" s="42" t="str">
        <f ca="1">IFERROR(__xludf.DUMMYFUNCTION("""COMPUTED_VALUE"""),"Atención Médica de Primer Nivel")</f>
        <v>Atención Médica de Primer Nivel</v>
      </c>
      <c r="F799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799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799" s="42" t="str">
        <f ca="1">IFERROR(__xludf.DUMMYFUNCTION("""COMPUTED_VALUE"""),"HOM Abril")</f>
        <v>HOM Abril</v>
      </c>
      <c r="I799" s="42" t="str">
        <f ca="1">IFERROR(__xludf.DUMMYFUNCTION("""COMPUTED_VALUE"""),"Abril")</f>
        <v>Abril</v>
      </c>
      <c r="J799" s="42" t="str">
        <f ca="1">IFERROR(__xludf.DUMMYFUNCTION("""COMPUTED_VALUE"""),"HOM")</f>
        <v>HOM</v>
      </c>
      <c r="K799" s="98">
        <f ca="1">IFERROR(__xludf.DUMMYFUNCTION("""COMPUTED_VALUE"""),39)</f>
        <v>39</v>
      </c>
      <c r="L799" s="42" t="str">
        <f ca="1">IFERROR(__xludf.DUMMYFUNCTION("""COMPUTED_VALUE"""),"TRIMESTRE 2")</f>
        <v>TRIMESTRE 2</v>
      </c>
      <c r="M799" s="42" t="str">
        <f ca="1">IFERROR(__xludf.DUMMYFUNCTION("""COMPUTED_VALUE"""),"HOMBRES ADULTOS")</f>
        <v>HOMBRES ADULTOS</v>
      </c>
    </row>
    <row r="800" spans="1:13">
      <c r="A800" s="42" t="str">
        <f ca="1">IFERROR(__xludf.DUMMYFUNCTION("""COMPUTED_VALUE"""),"2.1.1.3")</f>
        <v>2.1.1.3</v>
      </c>
      <c r="B800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00" s="42" t="str">
        <f ca="1">IFERROR(__xludf.DUMMYFUNCTION("""COMPUTED_VALUE"""),"3. Operación")</f>
        <v>3. Operación</v>
      </c>
      <c r="D800" s="42" t="str">
        <f ca="1">IFERROR(__xludf.DUMMYFUNCTION("""COMPUTED_VALUE"""),"Guadalajara en Paz")</f>
        <v>Guadalajara en Paz</v>
      </c>
      <c r="E800" s="42" t="str">
        <f ca="1">IFERROR(__xludf.DUMMYFUNCTION("""COMPUTED_VALUE"""),"Atención Médica de Primer Nivel")</f>
        <v>Atención Médica de Primer Nivel</v>
      </c>
      <c r="F800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00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00" s="42" t="str">
        <f ca="1">IFERROR(__xludf.DUMMYFUNCTION("""COMPUTED_VALUE"""),"AMM Abril")</f>
        <v>AMM Abril</v>
      </c>
      <c r="I800" s="42" t="str">
        <f ca="1">IFERROR(__xludf.DUMMYFUNCTION("""COMPUTED_VALUE"""),"Abril")</f>
        <v>Abril</v>
      </c>
      <c r="J800" s="42" t="str">
        <f ca="1">IFERROR(__xludf.DUMMYFUNCTION("""COMPUTED_VALUE"""),"AMM")</f>
        <v>AMM</v>
      </c>
      <c r="K800" s="98">
        <f ca="1">IFERROR(__xludf.DUMMYFUNCTION("""COMPUTED_VALUE"""),31)</f>
        <v>31</v>
      </c>
      <c r="L800" s="42" t="str">
        <f ca="1">IFERROR(__xludf.DUMMYFUNCTION("""COMPUTED_VALUE"""),"TRIMESTRE 2")</f>
        <v>TRIMESTRE 2</v>
      </c>
      <c r="M800" s="42" t="str">
        <f ca="1">IFERROR(__xludf.DUMMYFUNCTION("""COMPUTED_VALUE"""),"ADULTA MAYOR MUJER")</f>
        <v>ADULTA MAYOR MUJER</v>
      </c>
    </row>
    <row r="801" spans="1:13">
      <c r="A801" s="42" t="str">
        <f ca="1">IFERROR(__xludf.DUMMYFUNCTION("""COMPUTED_VALUE"""),"2.1.1.3")</f>
        <v>2.1.1.3</v>
      </c>
      <c r="B801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01" s="42" t="str">
        <f ca="1">IFERROR(__xludf.DUMMYFUNCTION("""COMPUTED_VALUE"""),"3. Operación")</f>
        <v>3. Operación</v>
      </c>
      <c r="D801" s="42" t="str">
        <f ca="1">IFERROR(__xludf.DUMMYFUNCTION("""COMPUTED_VALUE"""),"Guadalajara en Paz")</f>
        <v>Guadalajara en Paz</v>
      </c>
      <c r="E801" s="42" t="str">
        <f ca="1">IFERROR(__xludf.DUMMYFUNCTION("""COMPUTED_VALUE"""),"Atención Médica de Primer Nivel")</f>
        <v>Atención Médica de Primer Nivel</v>
      </c>
      <c r="F801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01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01" s="42" t="str">
        <f ca="1">IFERROR(__xludf.DUMMYFUNCTION("""COMPUTED_VALUE"""),"AMH Abril")</f>
        <v>AMH Abril</v>
      </c>
      <c r="I801" s="42" t="str">
        <f ca="1">IFERROR(__xludf.DUMMYFUNCTION("""COMPUTED_VALUE"""),"Abril")</f>
        <v>Abril</v>
      </c>
      <c r="J801" s="42" t="str">
        <f ca="1">IFERROR(__xludf.DUMMYFUNCTION("""COMPUTED_VALUE"""),"AMH")</f>
        <v>AMH</v>
      </c>
      <c r="K801" s="98">
        <f ca="1">IFERROR(__xludf.DUMMYFUNCTION("""COMPUTED_VALUE"""),34)</f>
        <v>34</v>
      </c>
      <c r="L801" s="42" t="str">
        <f ca="1">IFERROR(__xludf.DUMMYFUNCTION("""COMPUTED_VALUE"""),"TRIMESTRE 2")</f>
        <v>TRIMESTRE 2</v>
      </c>
      <c r="M801" s="42" t="str">
        <f ca="1">IFERROR(__xludf.DUMMYFUNCTION("""COMPUTED_VALUE"""),"ADULTO MAYOR HOMBRE")</f>
        <v>ADULTO MAYOR HOMBRE</v>
      </c>
    </row>
    <row r="802" spans="1:13">
      <c r="A802" s="42" t="str">
        <f ca="1">IFERROR(__xludf.DUMMYFUNCTION("""COMPUTED_VALUE"""),"2.1.1.3")</f>
        <v>2.1.1.3</v>
      </c>
      <c r="B802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02" s="42" t="str">
        <f ca="1">IFERROR(__xludf.DUMMYFUNCTION("""COMPUTED_VALUE"""),"3. Operación")</f>
        <v>3. Operación</v>
      </c>
      <c r="D802" s="42" t="str">
        <f ca="1">IFERROR(__xludf.DUMMYFUNCTION("""COMPUTED_VALUE"""),"Guadalajara en Paz")</f>
        <v>Guadalajara en Paz</v>
      </c>
      <c r="E802" s="42" t="str">
        <f ca="1">IFERROR(__xludf.DUMMYFUNCTION("""COMPUTED_VALUE"""),"Atención Médica de Primer Nivel")</f>
        <v>Atención Médica de Primer Nivel</v>
      </c>
      <c r="F802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02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02" s="42" t="str">
        <f ca="1">IFERROR(__xludf.DUMMYFUNCTION("""COMPUTED_VALUE"""),"NAS Mayo")</f>
        <v>NAS Mayo</v>
      </c>
      <c r="I802" s="42" t="str">
        <f ca="1">IFERROR(__xludf.DUMMYFUNCTION("""COMPUTED_VALUE"""),"Mayo")</f>
        <v>Mayo</v>
      </c>
      <c r="J802" s="42" t="str">
        <f ca="1">IFERROR(__xludf.DUMMYFUNCTION("""COMPUTED_VALUE"""),"NAS")</f>
        <v>NAS</v>
      </c>
      <c r="K802" s="98">
        <f ca="1">IFERROR(__xludf.DUMMYFUNCTION("""COMPUTED_VALUE"""),161)</f>
        <v>161</v>
      </c>
      <c r="L802" s="42" t="str">
        <f ca="1">IFERROR(__xludf.DUMMYFUNCTION("""COMPUTED_VALUE"""),"TRIMESTRE 2")</f>
        <v>TRIMESTRE 2</v>
      </c>
      <c r="M802" s="42" t="str">
        <f ca="1">IFERROR(__xludf.DUMMYFUNCTION("""COMPUTED_VALUE"""),"NIÑAS")</f>
        <v>NIÑAS</v>
      </c>
    </row>
    <row r="803" spans="1:13">
      <c r="A803" s="42" t="str">
        <f ca="1">IFERROR(__xludf.DUMMYFUNCTION("""COMPUTED_VALUE"""),"2.1.1.3")</f>
        <v>2.1.1.3</v>
      </c>
      <c r="B803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03" s="42" t="str">
        <f ca="1">IFERROR(__xludf.DUMMYFUNCTION("""COMPUTED_VALUE"""),"3. Operación")</f>
        <v>3. Operación</v>
      </c>
      <c r="D803" s="42" t="str">
        <f ca="1">IFERROR(__xludf.DUMMYFUNCTION("""COMPUTED_VALUE"""),"Guadalajara en Paz")</f>
        <v>Guadalajara en Paz</v>
      </c>
      <c r="E803" s="42" t="str">
        <f ca="1">IFERROR(__xludf.DUMMYFUNCTION("""COMPUTED_VALUE"""),"Atención Médica de Primer Nivel")</f>
        <v>Atención Médica de Primer Nivel</v>
      </c>
      <c r="F803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03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03" s="42" t="str">
        <f ca="1">IFERROR(__xludf.DUMMYFUNCTION("""COMPUTED_VALUE"""),"NOS Mayo")</f>
        <v>NOS Mayo</v>
      </c>
      <c r="I803" s="42" t="str">
        <f ca="1">IFERROR(__xludf.DUMMYFUNCTION("""COMPUTED_VALUE"""),"Mayo")</f>
        <v>Mayo</v>
      </c>
      <c r="J803" s="42" t="str">
        <f ca="1">IFERROR(__xludf.DUMMYFUNCTION("""COMPUTED_VALUE"""),"NOS")</f>
        <v>NOS</v>
      </c>
      <c r="K803" s="98">
        <f ca="1">IFERROR(__xludf.DUMMYFUNCTION("""COMPUTED_VALUE"""),122)</f>
        <v>122</v>
      </c>
      <c r="L803" s="42" t="str">
        <f ca="1">IFERROR(__xludf.DUMMYFUNCTION("""COMPUTED_VALUE"""),"TRIMESTRE 2")</f>
        <v>TRIMESTRE 2</v>
      </c>
      <c r="M803" s="42" t="str">
        <f ca="1">IFERROR(__xludf.DUMMYFUNCTION("""COMPUTED_VALUE"""),"NIÑOS")</f>
        <v>NIÑOS</v>
      </c>
    </row>
    <row r="804" spans="1:13">
      <c r="A804" s="42" t="str">
        <f ca="1">IFERROR(__xludf.DUMMYFUNCTION("""COMPUTED_VALUE"""),"2.1.1.3")</f>
        <v>2.1.1.3</v>
      </c>
      <c r="B804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04" s="42" t="str">
        <f ca="1">IFERROR(__xludf.DUMMYFUNCTION("""COMPUTED_VALUE"""),"3. Operación")</f>
        <v>3. Operación</v>
      </c>
      <c r="D804" s="42" t="str">
        <f ca="1">IFERROR(__xludf.DUMMYFUNCTION("""COMPUTED_VALUE"""),"Guadalajara en Paz")</f>
        <v>Guadalajara en Paz</v>
      </c>
      <c r="E804" s="42" t="str">
        <f ca="1">IFERROR(__xludf.DUMMYFUNCTION("""COMPUTED_VALUE"""),"Atención Médica de Primer Nivel")</f>
        <v>Atención Médica de Primer Nivel</v>
      </c>
      <c r="F804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04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04" s="42" t="str">
        <f ca="1">IFERROR(__xludf.DUMMYFUNCTION("""COMPUTED_VALUE"""),"AM MAYO")</f>
        <v>AM MAYO</v>
      </c>
      <c r="I804" s="42" t="str">
        <f ca="1">IFERROR(__xludf.DUMMYFUNCTION("""COMPUTED_VALUE"""),"Mayo")</f>
        <v>Mayo</v>
      </c>
      <c r="J804" s="42" t="str">
        <f ca="1">IFERROR(__xludf.DUMMYFUNCTION("""COMPUTED_VALUE"""),"AM")</f>
        <v>AM</v>
      </c>
      <c r="K804" s="98">
        <f ca="1">IFERROR(__xludf.DUMMYFUNCTION("""COMPUTED_VALUE"""),185)</f>
        <v>185</v>
      </c>
      <c r="L804" s="42" t="str">
        <f ca="1">IFERROR(__xludf.DUMMYFUNCTION("""COMPUTED_VALUE"""),"TRIMESTRE 2")</f>
        <v>TRIMESTRE 2</v>
      </c>
      <c r="M804" s="42" t="str">
        <f ca="1">IFERROR(__xludf.DUMMYFUNCTION("""COMPUTED_VALUE"""),"ADOLESCENTES MUJERES")</f>
        <v>ADOLESCENTES MUJERES</v>
      </c>
    </row>
    <row r="805" spans="1:13">
      <c r="A805" s="42" t="str">
        <f ca="1">IFERROR(__xludf.DUMMYFUNCTION("""COMPUTED_VALUE"""),"2.1.1.3")</f>
        <v>2.1.1.3</v>
      </c>
      <c r="B805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05" s="42" t="str">
        <f ca="1">IFERROR(__xludf.DUMMYFUNCTION("""COMPUTED_VALUE"""),"3. Operación")</f>
        <v>3. Operación</v>
      </c>
      <c r="D805" s="42" t="str">
        <f ca="1">IFERROR(__xludf.DUMMYFUNCTION("""COMPUTED_VALUE"""),"Guadalajara en Paz")</f>
        <v>Guadalajara en Paz</v>
      </c>
      <c r="E805" s="42" t="str">
        <f ca="1">IFERROR(__xludf.DUMMYFUNCTION("""COMPUTED_VALUE"""),"Atención Médica de Primer Nivel")</f>
        <v>Atención Médica de Primer Nivel</v>
      </c>
      <c r="F805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05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05" s="42" t="str">
        <f ca="1">IFERROR(__xludf.DUMMYFUNCTION("""COMPUTED_VALUE"""),"AH MAYO")</f>
        <v>AH MAYO</v>
      </c>
      <c r="I805" s="42" t="str">
        <f ca="1">IFERROR(__xludf.DUMMYFUNCTION("""COMPUTED_VALUE"""),"Mayo")</f>
        <v>Mayo</v>
      </c>
      <c r="J805" s="42" t="str">
        <f ca="1">IFERROR(__xludf.DUMMYFUNCTION("""COMPUTED_VALUE"""),"AH")</f>
        <v>AH</v>
      </c>
      <c r="K805" s="98">
        <f ca="1">IFERROR(__xludf.DUMMYFUNCTION("""COMPUTED_VALUE"""),150)</f>
        <v>150</v>
      </c>
      <c r="L805" s="42" t="str">
        <f ca="1">IFERROR(__xludf.DUMMYFUNCTION("""COMPUTED_VALUE"""),"TRIMESTRE 2")</f>
        <v>TRIMESTRE 2</v>
      </c>
      <c r="M805" s="42" t="str">
        <f ca="1">IFERROR(__xludf.DUMMYFUNCTION("""COMPUTED_VALUE"""),"ADOLESCENTES HOMBRES")</f>
        <v>ADOLESCENTES HOMBRES</v>
      </c>
    </row>
    <row r="806" spans="1:13">
      <c r="A806" s="42" t="str">
        <f ca="1">IFERROR(__xludf.DUMMYFUNCTION("""COMPUTED_VALUE"""),"2.1.1.3")</f>
        <v>2.1.1.3</v>
      </c>
      <c r="B806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06" s="42" t="str">
        <f ca="1">IFERROR(__xludf.DUMMYFUNCTION("""COMPUTED_VALUE"""),"3. Operación")</f>
        <v>3. Operación</v>
      </c>
      <c r="D806" s="42" t="str">
        <f ca="1">IFERROR(__xludf.DUMMYFUNCTION("""COMPUTED_VALUE"""),"Guadalajara en Paz")</f>
        <v>Guadalajara en Paz</v>
      </c>
      <c r="E806" s="42" t="str">
        <f ca="1">IFERROR(__xludf.DUMMYFUNCTION("""COMPUTED_VALUE"""),"Atención Médica de Primer Nivel")</f>
        <v>Atención Médica de Primer Nivel</v>
      </c>
      <c r="F806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06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06" s="42" t="str">
        <f ca="1">IFERROR(__xludf.DUMMYFUNCTION("""COMPUTED_VALUE"""),"MUJ Mayo")</f>
        <v>MUJ Mayo</v>
      </c>
      <c r="I806" s="42" t="str">
        <f ca="1">IFERROR(__xludf.DUMMYFUNCTION("""COMPUTED_VALUE"""),"Mayo")</f>
        <v>Mayo</v>
      </c>
      <c r="J806" s="42" t="str">
        <f ca="1">IFERROR(__xludf.DUMMYFUNCTION("""COMPUTED_VALUE"""),"MUJ")</f>
        <v>MUJ</v>
      </c>
      <c r="K806" s="98">
        <f ca="1">IFERROR(__xludf.DUMMYFUNCTION("""COMPUTED_VALUE"""),71)</f>
        <v>71</v>
      </c>
      <c r="L806" s="42" t="str">
        <f ca="1">IFERROR(__xludf.DUMMYFUNCTION("""COMPUTED_VALUE"""),"TRIMESTRE 2")</f>
        <v>TRIMESTRE 2</v>
      </c>
      <c r="M806" s="42" t="str">
        <f ca="1">IFERROR(__xludf.DUMMYFUNCTION("""COMPUTED_VALUE"""),"MUJERES ADULTAS")</f>
        <v>MUJERES ADULTAS</v>
      </c>
    </row>
    <row r="807" spans="1:13">
      <c r="A807" s="42" t="str">
        <f ca="1">IFERROR(__xludf.DUMMYFUNCTION("""COMPUTED_VALUE"""),"2.1.1.3")</f>
        <v>2.1.1.3</v>
      </c>
      <c r="B807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07" s="42" t="str">
        <f ca="1">IFERROR(__xludf.DUMMYFUNCTION("""COMPUTED_VALUE"""),"3. Operación")</f>
        <v>3. Operación</v>
      </c>
      <c r="D807" s="42" t="str">
        <f ca="1">IFERROR(__xludf.DUMMYFUNCTION("""COMPUTED_VALUE"""),"Guadalajara en Paz")</f>
        <v>Guadalajara en Paz</v>
      </c>
      <c r="E807" s="42" t="str">
        <f ca="1">IFERROR(__xludf.DUMMYFUNCTION("""COMPUTED_VALUE"""),"Atención Médica de Primer Nivel")</f>
        <v>Atención Médica de Primer Nivel</v>
      </c>
      <c r="F807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07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07" s="42" t="str">
        <f ca="1">IFERROR(__xludf.DUMMYFUNCTION("""COMPUTED_VALUE"""),"HOM Mayo")</f>
        <v>HOM Mayo</v>
      </c>
      <c r="I807" s="42" t="str">
        <f ca="1">IFERROR(__xludf.DUMMYFUNCTION("""COMPUTED_VALUE"""),"Mayo")</f>
        <v>Mayo</v>
      </c>
      <c r="J807" s="42" t="str">
        <f ca="1">IFERROR(__xludf.DUMMYFUNCTION("""COMPUTED_VALUE"""),"HOM")</f>
        <v>HOM</v>
      </c>
      <c r="K807" s="98">
        <f ca="1">IFERROR(__xludf.DUMMYFUNCTION("""COMPUTED_VALUE"""),127)</f>
        <v>127</v>
      </c>
      <c r="L807" s="42" t="str">
        <f ca="1">IFERROR(__xludf.DUMMYFUNCTION("""COMPUTED_VALUE"""),"TRIMESTRE 2")</f>
        <v>TRIMESTRE 2</v>
      </c>
      <c r="M807" s="42" t="str">
        <f ca="1">IFERROR(__xludf.DUMMYFUNCTION("""COMPUTED_VALUE"""),"HOMBRES ADULTOS")</f>
        <v>HOMBRES ADULTOS</v>
      </c>
    </row>
    <row r="808" spans="1:13">
      <c r="A808" s="42" t="str">
        <f ca="1">IFERROR(__xludf.DUMMYFUNCTION("""COMPUTED_VALUE"""),"2.1.1.3")</f>
        <v>2.1.1.3</v>
      </c>
      <c r="B808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08" s="42" t="str">
        <f ca="1">IFERROR(__xludf.DUMMYFUNCTION("""COMPUTED_VALUE"""),"3. Operación")</f>
        <v>3. Operación</v>
      </c>
      <c r="D808" s="42" t="str">
        <f ca="1">IFERROR(__xludf.DUMMYFUNCTION("""COMPUTED_VALUE"""),"Guadalajara en Paz")</f>
        <v>Guadalajara en Paz</v>
      </c>
      <c r="E808" s="42" t="str">
        <f ca="1">IFERROR(__xludf.DUMMYFUNCTION("""COMPUTED_VALUE"""),"Atención Médica de Primer Nivel")</f>
        <v>Atención Médica de Primer Nivel</v>
      </c>
      <c r="F808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08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08" s="42" t="str">
        <f ca="1">IFERROR(__xludf.DUMMYFUNCTION("""COMPUTED_VALUE"""),"AMM Mayo")</f>
        <v>AMM Mayo</v>
      </c>
      <c r="I808" s="42" t="str">
        <f ca="1">IFERROR(__xludf.DUMMYFUNCTION("""COMPUTED_VALUE"""),"Mayo")</f>
        <v>Mayo</v>
      </c>
      <c r="J808" s="42" t="str">
        <f ca="1">IFERROR(__xludf.DUMMYFUNCTION("""COMPUTED_VALUE"""),"AMM")</f>
        <v>AMM</v>
      </c>
      <c r="K808" s="98">
        <f ca="1">IFERROR(__xludf.DUMMYFUNCTION("""COMPUTED_VALUE"""),67)</f>
        <v>67</v>
      </c>
      <c r="L808" s="42" t="str">
        <f ca="1">IFERROR(__xludf.DUMMYFUNCTION("""COMPUTED_VALUE"""),"TRIMESTRE 2")</f>
        <v>TRIMESTRE 2</v>
      </c>
      <c r="M808" s="42" t="str">
        <f ca="1">IFERROR(__xludf.DUMMYFUNCTION("""COMPUTED_VALUE"""),"ADULTA MAYOR MUJER")</f>
        <v>ADULTA MAYOR MUJER</v>
      </c>
    </row>
    <row r="809" spans="1:13">
      <c r="A809" s="42" t="str">
        <f ca="1">IFERROR(__xludf.DUMMYFUNCTION("""COMPUTED_VALUE"""),"2.1.1.3")</f>
        <v>2.1.1.3</v>
      </c>
      <c r="B809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09" s="42" t="str">
        <f ca="1">IFERROR(__xludf.DUMMYFUNCTION("""COMPUTED_VALUE"""),"3. Operación")</f>
        <v>3. Operación</v>
      </c>
      <c r="D809" s="42" t="str">
        <f ca="1">IFERROR(__xludf.DUMMYFUNCTION("""COMPUTED_VALUE"""),"Guadalajara en Paz")</f>
        <v>Guadalajara en Paz</v>
      </c>
      <c r="E809" s="42" t="str">
        <f ca="1">IFERROR(__xludf.DUMMYFUNCTION("""COMPUTED_VALUE"""),"Atención Médica de Primer Nivel")</f>
        <v>Atención Médica de Primer Nivel</v>
      </c>
      <c r="F809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09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09" s="42" t="str">
        <f ca="1">IFERROR(__xludf.DUMMYFUNCTION("""COMPUTED_VALUE"""),"AMH Mayo")</f>
        <v>AMH Mayo</v>
      </c>
      <c r="I809" s="42" t="str">
        <f ca="1">IFERROR(__xludf.DUMMYFUNCTION("""COMPUTED_VALUE"""),"Mayo")</f>
        <v>Mayo</v>
      </c>
      <c r="J809" s="42" t="str">
        <f ca="1">IFERROR(__xludf.DUMMYFUNCTION("""COMPUTED_VALUE"""),"AMH")</f>
        <v>AMH</v>
      </c>
      <c r="K809" s="98">
        <f ca="1">IFERROR(__xludf.DUMMYFUNCTION("""COMPUTED_VALUE"""),33)</f>
        <v>33</v>
      </c>
      <c r="L809" s="42" t="str">
        <f ca="1">IFERROR(__xludf.DUMMYFUNCTION("""COMPUTED_VALUE"""),"TRIMESTRE 2")</f>
        <v>TRIMESTRE 2</v>
      </c>
      <c r="M809" s="42" t="str">
        <f ca="1">IFERROR(__xludf.DUMMYFUNCTION("""COMPUTED_VALUE"""),"ADULTO MAYOR HOMBRE")</f>
        <v>ADULTO MAYOR HOMBRE</v>
      </c>
    </row>
    <row r="810" spans="1:13">
      <c r="A810" s="42" t="str">
        <f ca="1">IFERROR(__xludf.DUMMYFUNCTION("""COMPUTED_VALUE"""),"2.1.1.3")</f>
        <v>2.1.1.3</v>
      </c>
      <c r="B810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10" s="42" t="str">
        <f ca="1">IFERROR(__xludf.DUMMYFUNCTION("""COMPUTED_VALUE"""),"3. Operación")</f>
        <v>3. Operación</v>
      </c>
      <c r="D810" s="42" t="str">
        <f ca="1">IFERROR(__xludf.DUMMYFUNCTION("""COMPUTED_VALUE"""),"Guadalajara en Paz")</f>
        <v>Guadalajara en Paz</v>
      </c>
      <c r="E810" s="42" t="str">
        <f ca="1">IFERROR(__xludf.DUMMYFUNCTION("""COMPUTED_VALUE"""),"Atención Médica de Primer Nivel")</f>
        <v>Atención Médica de Primer Nivel</v>
      </c>
      <c r="F810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10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10" s="42" t="str">
        <f ca="1">IFERROR(__xludf.DUMMYFUNCTION("""COMPUTED_VALUE"""),"NAS Junio")</f>
        <v>NAS Junio</v>
      </c>
      <c r="I810" s="42" t="str">
        <f ca="1">IFERROR(__xludf.DUMMYFUNCTION("""COMPUTED_VALUE"""),"Junio")</f>
        <v>Junio</v>
      </c>
      <c r="J810" s="42" t="str">
        <f ca="1">IFERROR(__xludf.DUMMYFUNCTION("""COMPUTED_VALUE"""),"NAS")</f>
        <v>NAS</v>
      </c>
      <c r="K810" s="98">
        <f ca="1">IFERROR(__xludf.DUMMYFUNCTION("""COMPUTED_VALUE"""),232)</f>
        <v>232</v>
      </c>
      <c r="L810" s="42" t="str">
        <f ca="1">IFERROR(__xludf.DUMMYFUNCTION("""COMPUTED_VALUE"""),"TRIMESTRE 2")</f>
        <v>TRIMESTRE 2</v>
      </c>
      <c r="M810" s="42" t="str">
        <f ca="1">IFERROR(__xludf.DUMMYFUNCTION("""COMPUTED_VALUE"""),"NIÑAS")</f>
        <v>NIÑAS</v>
      </c>
    </row>
    <row r="811" spans="1:13">
      <c r="A811" s="42" t="str">
        <f ca="1">IFERROR(__xludf.DUMMYFUNCTION("""COMPUTED_VALUE"""),"2.1.1.3")</f>
        <v>2.1.1.3</v>
      </c>
      <c r="B811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11" s="42" t="str">
        <f ca="1">IFERROR(__xludf.DUMMYFUNCTION("""COMPUTED_VALUE"""),"3. Operación")</f>
        <v>3. Operación</v>
      </c>
      <c r="D811" s="42" t="str">
        <f ca="1">IFERROR(__xludf.DUMMYFUNCTION("""COMPUTED_VALUE"""),"Guadalajara en Paz")</f>
        <v>Guadalajara en Paz</v>
      </c>
      <c r="E811" s="42" t="str">
        <f ca="1">IFERROR(__xludf.DUMMYFUNCTION("""COMPUTED_VALUE"""),"Atención Médica de Primer Nivel")</f>
        <v>Atención Médica de Primer Nivel</v>
      </c>
      <c r="F811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11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11" s="42" t="str">
        <f ca="1">IFERROR(__xludf.DUMMYFUNCTION("""COMPUTED_VALUE"""),"NOS Junio")</f>
        <v>NOS Junio</v>
      </c>
      <c r="I811" s="42" t="str">
        <f ca="1">IFERROR(__xludf.DUMMYFUNCTION("""COMPUTED_VALUE"""),"Junio")</f>
        <v>Junio</v>
      </c>
      <c r="J811" s="42" t="str">
        <f ca="1">IFERROR(__xludf.DUMMYFUNCTION("""COMPUTED_VALUE"""),"NOS")</f>
        <v>NOS</v>
      </c>
      <c r="K811" s="98">
        <f ca="1">IFERROR(__xludf.DUMMYFUNCTION("""COMPUTED_VALUE"""),192)</f>
        <v>192</v>
      </c>
      <c r="L811" s="42" t="str">
        <f ca="1">IFERROR(__xludf.DUMMYFUNCTION("""COMPUTED_VALUE"""),"TRIMESTRE 2")</f>
        <v>TRIMESTRE 2</v>
      </c>
      <c r="M811" s="42" t="str">
        <f ca="1">IFERROR(__xludf.DUMMYFUNCTION("""COMPUTED_VALUE"""),"NIÑOS")</f>
        <v>NIÑOS</v>
      </c>
    </row>
    <row r="812" spans="1:13">
      <c r="A812" s="42" t="str">
        <f ca="1">IFERROR(__xludf.DUMMYFUNCTION("""COMPUTED_VALUE"""),"2.1.1.3")</f>
        <v>2.1.1.3</v>
      </c>
      <c r="B812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12" s="42" t="str">
        <f ca="1">IFERROR(__xludf.DUMMYFUNCTION("""COMPUTED_VALUE"""),"3. Operación")</f>
        <v>3. Operación</v>
      </c>
      <c r="D812" s="42" t="str">
        <f ca="1">IFERROR(__xludf.DUMMYFUNCTION("""COMPUTED_VALUE"""),"Guadalajara en Paz")</f>
        <v>Guadalajara en Paz</v>
      </c>
      <c r="E812" s="42" t="str">
        <f ca="1">IFERROR(__xludf.DUMMYFUNCTION("""COMPUTED_VALUE"""),"Atención Médica de Primer Nivel")</f>
        <v>Atención Médica de Primer Nivel</v>
      </c>
      <c r="F812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12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12" s="42" t="str">
        <f ca="1">IFERROR(__xludf.DUMMYFUNCTION("""COMPUTED_VALUE"""),"AM JUNIO")</f>
        <v>AM JUNIO</v>
      </c>
      <c r="I812" s="42" t="str">
        <f ca="1">IFERROR(__xludf.DUMMYFUNCTION("""COMPUTED_VALUE"""),"Junio")</f>
        <v>Junio</v>
      </c>
      <c r="J812" s="42" t="str">
        <f ca="1">IFERROR(__xludf.DUMMYFUNCTION("""COMPUTED_VALUE"""),"AM")</f>
        <v>AM</v>
      </c>
      <c r="K812" s="98">
        <f ca="1">IFERROR(__xludf.DUMMYFUNCTION("""COMPUTED_VALUE"""),197)</f>
        <v>197</v>
      </c>
      <c r="L812" s="42" t="str">
        <f ca="1">IFERROR(__xludf.DUMMYFUNCTION("""COMPUTED_VALUE"""),"TRIMESTRE 2")</f>
        <v>TRIMESTRE 2</v>
      </c>
      <c r="M812" s="42" t="str">
        <f ca="1">IFERROR(__xludf.DUMMYFUNCTION("""COMPUTED_VALUE"""),"ADOLESCENTES MUJERES")</f>
        <v>ADOLESCENTES MUJERES</v>
      </c>
    </row>
    <row r="813" spans="1:13">
      <c r="A813" s="42" t="str">
        <f ca="1">IFERROR(__xludf.DUMMYFUNCTION("""COMPUTED_VALUE"""),"2.1.1.3")</f>
        <v>2.1.1.3</v>
      </c>
      <c r="B813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13" s="42" t="str">
        <f ca="1">IFERROR(__xludf.DUMMYFUNCTION("""COMPUTED_VALUE"""),"3. Operación")</f>
        <v>3. Operación</v>
      </c>
      <c r="D813" s="42" t="str">
        <f ca="1">IFERROR(__xludf.DUMMYFUNCTION("""COMPUTED_VALUE"""),"Guadalajara en Paz")</f>
        <v>Guadalajara en Paz</v>
      </c>
      <c r="E813" s="42" t="str">
        <f ca="1">IFERROR(__xludf.DUMMYFUNCTION("""COMPUTED_VALUE"""),"Atención Médica de Primer Nivel")</f>
        <v>Atención Médica de Primer Nivel</v>
      </c>
      <c r="F813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13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13" s="42" t="str">
        <f ca="1">IFERROR(__xludf.DUMMYFUNCTION("""COMPUTED_VALUE"""),"AH JUNIO")</f>
        <v>AH JUNIO</v>
      </c>
      <c r="I813" s="42" t="str">
        <f ca="1">IFERROR(__xludf.DUMMYFUNCTION("""COMPUTED_VALUE"""),"Junio")</f>
        <v>Junio</v>
      </c>
      <c r="J813" s="42" t="str">
        <f ca="1">IFERROR(__xludf.DUMMYFUNCTION("""COMPUTED_VALUE"""),"AH")</f>
        <v>AH</v>
      </c>
      <c r="K813" s="98">
        <f ca="1">IFERROR(__xludf.DUMMYFUNCTION("""COMPUTED_VALUE"""),179)</f>
        <v>179</v>
      </c>
      <c r="L813" s="42" t="str">
        <f ca="1">IFERROR(__xludf.DUMMYFUNCTION("""COMPUTED_VALUE"""),"TRIMESTRE 2")</f>
        <v>TRIMESTRE 2</v>
      </c>
      <c r="M813" s="42" t="str">
        <f ca="1">IFERROR(__xludf.DUMMYFUNCTION("""COMPUTED_VALUE"""),"ADOLESCENTES HOMBRES")</f>
        <v>ADOLESCENTES HOMBRES</v>
      </c>
    </row>
    <row r="814" spans="1:13">
      <c r="A814" s="42" t="str">
        <f ca="1">IFERROR(__xludf.DUMMYFUNCTION("""COMPUTED_VALUE"""),"2.1.1.3")</f>
        <v>2.1.1.3</v>
      </c>
      <c r="B814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14" s="42" t="str">
        <f ca="1">IFERROR(__xludf.DUMMYFUNCTION("""COMPUTED_VALUE"""),"3. Operación")</f>
        <v>3. Operación</v>
      </c>
      <c r="D814" s="42" t="str">
        <f ca="1">IFERROR(__xludf.DUMMYFUNCTION("""COMPUTED_VALUE"""),"Guadalajara en Paz")</f>
        <v>Guadalajara en Paz</v>
      </c>
      <c r="E814" s="42" t="str">
        <f ca="1">IFERROR(__xludf.DUMMYFUNCTION("""COMPUTED_VALUE"""),"Atención Médica de Primer Nivel")</f>
        <v>Atención Médica de Primer Nivel</v>
      </c>
      <c r="F814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14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14" s="42" t="str">
        <f ca="1">IFERROR(__xludf.DUMMYFUNCTION("""COMPUTED_VALUE"""),"MUJ Junio")</f>
        <v>MUJ Junio</v>
      </c>
      <c r="I814" s="42" t="str">
        <f ca="1">IFERROR(__xludf.DUMMYFUNCTION("""COMPUTED_VALUE"""),"Junio")</f>
        <v>Junio</v>
      </c>
      <c r="J814" s="42" t="str">
        <f ca="1">IFERROR(__xludf.DUMMYFUNCTION("""COMPUTED_VALUE"""),"MUJ")</f>
        <v>MUJ</v>
      </c>
      <c r="K814" s="98">
        <f ca="1">IFERROR(__xludf.DUMMYFUNCTION("""COMPUTED_VALUE"""),91)</f>
        <v>91</v>
      </c>
      <c r="L814" s="42" t="str">
        <f ca="1">IFERROR(__xludf.DUMMYFUNCTION("""COMPUTED_VALUE"""),"TRIMESTRE 2")</f>
        <v>TRIMESTRE 2</v>
      </c>
      <c r="M814" s="42" t="str">
        <f ca="1">IFERROR(__xludf.DUMMYFUNCTION("""COMPUTED_VALUE"""),"MUJERES ADULTAS")</f>
        <v>MUJERES ADULTAS</v>
      </c>
    </row>
    <row r="815" spans="1:13">
      <c r="A815" s="42" t="str">
        <f ca="1">IFERROR(__xludf.DUMMYFUNCTION("""COMPUTED_VALUE"""),"2.1.1.3")</f>
        <v>2.1.1.3</v>
      </c>
      <c r="B815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15" s="42" t="str">
        <f ca="1">IFERROR(__xludf.DUMMYFUNCTION("""COMPUTED_VALUE"""),"3. Operación")</f>
        <v>3. Operación</v>
      </c>
      <c r="D815" s="42" t="str">
        <f ca="1">IFERROR(__xludf.DUMMYFUNCTION("""COMPUTED_VALUE"""),"Guadalajara en Paz")</f>
        <v>Guadalajara en Paz</v>
      </c>
      <c r="E815" s="42" t="str">
        <f ca="1">IFERROR(__xludf.DUMMYFUNCTION("""COMPUTED_VALUE"""),"Atención Médica de Primer Nivel")</f>
        <v>Atención Médica de Primer Nivel</v>
      </c>
      <c r="F815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15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15" s="42" t="str">
        <f ca="1">IFERROR(__xludf.DUMMYFUNCTION("""COMPUTED_VALUE"""),"HOM Junio")</f>
        <v>HOM Junio</v>
      </c>
      <c r="I815" s="42" t="str">
        <f ca="1">IFERROR(__xludf.DUMMYFUNCTION("""COMPUTED_VALUE"""),"Junio")</f>
        <v>Junio</v>
      </c>
      <c r="J815" s="42" t="str">
        <f ca="1">IFERROR(__xludf.DUMMYFUNCTION("""COMPUTED_VALUE"""),"HOM")</f>
        <v>HOM</v>
      </c>
      <c r="K815" s="98">
        <f ca="1">IFERROR(__xludf.DUMMYFUNCTION("""COMPUTED_VALUE"""),36)</f>
        <v>36</v>
      </c>
      <c r="L815" s="42" t="str">
        <f ca="1">IFERROR(__xludf.DUMMYFUNCTION("""COMPUTED_VALUE"""),"TRIMESTRE 2")</f>
        <v>TRIMESTRE 2</v>
      </c>
      <c r="M815" s="42" t="str">
        <f ca="1">IFERROR(__xludf.DUMMYFUNCTION("""COMPUTED_VALUE"""),"HOMBRES ADULTOS")</f>
        <v>HOMBRES ADULTOS</v>
      </c>
    </row>
    <row r="816" spans="1:13">
      <c r="A816" s="42" t="str">
        <f ca="1">IFERROR(__xludf.DUMMYFUNCTION("""COMPUTED_VALUE"""),"2.1.1.3")</f>
        <v>2.1.1.3</v>
      </c>
      <c r="B816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16" s="42" t="str">
        <f ca="1">IFERROR(__xludf.DUMMYFUNCTION("""COMPUTED_VALUE"""),"3. Operación")</f>
        <v>3. Operación</v>
      </c>
      <c r="D816" s="42" t="str">
        <f ca="1">IFERROR(__xludf.DUMMYFUNCTION("""COMPUTED_VALUE"""),"Guadalajara en Paz")</f>
        <v>Guadalajara en Paz</v>
      </c>
      <c r="E816" s="42" t="str">
        <f ca="1">IFERROR(__xludf.DUMMYFUNCTION("""COMPUTED_VALUE"""),"Atención Médica de Primer Nivel")</f>
        <v>Atención Médica de Primer Nivel</v>
      </c>
      <c r="F816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16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16" s="42" t="str">
        <f ca="1">IFERROR(__xludf.DUMMYFUNCTION("""COMPUTED_VALUE"""),"AMM Junio")</f>
        <v>AMM Junio</v>
      </c>
      <c r="I816" s="42" t="str">
        <f ca="1">IFERROR(__xludf.DUMMYFUNCTION("""COMPUTED_VALUE"""),"Junio")</f>
        <v>Junio</v>
      </c>
      <c r="J816" s="42" t="str">
        <f ca="1">IFERROR(__xludf.DUMMYFUNCTION("""COMPUTED_VALUE"""),"AMM")</f>
        <v>AMM</v>
      </c>
      <c r="K816" s="98">
        <f ca="1">IFERROR(__xludf.DUMMYFUNCTION("""COMPUTED_VALUE"""),24)</f>
        <v>24</v>
      </c>
      <c r="L816" s="42" t="str">
        <f ca="1">IFERROR(__xludf.DUMMYFUNCTION("""COMPUTED_VALUE"""),"TRIMESTRE 2")</f>
        <v>TRIMESTRE 2</v>
      </c>
      <c r="M816" s="42" t="str">
        <f ca="1">IFERROR(__xludf.DUMMYFUNCTION("""COMPUTED_VALUE"""),"ADULTA MAYOR MUJER")</f>
        <v>ADULTA MAYOR MUJER</v>
      </c>
    </row>
    <row r="817" spans="1:13">
      <c r="A817" s="42" t="str">
        <f ca="1">IFERROR(__xludf.DUMMYFUNCTION("""COMPUTED_VALUE"""),"2.1.1.3")</f>
        <v>2.1.1.3</v>
      </c>
      <c r="B817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17" s="42" t="str">
        <f ca="1">IFERROR(__xludf.DUMMYFUNCTION("""COMPUTED_VALUE"""),"3. Operación")</f>
        <v>3. Operación</v>
      </c>
      <c r="D817" s="42" t="str">
        <f ca="1">IFERROR(__xludf.DUMMYFUNCTION("""COMPUTED_VALUE"""),"Guadalajara en Paz")</f>
        <v>Guadalajara en Paz</v>
      </c>
      <c r="E817" s="42" t="str">
        <f ca="1">IFERROR(__xludf.DUMMYFUNCTION("""COMPUTED_VALUE"""),"Atención Médica de Primer Nivel")</f>
        <v>Atención Médica de Primer Nivel</v>
      </c>
      <c r="F817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17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17" s="42" t="str">
        <f ca="1">IFERROR(__xludf.DUMMYFUNCTION("""COMPUTED_VALUE"""),"AMH Junio")</f>
        <v>AMH Junio</v>
      </c>
      <c r="I817" s="42" t="str">
        <f ca="1">IFERROR(__xludf.DUMMYFUNCTION("""COMPUTED_VALUE"""),"Junio")</f>
        <v>Junio</v>
      </c>
      <c r="J817" s="42" t="str">
        <f ca="1">IFERROR(__xludf.DUMMYFUNCTION("""COMPUTED_VALUE"""),"AMH")</f>
        <v>AMH</v>
      </c>
      <c r="K817" s="98">
        <f ca="1">IFERROR(__xludf.DUMMYFUNCTION("""COMPUTED_VALUE"""),30)</f>
        <v>30</v>
      </c>
      <c r="L817" s="42" t="str">
        <f ca="1">IFERROR(__xludf.DUMMYFUNCTION("""COMPUTED_VALUE"""),"TRIMESTRE 2")</f>
        <v>TRIMESTRE 2</v>
      </c>
      <c r="M817" s="42" t="str">
        <f ca="1">IFERROR(__xludf.DUMMYFUNCTION("""COMPUTED_VALUE"""),"ADULTO MAYOR HOMBRE")</f>
        <v>ADULTO MAYOR HOMBRE</v>
      </c>
    </row>
    <row r="818" spans="1:13">
      <c r="A818" s="42" t="str">
        <f ca="1">IFERROR(__xludf.DUMMYFUNCTION("""COMPUTED_VALUE"""),"2.1.1.3")</f>
        <v>2.1.1.3</v>
      </c>
      <c r="B818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18" s="42" t="str">
        <f ca="1">IFERROR(__xludf.DUMMYFUNCTION("""COMPUTED_VALUE"""),"3. Operación")</f>
        <v>3. Operación</v>
      </c>
      <c r="D818" s="42" t="str">
        <f ca="1">IFERROR(__xludf.DUMMYFUNCTION("""COMPUTED_VALUE"""),"Guadalajara en Paz")</f>
        <v>Guadalajara en Paz</v>
      </c>
      <c r="E818" s="42" t="str">
        <f ca="1">IFERROR(__xludf.DUMMYFUNCTION("""COMPUTED_VALUE"""),"Atención Médica de Primer Nivel")</f>
        <v>Atención Médica de Primer Nivel</v>
      </c>
      <c r="F818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18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18" s="42" t="str">
        <f ca="1">IFERROR(__xludf.DUMMYFUNCTION("""COMPUTED_VALUE"""),"NAS Julio")</f>
        <v>NAS Julio</v>
      </c>
      <c r="I818" s="42" t="str">
        <f ca="1">IFERROR(__xludf.DUMMYFUNCTION("""COMPUTED_VALUE"""),"Julio")</f>
        <v>Julio</v>
      </c>
      <c r="J818" s="42" t="str">
        <f ca="1">IFERROR(__xludf.DUMMYFUNCTION("""COMPUTED_VALUE"""),"NAS")</f>
        <v>NAS</v>
      </c>
      <c r="K818" s="98">
        <f ca="1">IFERROR(__xludf.DUMMYFUNCTION("""COMPUTED_VALUE"""),186)</f>
        <v>186</v>
      </c>
      <c r="L818" s="42" t="str">
        <f ca="1">IFERROR(__xludf.DUMMYFUNCTION("""COMPUTED_VALUE"""),"TRIMESTRE 3")</f>
        <v>TRIMESTRE 3</v>
      </c>
      <c r="M818" s="42" t="str">
        <f ca="1">IFERROR(__xludf.DUMMYFUNCTION("""COMPUTED_VALUE"""),"NIÑAS")</f>
        <v>NIÑAS</v>
      </c>
    </row>
    <row r="819" spans="1:13">
      <c r="A819" s="42" t="str">
        <f ca="1">IFERROR(__xludf.DUMMYFUNCTION("""COMPUTED_VALUE"""),"2.1.1.3")</f>
        <v>2.1.1.3</v>
      </c>
      <c r="B819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19" s="42" t="str">
        <f ca="1">IFERROR(__xludf.DUMMYFUNCTION("""COMPUTED_VALUE"""),"3. Operación")</f>
        <v>3. Operación</v>
      </c>
      <c r="D819" s="42" t="str">
        <f ca="1">IFERROR(__xludf.DUMMYFUNCTION("""COMPUTED_VALUE"""),"Guadalajara en Paz")</f>
        <v>Guadalajara en Paz</v>
      </c>
      <c r="E819" s="42" t="str">
        <f ca="1">IFERROR(__xludf.DUMMYFUNCTION("""COMPUTED_VALUE"""),"Atención Médica de Primer Nivel")</f>
        <v>Atención Médica de Primer Nivel</v>
      </c>
      <c r="F819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19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19" s="42" t="str">
        <f ca="1">IFERROR(__xludf.DUMMYFUNCTION("""COMPUTED_VALUE"""),"NOS Julio")</f>
        <v>NOS Julio</v>
      </c>
      <c r="I819" s="42" t="str">
        <f ca="1">IFERROR(__xludf.DUMMYFUNCTION("""COMPUTED_VALUE"""),"Julio")</f>
        <v>Julio</v>
      </c>
      <c r="J819" s="42" t="str">
        <f ca="1">IFERROR(__xludf.DUMMYFUNCTION("""COMPUTED_VALUE"""),"NOS")</f>
        <v>NOS</v>
      </c>
      <c r="K819" s="98">
        <f ca="1">IFERROR(__xludf.DUMMYFUNCTION("""COMPUTED_VALUE"""),220)</f>
        <v>220</v>
      </c>
      <c r="L819" s="42" t="str">
        <f ca="1">IFERROR(__xludf.DUMMYFUNCTION("""COMPUTED_VALUE"""),"TRIMESTRE 3")</f>
        <v>TRIMESTRE 3</v>
      </c>
      <c r="M819" s="42" t="str">
        <f ca="1">IFERROR(__xludf.DUMMYFUNCTION("""COMPUTED_VALUE"""),"NIÑOS")</f>
        <v>NIÑOS</v>
      </c>
    </row>
    <row r="820" spans="1:13">
      <c r="A820" s="42" t="str">
        <f ca="1">IFERROR(__xludf.DUMMYFUNCTION("""COMPUTED_VALUE"""),"2.1.1.3")</f>
        <v>2.1.1.3</v>
      </c>
      <c r="B820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20" s="42" t="str">
        <f ca="1">IFERROR(__xludf.DUMMYFUNCTION("""COMPUTED_VALUE"""),"3. Operación")</f>
        <v>3. Operación</v>
      </c>
      <c r="D820" s="42" t="str">
        <f ca="1">IFERROR(__xludf.DUMMYFUNCTION("""COMPUTED_VALUE"""),"Guadalajara en Paz")</f>
        <v>Guadalajara en Paz</v>
      </c>
      <c r="E820" s="42" t="str">
        <f ca="1">IFERROR(__xludf.DUMMYFUNCTION("""COMPUTED_VALUE"""),"Atención Médica de Primer Nivel")</f>
        <v>Atención Médica de Primer Nivel</v>
      </c>
      <c r="F820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20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20" s="42" t="str">
        <f ca="1">IFERROR(__xludf.DUMMYFUNCTION("""COMPUTED_VALUE"""),"AM JULIO")</f>
        <v>AM JULIO</v>
      </c>
      <c r="I820" s="42" t="str">
        <f ca="1">IFERROR(__xludf.DUMMYFUNCTION("""COMPUTED_VALUE"""),"Julio")</f>
        <v>Julio</v>
      </c>
      <c r="J820" s="42" t="str">
        <f ca="1">IFERROR(__xludf.DUMMYFUNCTION("""COMPUTED_VALUE"""),"AM")</f>
        <v>AM</v>
      </c>
      <c r="K820" s="98">
        <f ca="1">IFERROR(__xludf.DUMMYFUNCTION("""COMPUTED_VALUE"""),87)</f>
        <v>87</v>
      </c>
      <c r="L820" s="42" t="str">
        <f ca="1">IFERROR(__xludf.DUMMYFUNCTION("""COMPUTED_VALUE"""),"TRIMESTRE 3")</f>
        <v>TRIMESTRE 3</v>
      </c>
      <c r="M820" s="42" t="str">
        <f ca="1">IFERROR(__xludf.DUMMYFUNCTION("""COMPUTED_VALUE"""),"ADOLESCENTES MUJERES")</f>
        <v>ADOLESCENTES MUJERES</v>
      </c>
    </row>
    <row r="821" spans="1:13">
      <c r="A821" s="42" t="str">
        <f ca="1">IFERROR(__xludf.DUMMYFUNCTION("""COMPUTED_VALUE"""),"2.1.1.3")</f>
        <v>2.1.1.3</v>
      </c>
      <c r="B821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21" s="42" t="str">
        <f ca="1">IFERROR(__xludf.DUMMYFUNCTION("""COMPUTED_VALUE"""),"3. Operación")</f>
        <v>3. Operación</v>
      </c>
      <c r="D821" s="42" t="str">
        <f ca="1">IFERROR(__xludf.DUMMYFUNCTION("""COMPUTED_VALUE"""),"Guadalajara en Paz")</f>
        <v>Guadalajara en Paz</v>
      </c>
      <c r="E821" s="42" t="str">
        <f ca="1">IFERROR(__xludf.DUMMYFUNCTION("""COMPUTED_VALUE"""),"Atención Médica de Primer Nivel")</f>
        <v>Atención Médica de Primer Nivel</v>
      </c>
      <c r="F821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21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21" s="42" t="str">
        <f ca="1">IFERROR(__xludf.DUMMYFUNCTION("""COMPUTED_VALUE"""),"AH JULIO")</f>
        <v>AH JULIO</v>
      </c>
      <c r="I821" s="42" t="str">
        <f ca="1">IFERROR(__xludf.DUMMYFUNCTION("""COMPUTED_VALUE"""),"Julio")</f>
        <v>Julio</v>
      </c>
      <c r="J821" s="42" t="str">
        <f ca="1">IFERROR(__xludf.DUMMYFUNCTION("""COMPUTED_VALUE"""),"AH")</f>
        <v>AH</v>
      </c>
      <c r="K821" s="98">
        <f ca="1">IFERROR(__xludf.DUMMYFUNCTION("""COMPUTED_VALUE"""),127)</f>
        <v>127</v>
      </c>
      <c r="L821" s="42" t="str">
        <f ca="1">IFERROR(__xludf.DUMMYFUNCTION("""COMPUTED_VALUE"""),"TRIMESTRE 3")</f>
        <v>TRIMESTRE 3</v>
      </c>
      <c r="M821" s="42" t="str">
        <f ca="1">IFERROR(__xludf.DUMMYFUNCTION("""COMPUTED_VALUE"""),"ADOLESCENTES HOMBRES")</f>
        <v>ADOLESCENTES HOMBRES</v>
      </c>
    </row>
    <row r="822" spans="1:13">
      <c r="A822" s="42" t="str">
        <f ca="1">IFERROR(__xludf.DUMMYFUNCTION("""COMPUTED_VALUE"""),"2.1.1.3")</f>
        <v>2.1.1.3</v>
      </c>
      <c r="B822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22" s="42" t="str">
        <f ca="1">IFERROR(__xludf.DUMMYFUNCTION("""COMPUTED_VALUE"""),"3. Operación")</f>
        <v>3. Operación</v>
      </c>
      <c r="D822" s="42" t="str">
        <f ca="1">IFERROR(__xludf.DUMMYFUNCTION("""COMPUTED_VALUE"""),"Guadalajara en Paz")</f>
        <v>Guadalajara en Paz</v>
      </c>
      <c r="E822" s="42" t="str">
        <f ca="1">IFERROR(__xludf.DUMMYFUNCTION("""COMPUTED_VALUE"""),"Atención Médica de Primer Nivel")</f>
        <v>Atención Médica de Primer Nivel</v>
      </c>
      <c r="F822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22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22" s="42" t="str">
        <f ca="1">IFERROR(__xludf.DUMMYFUNCTION("""COMPUTED_VALUE"""),"MUJ Julio")</f>
        <v>MUJ Julio</v>
      </c>
      <c r="I822" s="42" t="str">
        <f ca="1">IFERROR(__xludf.DUMMYFUNCTION("""COMPUTED_VALUE"""),"Julio")</f>
        <v>Julio</v>
      </c>
      <c r="J822" s="42" t="str">
        <f ca="1">IFERROR(__xludf.DUMMYFUNCTION("""COMPUTED_VALUE"""),"MUJ")</f>
        <v>MUJ</v>
      </c>
      <c r="K822" s="98">
        <f ca="1">IFERROR(__xludf.DUMMYFUNCTION("""COMPUTED_VALUE"""),75)</f>
        <v>75</v>
      </c>
      <c r="L822" s="42" t="str">
        <f ca="1">IFERROR(__xludf.DUMMYFUNCTION("""COMPUTED_VALUE"""),"TRIMESTRE 3")</f>
        <v>TRIMESTRE 3</v>
      </c>
      <c r="M822" s="42" t="str">
        <f ca="1">IFERROR(__xludf.DUMMYFUNCTION("""COMPUTED_VALUE"""),"MUJERES ADULTAS")</f>
        <v>MUJERES ADULTAS</v>
      </c>
    </row>
    <row r="823" spans="1:13">
      <c r="A823" s="42" t="str">
        <f ca="1">IFERROR(__xludf.DUMMYFUNCTION("""COMPUTED_VALUE"""),"2.1.1.3")</f>
        <v>2.1.1.3</v>
      </c>
      <c r="B823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23" s="42" t="str">
        <f ca="1">IFERROR(__xludf.DUMMYFUNCTION("""COMPUTED_VALUE"""),"3. Operación")</f>
        <v>3. Operación</v>
      </c>
      <c r="D823" s="42" t="str">
        <f ca="1">IFERROR(__xludf.DUMMYFUNCTION("""COMPUTED_VALUE"""),"Guadalajara en Paz")</f>
        <v>Guadalajara en Paz</v>
      </c>
      <c r="E823" s="42" t="str">
        <f ca="1">IFERROR(__xludf.DUMMYFUNCTION("""COMPUTED_VALUE"""),"Atención Médica de Primer Nivel")</f>
        <v>Atención Médica de Primer Nivel</v>
      </c>
      <c r="F823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23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23" s="42" t="str">
        <f ca="1">IFERROR(__xludf.DUMMYFUNCTION("""COMPUTED_VALUE"""),"HOM Julio")</f>
        <v>HOM Julio</v>
      </c>
      <c r="I823" s="42" t="str">
        <f ca="1">IFERROR(__xludf.DUMMYFUNCTION("""COMPUTED_VALUE"""),"Julio")</f>
        <v>Julio</v>
      </c>
      <c r="J823" s="42" t="str">
        <f ca="1">IFERROR(__xludf.DUMMYFUNCTION("""COMPUTED_VALUE"""),"HOM")</f>
        <v>HOM</v>
      </c>
      <c r="K823" s="98">
        <f ca="1">IFERROR(__xludf.DUMMYFUNCTION("""COMPUTED_VALUE"""),69)</f>
        <v>69</v>
      </c>
      <c r="L823" s="42" t="str">
        <f ca="1">IFERROR(__xludf.DUMMYFUNCTION("""COMPUTED_VALUE"""),"TRIMESTRE 3")</f>
        <v>TRIMESTRE 3</v>
      </c>
      <c r="M823" s="42" t="str">
        <f ca="1">IFERROR(__xludf.DUMMYFUNCTION("""COMPUTED_VALUE"""),"HOMBRES ADULTOS")</f>
        <v>HOMBRES ADULTOS</v>
      </c>
    </row>
    <row r="824" spans="1:13">
      <c r="A824" s="42" t="str">
        <f ca="1">IFERROR(__xludf.DUMMYFUNCTION("""COMPUTED_VALUE"""),"2.1.1.3")</f>
        <v>2.1.1.3</v>
      </c>
      <c r="B824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24" s="42" t="str">
        <f ca="1">IFERROR(__xludf.DUMMYFUNCTION("""COMPUTED_VALUE"""),"3. Operación")</f>
        <v>3. Operación</v>
      </c>
      <c r="D824" s="42" t="str">
        <f ca="1">IFERROR(__xludf.DUMMYFUNCTION("""COMPUTED_VALUE"""),"Guadalajara en Paz")</f>
        <v>Guadalajara en Paz</v>
      </c>
      <c r="E824" s="42" t="str">
        <f ca="1">IFERROR(__xludf.DUMMYFUNCTION("""COMPUTED_VALUE"""),"Atención Médica de Primer Nivel")</f>
        <v>Atención Médica de Primer Nivel</v>
      </c>
      <c r="F824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24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24" s="42" t="str">
        <f ca="1">IFERROR(__xludf.DUMMYFUNCTION("""COMPUTED_VALUE"""),"AMM Julio")</f>
        <v>AMM Julio</v>
      </c>
      <c r="I824" s="42" t="str">
        <f ca="1">IFERROR(__xludf.DUMMYFUNCTION("""COMPUTED_VALUE"""),"Julio")</f>
        <v>Julio</v>
      </c>
      <c r="J824" s="42" t="str">
        <f ca="1">IFERROR(__xludf.DUMMYFUNCTION("""COMPUTED_VALUE"""),"AMM")</f>
        <v>AMM</v>
      </c>
      <c r="K824" s="98">
        <f ca="1">IFERROR(__xludf.DUMMYFUNCTION("""COMPUTED_VALUE"""),131)</f>
        <v>131</v>
      </c>
      <c r="L824" s="42" t="str">
        <f ca="1">IFERROR(__xludf.DUMMYFUNCTION("""COMPUTED_VALUE"""),"TRIMESTRE 3")</f>
        <v>TRIMESTRE 3</v>
      </c>
      <c r="M824" s="42" t="str">
        <f ca="1">IFERROR(__xludf.DUMMYFUNCTION("""COMPUTED_VALUE"""),"ADULTA MAYOR MUJER")</f>
        <v>ADULTA MAYOR MUJER</v>
      </c>
    </row>
    <row r="825" spans="1:13">
      <c r="A825" s="42" t="str">
        <f ca="1">IFERROR(__xludf.DUMMYFUNCTION("""COMPUTED_VALUE"""),"2.1.1.3")</f>
        <v>2.1.1.3</v>
      </c>
      <c r="B825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25" s="42" t="str">
        <f ca="1">IFERROR(__xludf.DUMMYFUNCTION("""COMPUTED_VALUE"""),"3. Operación")</f>
        <v>3. Operación</v>
      </c>
      <c r="D825" s="42" t="str">
        <f ca="1">IFERROR(__xludf.DUMMYFUNCTION("""COMPUTED_VALUE"""),"Guadalajara en Paz")</f>
        <v>Guadalajara en Paz</v>
      </c>
      <c r="E825" s="42" t="str">
        <f ca="1">IFERROR(__xludf.DUMMYFUNCTION("""COMPUTED_VALUE"""),"Atención Médica de Primer Nivel")</f>
        <v>Atención Médica de Primer Nivel</v>
      </c>
      <c r="F825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25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25" s="42" t="str">
        <f ca="1">IFERROR(__xludf.DUMMYFUNCTION("""COMPUTED_VALUE"""),"AMH Julio")</f>
        <v>AMH Julio</v>
      </c>
      <c r="I825" s="42" t="str">
        <f ca="1">IFERROR(__xludf.DUMMYFUNCTION("""COMPUTED_VALUE"""),"Julio")</f>
        <v>Julio</v>
      </c>
      <c r="J825" s="42" t="str">
        <f ca="1">IFERROR(__xludf.DUMMYFUNCTION("""COMPUTED_VALUE"""),"AMH")</f>
        <v>AMH</v>
      </c>
      <c r="K825" s="98">
        <f ca="1">IFERROR(__xludf.DUMMYFUNCTION("""COMPUTED_VALUE"""),71)</f>
        <v>71</v>
      </c>
      <c r="L825" s="42" t="str">
        <f ca="1">IFERROR(__xludf.DUMMYFUNCTION("""COMPUTED_VALUE"""),"TRIMESTRE 3")</f>
        <v>TRIMESTRE 3</v>
      </c>
      <c r="M825" s="42" t="str">
        <f ca="1">IFERROR(__xludf.DUMMYFUNCTION("""COMPUTED_VALUE"""),"ADULTO MAYOR HOMBRE")</f>
        <v>ADULTO MAYOR HOMBRE</v>
      </c>
    </row>
    <row r="826" spans="1:13">
      <c r="A826" s="42" t="str">
        <f ca="1">IFERROR(__xludf.DUMMYFUNCTION("""COMPUTED_VALUE"""),"2.1.1.3")</f>
        <v>2.1.1.3</v>
      </c>
      <c r="B826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26" s="42" t="str">
        <f ca="1">IFERROR(__xludf.DUMMYFUNCTION("""COMPUTED_VALUE"""),"3. Operación")</f>
        <v>3. Operación</v>
      </c>
      <c r="D826" s="42" t="str">
        <f ca="1">IFERROR(__xludf.DUMMYFUNCTION("""COMPUTED_VALUE"""),"Guadalajara en Paz")</f>
        <v>Guadalajara en Paz</v>
      </c>
      <c r="E826" s="42" t="str">
        <f ca="1">IFERROR(__xludf.DUMMYFUNCTION("""COMPUTED_VALUE"""),"Atención Médica de Primer Nivel")</f>
        <v>Atención Médica de Primer Nivel</v>
      </c>
      <c r="F826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26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26" s="42" t="str">
        <f ca="1">IFERROR(__xludf.DUMMYFUNCTION("""COMPUTED_VALUE"""),"NAS Agosto")</f>
        <v>NAS Agosto</v>
      </c>
      <c r="I826" s="42" t="str">
        <f ca="1">IFERROR(__xludf.DUMMYFUNCTION("""COMPUTED_VALUE"""),"Agosto")</f>
        <v>Agosto</v>
      </c>
      <c r="J826" s="42" t="str">
        <f ca="1">IFERROR(__xludf.DUMMYFUNCTION("""COMPUTED_VALUE"""),"NAS")</f>
        <v>NAS</v>
      </c>
      <c r="K826" s="98">
        <f ca="1">IFERROR(__xludf.DUMMYFUNCTION("""COMPUTED_VALUE"""),210)</f>
        <v>210</v>
      </c>
      <c r="L826" s="42" t="str">
        <f ca="1">IFERROR(__xludf.DUMMYFUNCTION("""COMPUTED_VALUE"""),"TRIMESTRE 3")</f>
        <v>TRIMESTRE 3</v>
      </c>
      <c r="M826" s="42" t="str">
        <f ca="1">IFERROR(__xludf.DUMMYFUNCTION("""COMPUTED_VALUE"""),"NIÑAS")</f>
        <v>NIÑAS</v>
      </c>
    </row>
    <row r="827" spans="1:13">
      <c r="A827" s="42" t="str">
        <f ca="1">IFERROR(__xludf.DUMMYFUNCTION("""COMPUTED_VALUE"""),"2.1.1.3")</f>
        <v>2.1.1.3</v>
      </c>
      <c r="B827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27" s="42" t="str">
        <f ca="1">IFERROR(__xludf.DUMMYFUNCTION("""COMPUTED_VALUE"""),"3. Operación")</f>
        <v>3. Operación</v>
      </c>
      <c r="D827" s="42" t="str">
        <f ca="1">IFERROR(__xludf.DUMMYFUNCTION("""COMPUTED_VALUE"""),"Guadalajara en Paz")</f>
        <v>Guadalajara en Paz</v>
      </c>
      <c r="E827" s="42" t="str">
        <f ca="1">IFERROR(__xludf.DUMMYFUNCTION("""COMPUTED_VALUE"""),"Atención Médica de Primer Nivel")</f>
        <v>Atención Médica de Primer Nivel</v>
      </c>
      <c r="F827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27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27" s="42" t="str">
        <f ca="1">IFERROR(__xludf.DUMMYFUNCTION("""COMPUTED_VALUE"""),"NOS Agosto")</f>
        <v>NOS Agosto</v>
      </c>
      <c r="I827" s="42" t="str">
        <f ca="1">IFERROR(__xludf.DUMMYFUNCTION("""COMPUTED_VALUE"""),"Agosto")</f>
        <v>Agosto</v>
      </c>
      <c r="J827" s="42" t="str">
        <f ca="1">IFERROR(__xludf.DUMMYFUNCTION("""COMPUTED_VALUE"""),"NOS")</f>
        <v>NOS</v>
      </c>
      <c r="K827" s="98">
        <f ca="1">IFERROR(__xludf.DUMMYFUNCTION("""COMPUTED_VALUE"""),230)</f>
        <v>230</v>
      </c>
      <c r="L827" s="42" t="str">
        <f ca="1">IFERROR(__xludf.DUMMYFUNCTION("""COMPUTED_VALUE"""),"TRIMESTRE 3")</f>
        <v>TRIMESTRE 3</v>
      </c>
      <c r="M827" s="42" t="str">
        <f ca="1">IFERROR(__xludf.DUMMYFUNCTION("""COMPUTED_VALUE"""),"NIÑOS")</f>
        <v>NIÑOS</v>
      </c>
    </row>
    <row r="828" spans="1:13">
      <c r="A828" s="42" t="str">
        <f ca="1">IFERROR(__xludf.DUMMYFUNCTION("""COMPUTED_VALUE"""),"2.1.1.3")</f>
        <v>2.1.1.3</v>
      </c>
      <c r="B828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28" s="42" t="str">
        <f ca="1">IFERROR(__xludf.DUMMYFUNCTION("""COMPUTED_VALUE"""),"3. Operación")</f>
        <v>3. Operación</v>
      </c>
      <c r="D828" s="42" t="str">
        <f ca="1">IFERROR(__xludf.DUMMYFUNCTION("""COMPUTED_VALUE"""),"Guadalajara en Paz")</f>
        <v>Guadalajara en Paz</v>
      </c>
      <c r="E828" s="42" t="str">
        <f ca="1">IFERROR(__xludf.DUMMYFUNCTION("""COMPUTED_VALUE"""),"Atención Médica de Primer Nivel")</f>
        <v>Atención Médica de Primer Nivel</v>
      </c>
      <c r="F828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28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28" s="42" t="str">
        <f ca="1">IFERROR(__xludf.DUMMYFUNCTION("""COMPUTED_VALUE"""),"AM AGOSTO")</f>
        <v>AM AGOSTO</v>
      </c>
      <c r="I828" s="42" t="str">
        <f ca="1">IFERROR(__xludf.DUMMYFUNCTION("""COMPUTED_VALUE"""),"Agosto")</f>
        <v>Agosto</v>
      </c>
      <c r="J828" s="42" t="str">
        <f ca="1">IFERROR(__xludf.DUMMYFUNCTION("""COMPUTED_VALUE"""),"AM")</f>
        <v>AM</v>
      </c>
      <c r="K828" s="98">
        <f ca="1">IFERROR(__xludf.DUMMYFUNCTION("""COMPUTED_VALUE"""),136)</f>
        <v>136</v>
      </c>
      <c r="L828" s="42" t="str">
        <f ca="1">IFERROR(__xludf.DUMMYFUNCTION("""COMPUTED_VALUE"""),"TRIMESTRE 3")</f>
        <v>TRIMESTRE 3</v>
      </c>
      <c r="M828" s="42" t="str">
        <f ca="1">IFERROR(__xludf.DUMMYFUNCTION("""COMPUTED_VALUE"""),"ADOLESCENTES MUJERES")</f>
        <v>ADOLESCENTES MUJERES</v>
      </c>
    </row>
    <row r="829" spans="1:13">
      <c r="A829" s="42" t="str">
        <f ca="1">IFERROR(__xludf.DUMMYFUNCTION("""COMPUTED_VALUE"""),"2.1.1.3")</f>
        <v>2.1.1.3</v>
      </c>
      <c r="B829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29" s="42" t="str">
        <f ca="1">IFERROR(__xludf.DUMMYFUNCTION("""COMPUTED_VALUE"""),"3. Operación")</f>
        <v>3. Operación</v>
      </c>
      <c r="D829" s="42" t="str">
        <f ca="1">IFERROR(__xludf.DUMMYFUNCTION("""COMPUTED_VALUE"""),"Guadalajara en Paz")</f>
        <v>Guadalajara en Paz</v>
      </c>
      <c r="E829" s="42" t="str">
        <f ca="1">IFERROR(__xludf.DUMMYFUNCTION("""COMPUTED_VALUE"""),"Atención Médica de Primer Nivel")</f>
        <v>Atención Médica de Primer Nivel</v>
      </c>
      <c r="F829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29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29" s="42" t="str">
        <f ca="1">IFERROR(__xludf.DUMMYFUNCTION("""COMPUTED_VALUE"""),"AH AGOSTO")</f>
        <v>AH AGOSTO</v>
      </c>
      <c r="I829" s="42" t="str">
        <f ca="1">IFERROR(__xludf.DUMMYFUNCTION("""COMPUTED_VALUE"""),"Agosto")</f>
        <v>Agosto</v>
      </c>
      <c r="J829" s="42" t="str">
        <f ca="1">IFERROR(__xludf.DUMMYFUNCTION("""COMPUTED_VALUE"""),"AH")</f>
        <v>AH</v>
      </c>
      <c r="K829" s="98">
        <f ca="1">IFERROR(__xludf.DUMMYFUNCTION("""COMPUTED_VALUE"""),135)</f>
        <v>135</v>
      </c>
      <c r="L829" s="42" t="str">
        <f ca="1">IFERROR(__xludf.DUMMYFUNCTION("""COMPUTED_VALUE"""),"TRIMESTRE 3")</f>
        <v>TRIMESTRE 3</v>
      </c>
      <c r="M829" s="42" t="str">
        <f ca="1">IFERROR(__xludf.DUMMYFUNCTION("""COMPUTED_VALUE"""),"ADOLESCENTES HOMBRES")</f>
        <v>ADOLESCENTES HOMBRES</v>
      </c>
    </row>
    <row r="830" spans="1:13">
      <c r="A830" s="42" t="str">
        <f ca="1">IFERROR(__xludf.DUMMYFUNCTION("""COMPUTED_VALUE"""),"2.1.1.3")</f>
        <v>2.1.1.3</v>
      </c>
      <c r="B830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30" s="42" t="str">
        <f ca="1">IFERROR(__xludf.DUMMYFUNCTION("""COMPUTED_VALUE"""),"3. Operación")</f>
        <v>3. Operación</v>
      </c>
      <c r="D830" s="42" t="str">
        <f ca="1">IFERROR(__xludf.DUMMYFUNCTION("""COMPUTED_VALUE"""),"Guadalajara en Paz")</f>
        <v>Guadalajara en Paz</v>
      </c>
      <c r="E830" s="42" t="str">
        <f ca="1">IFERROR(__xludf.DUMMYFUNCTION("""COMPUTED_VALUE"""),"Atención Médica de Primer Nivel")</f>
        <v>Atención Médica de Primer Nivel</v>
      </c>
      <c r="F830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30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30" s="42" t="str">
        <f ca="1">IFERROR(__xludf.DUMMYFUNCTION("""COMPUTED_VALUE"""),"MUJ Agosto")</f>
        <v>MUJ Agosto</v>
      </c>
      <c r="I830" s="42" t="str">
        <f ca="1">IFERROR(__xludf.DUMMYFUNCTION("""COMPUTED_VALUE"""),"Agosto")</f>
        <v>Agosto</v>
      </c>
      <c r="J830" s="42" t="str">
        <f ca="1">IFERROR(__xludf.DUMMYFUNCTION("""COMPUTED_VALUE"""),"MUJ")</f>
        <v>MUJ</v>
      </c>
      <c r="K830" s="98">
        <f ca="1">IFERROR(__xludf.DUMMYFUNCTION("""COMPUTED_VALUE"""),135)</f>
        <v>135</v>
      </c>
      <c r="L830" s="42" t="str">
        <f ca="1">IFERROR(__xludf.DUMMYFUNCTION("""COMPUTED_VALUE"""),"TRIMESTRE 3")</f>
        <v>TRIMESTRE 3</v>
      </c>
      <c r="M830" s="42" t="str">
        <f ca="1">IFERROR(__xludf.DUMMYFUNCTION("""COMPUTED_VALUE"""),"MUJERES ADULTAS")</f>
        <v>MUJERES ADULTAS</v>
      </c>
    </row>
    <row r="831" spans="1:13">
      <c r="A831" s="42" t="str">
        <f ca="1">IFERROR(__xludf.DUMMYFUNCTION("""COMPUTED_VALUE"""),"2.1.1.3")</f>
        <v>2.1.1.3</v>
      </c>
      <c r="B831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31" s="42" t="str">
        <f ca="1">IFERROR(__xludf.DUMMYFUNCTION("""COMPUTED_VALUE"""),"3. Operación")</f>
        <v>3. Operación</v>
      </c>
      <c r="D831" s="42" t="str">
        <f ca="1">IFERROR(__xludf.DUMMYFUNCTION("""COMPUTED_VALUE"""),"Guadalajara en Paz")</f>
        <v>Guadalajara en Paz</v>
      </c>
      <c r="E831" s="42" t="str">
        <f ca="1">IFERROR(__xludf.DUMMYFUNCTION("""COMPUTED_VALUE"""),"Atención Médica de Primer Nivel")</f>
        <v>Atención Médica de Primer Nivel</v>
      </c>
      <c r="F831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31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31" s="42" t="str">
        <f ca="1">IFERROR(__xludf.DUMMYFUNCTION("""COMPUTED_VALUE"""),"HOM Agosto")</f>
        <v>HOM Agosto</v>
      </c>
      <c r="I831" s="42" t="str">
        <f ca="1">IFERROR(__xludf.DUMMYFUNCTION("""COMPUTED_VALUE"""),"Agosto")</f>
        <v>Agosto</v>
      </c>
      <c r="J831" s="42" t="str">
        <f ca="1">IFERROR(__xludf.DUMMYFUNCTION("""COMPUTED_VALUE"""),"HOM")</f>
        <v>HOM</v>
      </c>
      <c r="K831" s="98">
        <f ca="1">IFERROR(__xludf.DUMMYFUNCTION("""COMPUTED_VALUE"""),55)</f>
        <v>55</v>
      </c>
      <c r="L831" s="42" t="str">
        <f ca="1">IFERROR(__xludf.DUMMYFUNCTION("""COMPUTED_VALUE"""),"TRIMESTRE 3")</f>
        <v>TRIMESTRE 3</v>
      </c>
      <c r="M831" s="42" t="str">
        <f ca="1">IFERROR(__xludf.DUMMYFUNCTION("""COMPUTED_VALUE"""),"HOMBRES ADULTOS")</f>
        <v>HOMBRES ADULTOS</v>
      </c>
    </row>
    <row r="832" spans="1:13">
      <c r="A832" s="42" t="str">
        <f ca="1">IFERROR(__xludf.DUMMYFUNCTION("""COMPUTED_VALUE"""),"2.1.1.3")</f>
        <v>2.1.1.3</v>
      </c>
      <c r="B832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32" s="42" t="str">
        <f ca="1">IFERROR(__xludf.DUMMYFUNCTION("""COMPUTED_VALUE"""),"3. Operación")</f>
        <v>3. Operación</v>
      </c>
      <c r="D832" s="42" t="str">
        <f ca="1">IFERROR(__xludf.DUMMYFUNCTION("""COMPUTED_VALUE"""),"Guadalajara en Paz")</f>
        <v>Guadalajara en Paz</v>
      </c>
      <c r="E832" s="42" t="str">
        <f ca="1">IFERROR(__xludf.DUMMYFUNCTION("""COMPUTED_VALUE"""),"Atención Médica de Primer Nivel")</f>
        <v>Atención Médica de Primer Nivel</v>
      </c>
      <c r="F832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32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32" s="42" t="str">
        <f ca="1">IFERROR(__xludf.DUMMYFUNCTION("""COMPUTED_VALUE"""),"AMM Agosto")</f>
        <v>AMM Agosto</v>
      </c>
      <c r="I832" s="42" t="str">
        <f ca="1">IFERROR(__xludf.DUMMYFUNCTION("""COMPUTED_VALUE"""),"Agosto")</f>
        <v>Agosto</v>
      </c>
      <c r="J832" s="42" t="str">
        <f ca="1">IFERROR(__xludf.DUMMYFUNCTION("""COMPUTED_VALUE"""),"AMM")</f>
        <v>AMM</v>
      </c>
      <c r="K832" s="98">
        <f ca="1">IFERROR(__xludf.DUMMYFUNCTION("""COMPUTED_VALUE"""),17)</f>
        <v>17</v>
      </c>
      <c r="L832" s="42" t="str">
        <f ca="1">IFERROR(__xludf.DUMMYFUNCTION("""COMPUTED_VALUE"""),"TRIMESTRE 3")</f>
        <v>TRIMESTRE 3</v>
      </c>
      <c r="M832" s="42" t="str">
        <f ca="1">IFERROR(__xludf.DUMMYFUNCTION("""COMPUTED_VALUE"""),"ADULTA MAYOR MUJER")</f>
        <v>ADULTA MAYOR MUJER</v>
      </c>
    </row>
    <row r="833" spans="1:13">
      <c r="A833" s="42" t="str">
        <f ca="1">IFERROR(__xludf.DUMMYFUNCTION("""COMPUTED_VALUE"""),"2.1.1.3")</f>
        <v>2.1.1.3</v>
      </c>
      <c r="B833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33" s="42" t="str">
        <f ca="1">IFERROR(__xludf.DUMMYFUNCTION("""COMPUTED_VALUE"""),"3. Operación")</f>
        <v>3. Operación</v>
      </c>
      <c r="D833" s="42" t="str">
        <f ca="1">IFERROR(__xludf.DUMMYFUNCTION("""COMPUTED_VALUE"""),"Guadalajara en Paz")</f>
        <v>Guadalajara en Paz</v>
      </c>
      <c r="E833" s="42" t="str">
        <f ca="1">IFERROR(__xludf.DUMMYFUNCTION("""COMPUTED_VALUE"""),"Atención Médica de Primer Nivel")</f>
        <v>Atención Médica de Primer Nivel</v>
      </c>
      <c r="F833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33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33" s="42" t="str">
        <f ca="1">IFERROR(__xludf.DUMMYFUNCTION("""COMPUTED_VALUE"""),"AMH Agosto")</f>
        <v>AMH Agosto</v>
      </c>
      <c r="I833" s="42" t="str">
        <f ca="1">IFERROR(__xludf.DUMMYFUNCTION("""COMPUTED_VALUE"""),"Agosto")</f>
        <v>Agosto</v>
      </c>
      <c r="J833" s="42" t="str">
        <f ca="1">IFERROR(__xludf.DUMMYFUNCTION("""COMPUTED_VALUE"""),"AMH")</f>
        <v>AMH</v>
      </c>
      <c r="K833" s="98">
        <f ca="1">IFERROR(__xludf.DUMMYFUNCTION("""COMPUTED_VALUE"""),15)</f>
        <v>15</v>
      </c>
      <c r="L833" s="42" t="str">
        <f ca="1">IFERROR(__xludf.DUMMYFUNCTION("""COMPUTED_VALUE"""),"TRIMESTRE 3")</f>
        <v>TRIMESTRE 3</v>
      </c>
      <c r="M833" s="42" t="str">
        <f ca="1">IFERROR(__xludf.DUMMYFUNCTION("""COMPUTED_VALUE"""),"ADULTO MAYOR HOMBRE")</f>
        <v>ADULTO MAYOR HOMBRE</v>
      </c>
    </row>
    <row r="834" spans="1:13">
      <c r="A834" s="42" t="str">
        <f ca="1">IFERROR(__xludf.DUMMYFUNCTION("""COMPUTED_VALUE"""),"2.1.1.3")</f>
        <v>2.1.1.3</v>
      </c>
      <c r="B834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34" s="42" t="str">
        <f ca="1">IFERROR(__xludf.DUMMYFUNCTION("""COMPUTED_VALUE"""),"3. Operación")</f>
        <v>3. Operación</v>
      </c>
      <c r="D834" s="42" t="str">
        <f ca="1">IFERROR(__xludf.DUMMYFUNCTION("""COMPUTED_VALUE"""),"Guadalajara en Paz")</f>
        <v>Guadalajara en Paz</v>
      </c>
      <c r="E834" s="42" t="str">
        <f ca="1">IFERROR(__xludf.DUMMYFUNCTION("""COMPUTED_VALUE"""),"Atención Médica de Primer Nivel")</f>
        <v>Atención Médica de Primer Nivel</v>
      </c>
      <c r="F834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34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34" s="42" t="str">
        <f ca="1">IFERROR(__xludf.DUMMYFUNCTION("""COMPUTED_VALUE"""),"NAS Septiembre")</f>
        <v>NAS Septiembre</v>
      </c>
      <c r="I834" s="42" t="str">
        <f ca="1">IFERROR(__xludf.DUMMYFUNCTION("""COMPUTED_VALUE"""),"Septiembre")</f>
        <v>Septiembre</v>
      </c>
      <c r="J834" s="42" t="str">
        <f ca="1">IFERROR(__xludf.DUMMYFUNCTION("""COMPUTED_VALUE"""),"NAS")</f>
        <v>NAS</v>
      </c>
      <c r="K834" s="98">
        <f ca="1">IFERROR(__xludf.DUMMYFUNCTION("""COMPUTED_VALUE"""),196)</f>
        <v>196</v>
      </c>
      <c r="L834" s="42" t="str">
        <f ca="1">IFERROR(__xludf.DUMMYFUNCTION("""COMPUTED_VALUE"""),"TRIMESTRE 3")</f>
        <v>TRIMESTRE 3</v>
      </c>
      <c r="M834" s="42" t="str">
        <f ca="1">IFERROR(__xludf.DUMMYFUNCTION("""COMPUTED_VALUE"""),"NIÑAS")</f>
        <v>NIÑAS</v>
      </c>
    </row>
    <row r="835" spans="1:13">
      <c r="A835" s="42" t="str">
        <f ca="1">IFERROR(__xludf.DUMMYFUNCTION("""COMPUTED_VALUE"""),"2.1.1.3")</f>
        <v>2.1.1.3</v>
      </c>
      <c r="B835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35" s="42" t="str">
        <f ca="1">IFERROR(__xludf.DUMMYFUNCTION("""COMPUTED_VALUE"""),"3. Operación")</f>
        <v>3. Operación</v>
      </c>
      <c r="D835" s="42" t="str">
        <f ca="1">IFERROR(__xludf.DUMMYFUNCTION("""COMPUTED_VALUE"""),"Guadalajara en Paz")</f>
        <v>Guadalajara en Paz</v>
      </c>
      <c r="E835" s="42" t="str">
        <f ca="1">IFERROR(__xludf.DUMMYFUNCTION("""COMPUTED_VALUE"""),"Atención Médica de Primer Nivel")</f>
        <v>Atención Médica de Primer Nivel</v>
      </c>
      <c r="F835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35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35" s="42" t="str">
        <f ca="1">IFERROR(__xludf.DUMMYFUNCTION("""COMPUTED_VALUE"""),"NOS Septiembre")</f>
        <v>NOS Septiembre</v>
      </c>
      <c r="I835" s="42" t="str">
        <f ca="1">IFERROR(__xludf.DUMMYFUNCTION("""COMPUTED_VALUE"""),"Septiembre")</f>
        <v>Septiembre</v>
      </c>
      <c r="J835" s="42" t="str">
        <f ca="1">IFERROR(__xludf.DUMMYFUNCTION("""COMPUTED_VALUE"""),"NOS")</f>
        <v>NOS</v>
      </c>
      <c r="K835" s="98">
        <f ca="1">IFERROR(__xludf.DUMMYFUNCTION("""COMPUTED_VALUE"""),217)</f>
        <v>217</v>
      </c>
      <c r="L835" s="42" t="str">
        <f ca="1">IFERROR(__xludf.DUMMYFUNCTION("""COMPUTED_VALUE"""),"TRIMESTRE 3")</f>
        <v>TRIMESTRE 3</v>
      </c>
      <c r="M835" s="42" t="str">
        <f ca="1">IFERROR(__xludf.DUMMYFUNCTION("""COMPUTED_VALUE"""),"NIÑOS")</f>
        <v>NIÑOS</v>
      </c>
    </row>
    <row r="836" spans="1:13">
      <c r="A836" s="42" t="str">
        <f ca="1">IFERROR(__xludf.DUMMYFUNCTION("""COMPUTED_VALUE"""),"2.1.1.3")</f>
        <v>2.1.1.3</v>
      </c>
      <c r="B836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36" s="42" t="str">
        <f ca="1">IFERROR(__xludf.DUMMYFUNCTION("""COMPUTED_VALUE"""),"3. Operación")</f>
        <v>3. Operación</v>
      </c>
      <c r="D836" s="42" t="str">
        <f ca="1">IFERROR(__xludf.DUMMYFUNCTION("""COMPUTED_VALUE"""),"Guadalajara en Paz")</f>
        <v>Guadalajara en Paz</v>
      </c>
      <c r="E836" s="42" t="str">
        <f ca="1">IFERROR(__xludf.DUMMYFUNCTION("""COMPUTED_VALUE"""),"Atención Médica de Primer Nivel")</f>
        <v>Atención Médica de Primer Nivel</v>
      </c>
      <c r="F836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36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36" s="42" t="str">
        <f ca="1">IFERROR(__xludf.DUMMYFUNCTION("""COMPUTED_VALUE"""),"AM SEPTIEMBRE")</f>
        <v>AM SEPTIEMBRE</v>
      </c>
      <c r="I836" s="42" t="str">
        <f ca="1">IFERROR(__xludf.DUMMYFUNCTION("""COMPUTED_VALUE"""),"Septiembre")</f>
        <v>Septiembre</v>
      </c>
      <c r="J836" s="42" t="str">
        <f ca="1">IFERROR(__xludf.DUMMYFUNCTION("""COMPUTED_VALUE"""),"AM")</f>
        <v>AM</v>
      </c>
      <c r="K836" s="98">
        <f ca="1">IFERROR(__xludf.DUMMYFUNCTION("""COMPUTED_VALUE"""),262)</f>
        <v>262</v>
      </c>
      <c r="L836" s="42" t="str">
        <f ca="1">IFERROR(__xludf.DUMMYFUNCTION("""COMPUTED_VALUE"""),"TRIMESTRE 3")</f>
        <v>TRIMESTRE 3</v>
      </c>
      <c r="M836" s="42" t="str">
        <f ca="1">IFERROR(__xludf.DUMMYFUNCTION("""COMPUTED_VALUE"""),"ADOLESCENTES MUJERES")</f>
        <v>ADOLESCENTES MUJERES</v>
      </c>
    </row>
    <row r="837" spans="1:13">
      <c r="A837" s="42" t="str">
        <f ca="1">IFERROR(__xludf.DUMMYFUNCTION("""COMPUTED_VALUE"""),"2.1.1.3")</f>
        <v>2.1.1.3</v>
      </c>
      <c r="B837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37" s="42" t="str">
        <f ca="1">IFERROR(__xludf.DUMMYFUNCTION("""COMPUTED_VALUE"""),"3. Operación")</f>
        <v>3. Operación</v>
      </c>
      <c r="D837" s="42" t="str">
        <f ca="1">IFERROR(__xludf.DUMMYFUNCTION("""COMPUTED_VALUE"""),"Guadalajara en Paz")</f>
        <v>Guadalajara en Paz</v>
      </c>
      <c r="E837" s="42" t="str">
        <f ca="1">IFERROR(__xludf.DUMMYFUNCTION("""COMPUTED_VALUE"""),"Atención Médica de Primer Nivel")</f>
        <v>Atención Médica de Primer Nivel</v>
      </c>
      <c r="F837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37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37" s="42" t="str">
        <f ca="1">IFERROR(__xludf.DUMMYFUNCTION("""COMPUTED_VALUE"""),"AH SEPTIEMBRE")</f>
        <v>AH SEPTIEMBRE</v>
      </c>
      <c r="I837" s="42" t="str">
        <f ca="1">IFERROR(__xludf.DUMMYFUNCTION("""COMPUTED_VALUE"""),"Septiembre")</f>
        <v>Septiembre</v>
      </c>
      <c r="J837" s="42" t="str">
        <f ca="1">IFERROR(__xludf.DUMMYFUNCTION("""COMPUTED_VALUE"""),"AH")</f>
        <v>AH</v>
      </c>
      <c r="K837" s="98">
        <f ca="1">IFERROR(__xludf.DUMMYFUNCTION("""COMPUTED_VALUE"""),334)</f>
        <v>334</v>
      </c>
      <c r="L837" s="42" t="str">
        <f ca="1">IFERROR(__xludf.DUMMYFUNCTION("""COMPUTED_VALUE"""),"TRIMESTRE 3")</f>
        <v>TRIMESTRE 3</v>
      </c>
      <c r="M837" s="42" t="str">
        <f ca="1">IFERROR(__xludf.DUMMYFUNCTION("""COMPUTED_VALUE"""),"ADOLESCENTES HOMBRES")</f>
        <v>ADOLESCENTES HOMBRES</v>
      </c>
    </row>
    <row r="838" spans="1:13">
      <c r="A838" s="42" t="str">
        <f ca="1">IFERROR(__xludf.DUMMYFUNCTION("""COMPUTED_VALUE"""),"2.1.1.3")</f>
        <v>2.1.1.3</v>
      </c>
      <c r="B838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38" s="42" t="str">
        <f ca="1">IFERROR(__xludf.DUMMYFUNCTION("""COMPUTED_VALUE"""),"3. Operación")</f>
        <v>3. Operación</v>
      </c>
      <c r="D838" s="42" t="str">
        <f ca="1">IFERROR(__xludf.DUMMYFUNCTION("""COMPUTED_VALUE"""),"Guadalajara en Paz")</f>
        <v>Guadalajara en Paz</v>
      </c>
      <c r="E838" s="42" t="str">
        <f ca="1">IFERROR(__xludf.DUMMYFUNCTION("""COMPUTED_VALUE"""),"Atención Médica de Primer Nivel")</f>
        <v>Atención Médica de Primer Nivel</v>
      </c>
      <c r="F838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38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38" s="42" t="str">
        <f ca="1">IFERROR(__xludf.DUMMYFUNCTION("""COMPUTED_VALUE"""),"MUJ Septiembre")</f>
        <v>MUJ Septiembre</v>
      </c>
      <c r="I838" s="42" t="str">
        <f ca="1">IFERROR(__xludf.DUMMYFUNCTION("""COMPUTED_VALUE"""),"Septiembre")</f>
        <v>Septiembre</v>
      </c>
      <c r="J838" s="42" t="str">
        <f ca="1">IFERROR(__xludf.DUMMYFUNCTION("""COMPUTED_VALUE"""),"MUJ")</f>
        <v>MUJ</v>
      </c>
      <c r="K838" s="98">
        <f ca="1">IFERROR(__xludf.DUMMYFUNCTION("""COMPUTED_VALUE"""),40)</f>
        <v>40</v>
      </c>
      <c r="L838" s="42" t="str">
        <f ca="1">IFERROR(__xludf.DUMMYFUNCTION("""COMPUTED_VALUE"""),"TRIMESTRE 3")</f>
        <v>TRIMESTRE 3</v>
      </c>
      <c r="M838" s="42" t="str">
        <f ca="1">IFERROR(__xludf.DUMMYFUNCTION("""COMPUTED_VALUE"""),"MUJERES ADULTAS")</f>
        <v>MUJERES ADULTAS</v>
      </c>
    </row>
    <row r="839" spans="1:13">
      <c r="A839" s="42" t="str">
        <f ca="1">IFERROR(__xludf.DUMMYFUNCTION("""COMPUTED_VALUE"""),"2.1.1.3")</f>
        <v>2.1.1.3</v>
      </c>
      <c r="B839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39" s="42" t="str">
        <f ca="1">IFERROR(__xludf.DUMMYFUNCTION("""COMPUTED_VALUE"""),"3. Operación")</f>
        <v>3. Operación</v>
      </c>
      <c r="D839" s="42" t="str">
        <f ca="1">IFERROR(__xludf.DUMMYFUNCTION("""COMPUTED_VALUE"""),"Guadalajara en Paz")</f>
        <v>Guadalajara en Paz</v>
      </c>
      <c r="E839" s="42" t="str">
        <f ca="1">IFERROR(__xludf.DUMMYFUNCTION("""COMPUTED_VALUE"""),"Atención Médica de Primer Nivel")</f>
        <v>Atención Médica de Primer Nivel</v>
      </c>
      <c r="F839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39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39" s="42" t="str">
        <f ca="1">IFERROR(__xludf.DUMMYFUNCTION("""COMPUTED_VALUE"""),"HOM Septiembre")</f>
        <v>HOM Septiembre</v>
      </c>
      <c r="I839" s="42" t="str">
        <f ca="1">IFERROR(__xludf.DUMMYFUNCTION("""COMPUTED_VALUE"""),"Septiembre")</f>
        <v>Septiembre</v>
      </c>
      <c r="J839" s="42" t="str">
        <f ca="1">IFERROR(__xludf.DUMMYFUNCTION("""COMPUTED_VALUE"""),"HOM")</f>
        <v>HOM</v>
      </c>
      <c r="K839" s="98">
        <f ca="1">IFERROR(__xludf.DUMMYFUNCTION("""COMPUTED_VALUE"""),30)</f>
        <v>30</v>
      </c>
      <c r="L839" s="42" t="str">
        <f ca="1">IFERROR(__xludf.DUMMYFUNCTION("""COMPUTED_VALUE"""),"TRIMESTRE 3")</f>
        <v>TRIMESTRE 3</v>
      </c>
      <c r="M839" s="42" t="str">
        <f ca="1">IFERROR(__xludf.DUMMYFUNCTION("""COMPUTED_VALUE"""),"HOMBRES ADULTOS")</f>
        <v>HOMBRES ADULTOS</v>
      </c>
    </row>
    <row r="840" spans="1:13">
      <c r="A840" s="42" t="str">
        <f ca="1">IFERROR(__xludf.DUMMYFUNCTION("""COMPUTED_VALUE"""),"2.1.1.3")</f>
        <v>2.1.1.3</v>
      </c>
      <c r="B840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40" s="42" t="str">
        <f ca="1">IFERROR(__xludf.DUMMYFUNCTION("""COMPUTED_VALUE"""),"3. Operación")</f>
        <v>3. Operación</v>
      </c>
      <c r="D840" s="42" t="str">
        <f ca="1">IFERROR(__xludf.DUMMYFUNCTION("""COMPUTED_VALUE"""),"Guadalajara en Paz")</f>
        <v>Guadalajara en Paz</v>
      </c>
      <c r="E840" s="42" t="str">
        <f ca="1">IFERROR(__xludf.DUMMYFUNCTION("""COMPUTED_VALUE"""),"Atención Médica de Primer Nivel")</f>
        <v>Atención Médica de Primer Nivel</v>
      </c>
      <c r="F840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40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40" s="42" t="str">
        <f ca="1">IFERROR(__xludf.DUMMYFUNCTION("""COMPUTED_VALUE"""),"AMM Septiembre")</f>
        <v>AMM Septiembre</v>
      </c>
      <c r="I840" s="42" t="str">
        <f ca="1">IFERROR(__xludf.DUMMYFUNCTION("""COMPUTED_VALUE"""),"Septiembre")</f>
        <v>Septiembre</v>
      </c>
      <c r="J840" s="42" t="str">
        <f ca="1">IFERROR(__xludf.DUMMYFUNCTION("""COMPUTED_VALUE"""),"AMM")</f>
        <v>AMM</v>
      </c>
      <c r="K840" s="98">
        <f ca="1">IFERROR(__xludf.DUMMYFUNCTION("""COMPUTED_VALUE"""),15)</f>
        <v>15</v>
      </c>
      <c r="L840" s="42" t="str">
        <f ca="1">IFERROR(__xludf.DUMMYFUNCTION("""COMPUTED_VALUE"""),"TRIMESTRE 3")</f>
        <v>TRIMESTRE 3</v>
      </c>
      <c r="M840" s="42" t="str">
        <f ca="1">IFERROR(__xludf.DUMMYFUNCTION("""COMPUTED_VALUE"""),"ADULTA MAYOR MUJER")</f>
        <v>ADULTA MAYOR MUJER</v>
      </c>
    </row>
    <row r="841" spans="1:13">
      <c r="A841" s="42" t="str">
        <f ca="1">IFERROR(__xludf.DUMMYFUNCTION("""COMPUTED_VALUE"""),"2.1.1.3")</f>
        <v>2.1.1.3</v>
      </c>
      <c r="B841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41" s="42" t="str">
        <f ca="1">IFERROR(__xludf.DUMMYFUNCTION("""COMPUTED_VALUE"""),"3. Operación")</f>
        <v>3. Operación</v>
      </c>
      <c r="D841" s="42" t="str">
        <f ca="1">IFERROR(__xludf.DUMMYFUNCTION("""COMPUTED_VALUE"""),"Guadalajara en Paz")</f>
        <v>Guadalajara en Paz</v>
      </c>
      <c r="E841" s="42" t="str">
        <f ca="1">IFERROR(__xludf.DUMMYFUNCTION("""COMPUTED_VALUE"""),"Atención Médica de Primer Nivel")</f>
        <v>Atención Médica de Primer Nivel</v>
      </c>
      <c r="F841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41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41" s="42" t="str">
        <f ca="1">IFERROR(__xludf.DUMMYFUNCTION("""COMPUTED_VALUE"""),"AMH Septiembre")</f>
        <v>AMH Septiembre</v>
      </c>
      <c r="I841" s="42" t="str">
        <f ca="1">IFERROR(__xludf.DUMMYFUNCTION("""COMPUTED_VALUE"""),"Septiembre")</f>
        <v>Septiembre</v>
      </c>
      <c r="J841" s="42" t="str">
        <f ca="1">IFERROR(__xludf.DUMMYFUNCTION("""COMPUTED_VALUE"""),"AMH")</f>
        <v>AMH</v>
      </c>
      <c r="K841" s="98">
        <f ca="1">IFERROR(__xludf.DUMMYFUNCTION("""COMPUTED_VALUE"""),38)</f>
        <v>38</v>
      </c>
      <c r="L841" s="42" t="str">
        <f ca="1">IFERROR(__xludf.DUMMYFUNCTION("""COMPUTED_VALUE"""),"TRIMESTRE 3")</f>
        <v>TRIMESTRE 3</v>
      </c>
      <c r="M841" s="42" t="str">
        <f ca="1">IFERROR(__xludf.DUMMYFUNCTION("""COMPUTED_VALUE"""),"ADULTO MAYOR HOMBRE")</f>
        <v>ADULTO MAYOR HOMBRE</v>
      </c>
    </row>
    <row r="842" spans="1:13">
      <c r="A842" s="42" t="str">
        <f ca="1">IFERROR(__xludf.DUMMYFUNCTION("""COMPUTED_VALUE"""),"2.1.1.3")</f>
        <v>2.1.1.3</v>
      </c>
      <c r="B842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42" s="42" t="str">
        <f ca="1">IFERROR(__xludf.DUMMYFUNCTION("""COMPUTED_VALUE"""),"3. Operación")</f>
        <v>3. Operación</v>
      </c>
      <c r="D842" s="42" t="str">
        <f ca="1">IFERROR(__xludf.DUMMYFUNCTION("""COMPUTED_VALUE"""),"Guadalajara en Paz")</f>
        <v>Guadalajara en Paz</v>
      </c>
      <c r="E842" s="42" t="str">
        <f ca="1">IFERROR(__xludf.DUMMYFUNCTION("""COMPUTED_VALUE"""),"Atención Médica de Primer Nivel")</f>
        <v>Atención Médica de Primer Nivel</v>
      </c>
      <c r="F842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42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42" s="42" t="str">
        <f ca="1">IFERROR(__xludf.DUMMYFUNCTION("""COMPUTED_VALUE"""),"NAS Octubre")</f>
        <v>NAS Octubre</v>
      </c>
      <c r="I842" s="42" t="str">
        <f ca="1">IFERROR(__xludf.DUMMYFUNCTION("""COMPUTED_VALUE"""),"Octubre")</f>
        <v>Octubre</v>
      </c>
      <c r="J842" s="42" t="str">
        <f ca="1">IFERROR(__xludf.DUMMYFUNCTION("""COMPUTED_VALUE"""),"NAS")</f>
        <v>NAS</v>
      </c>
      <c r="K842" s="98"/>
      <c r="L842" s="42" t="str">
        <f ca="1">IFERROR(__xludf.DUMMYFUNCTION("""COMPUTED_VALUE"""),"TRIMESTRE 4")</f>
        <v>TRIMESTRE 4</v>
      </c>
      <c r="M842" s="42" t="str">
        <f ca="1">IFERROR(__xludf.DUMMYFUNCTION("""COMPUTED_VALUE"""),"NIÑAS")</f>
        <v>NIÑAS</v>
      </c>
    </row>
    <row r="843" spans="1:13">
      <c r="A843" s="42" t="str">
        <f ca="1">IFERROR(__xludf.DUMMYFUNCTION("""COMPUTED_VALUE"""),"2.1.1.3")</f>
        <v>2.1.1.3</v>
      </c>
      <c r="B843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43" s="42" t="str">
        <f ca="1">IFERROR(__xludf.DUMMYFUNCTION("""COMPUTED_VALUE"""),"3. Operación")</f>
        <v>3. Operación</v>
      </c>
      <c r="D843" s="42" t="str">
        <f ca="1">IFERROR(__xludf.DUMMYFUNCTION("""COMPUTED_VALUE"""),"Guadalajara en Paz")</f>
        <v>Guadalajara en Paz</v>
      </c>
      <c r="E843" s="42" t="str">
        <f ca="1">IFERROR(__xludf.DUMMYFUNCTION("""COMPUTED_VALUE"""),"Atención Médica de Primer Nivel")</f>
        <v>Atención Médica de Primer Nivel</v>
      </c>
      <c r="F843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43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43" s="42" t="str">
        <f ca="1">IFERROR(__xludf.DUMMYFUNCTION("""COMPUTED_VALUE"""),"NOS Octubre")</f>
        <v>NOS Octubre</v>
      </c>
      <c r="I843" s="42" t="str">
        <f ca="1">IFERROR(__xludf.DUMMYFUNCTION("""COMPUTED_VALUE"""),"Octubre")</f>
        <v>Octubre</v>
      </c>
      <c r="J843" s="42" t="str">
        <f ca="1">IFERROR(__xludf.DUMMYFUNCTION("""COMPUTED_VALUE"""),"NOS")</f>
        <v>NOS</v>
      </c>
      <c r="K843" s="98"/>
      <c r="L843" s="42" t="str">
        <f ca="1">IFERROR(__xludf.DUMMYFUNCTION("""COMPUTED_VALUE"""),"TRIMESTRE 4")</f>
        <v>TRIMESTRE 4</v>
      </c>
      <c r="M843" s="42" t="str">
        <f ca="1">IFERROR(__xludf.DUMMYFUNCTION("""COMPUTED_VALUE"""),"NIÑOS")</f>
        <v>NIÑOS</v>
      </c>
    </row>
    <row r="844" spans="1:13">
      <c r="A844" s="42" t="str">
        <f ca="1">IFERROR(__xludf.DUMMYFUNCTION("""COMPUTED_VALUE"""),"2.1.1.3")</f>
        <v>2.1.1.3</v>
      </c>
      <c r="B844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44" s="42" t="str">
        <f ca="1">IFERROR(__xludf.DUMMYFUNCTION("""COMPUTED_VALUE"""),"3. Operación")</f>
        <v>3. Operación</v>
      </c>
      <c r="D844" s="42" t="str">
        <f ca="1">IFERROR(__xludf.DUMMYFUNCTION("""COMPUTED_VALUE"""),"Guadalajara en Paz")</f>
        <v>Guadalajara en Paz</v>
      </c>
      <c r="E844" s="42" t="str">
        <f ca="1">IFERROR(__xludf.DUMMYFUNCTION("""COMPUTED_VALUE"""),"Atención Médica de Primer Nivel")</f>
        <v>Atención Médica de Primer Nivel</v>
      </c>
      <c r="F844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44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44" s="42" t="str">
        <f ca="1">IFERROR(__xludf.DUMMYFUNCTION("""COMPUTED_VALUE"""),"AM OCTUBRE")</f>
        <v>AM OCTUBRE</v>
      </c>
      <c r="I844" s="42" t="str">
        <f ca="1">IFERROR(__xludf.DUMMYFUNCTION("""COMPUTED_VALUE"""),"Octubre")</f>
        <v>Octubre</v>
      </c>
      <c r="J844" s="42" t="str">
        <f ca="1">IFERROR(__xludf.DUMMYFUNCTION("""COMPUTED_VALUE"""),"AM")</f>
        <v>AM</v>
      </c>
      <c r="K844" s="98"/>
      <c r="L844" s="42" t="str">
        <f ca="1">IFERROR(__xludf.DUMMYFUNCTION("""COMPUTED_VALUE"""),"TRIMESTRE 4")</f>
        <v>TRIMESTRE 4</v>
      </c>
      <c r="M844" s="42" t="str">
        <f ca="1">IFERROR(__xludf.DUMMYFUNCTION("""COMPUTED_VALUE"""),"ADOLESCENTES MUJERES")</f>
        <v>ADOLESCENTES MUJERES</v>
      </c>
    </row>
    <row r="845" spans="1:13">
      <c r="A845" s="42" t="str">
        <f ca="1">IFERROR(__xludf.DUMMYFUNCTION("""COMPUTED_VALUE"""),"2.1.1.3")</f>
        <v>2.1.1.3</v>
      </c>
      <c r="B845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45" s="42" t="str">
        <f ca="1">IFERROR(__xludf.DUMMYFUNCTION("""COMPUTED_VALUE"""),"3. Operación")</f>
        <v>3. Operación</v>
      </c>
      <c r="D845" s="42" t="str">
        <f ca="1">IFERROR(__xludf.DUMMYFUNCTION("""COMPUTED_VALUE"""),"Guadalajara en Paz")</f>
        <v>Guadalajara en Paz</v>
      </c>
      <c r="E845" s="42" t="str">
        <f ca="1">IFERROR(__xludf.DUMMYFUNCTION("""COMPUTED_VALUE"""),"Atención Médica de Primer Nivel")</f>
        <v>Atención Médica de Primer Nivel</v>
      </c>
      <c r="F845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45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45" s="42" t="str">
        <f ca="1">IFERROR(__xludf.DUMMYFUNCTION("""COMPUTED_VALUE"""),"AH OCTUBRE")</f>
        <v>AH OCTUBRE</v>
      </c>
      <c r="I845" s="42" t="str">
        <f ca="1">IFERROR(__xludf.DUMMYFUNCTION("""COMPUTED_VALUE"""),"Octubre")</f>
        <v>Octubre</v>
      </c>
      <c r="J845" s="42" t="str">
        <f ca="1">IFERROR(__xludf.DUMMYFUNCTION("""COMPUTED_VALUE"""),"AH")</f>
        <v>AH</v>
      </c>
      <c r="K845" s="98"/>
      <c r="L845" s="42" t="str">
        <f ca="1">IFERROR(__xludf.DUMMYFUNCTION("""COMPUTED_VALUE"""),"TRIMESTRE 4")</f>
        <v>TRIMESTRE 4</v>
      </c>
      <c r="M845" s="42" t="str">
        <f ca="1">IFERROR(__xludf.DUMMYFUNCTION("""COMPUTED_VALUE"""),"ADOLESCENTES HOMBRES")</f>
        <v>ADOLESCENTES HOMBRES</v>
      </c>
    </row>
    <row r="846" spans="1:13">
      <c r="A846" s="42" t="str">
        <f ca="1">IFERROR(__xludf.DUMMYFUNCTION("""COMPUTED_VALUE"""),"2.1.1.3")</f>
        <v>2.1.1.3</v>
      </c>
      <c r="B846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46" s="42" t="str">
        <f ca="1">IFERROR(__xludf.DUMMYFUNCTION("""COMPUTED_VALUE"""),"3. Operación")</f>
        <v>3. Operación</v>
      </c>
      <c r="D846" s="42" t="str">
        <f ca="1">IFERROR(__xludf.DUMMYFUNCTION("""COMPUTED_VALUE"""),"Guadalajara en Paz")</f>
        <v>Guadalajara en Paz</v>
      </c>
      <c r="E846" s="42" t="str">
        <f ca="1">IFERROR(__xludf.DUMMYFUNCTION("""COMPUTED_VALUE"""),"Atención Médica de Primer Nivel")</f>
        <v>Atención Médica de Primer Nivel</v>
      </c>
      <c r="F846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46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46" s="42" t="str">
        <f ca="1">IFERROR(__xludf.DUMMYFUNCTION("""COMPUTED_VALUE"""),"MUJ Octubre")</f>
        <v>MUJ Octubre</v>
      </c>
      <c r="I846" s="42" t="str">
        <f ca="1">IFERROR(__xludf.DUMMYFUNCTION("""COMPUTED_VALUE"""),"Octubre")</f>
        <v>Octubre</v>
      </c>
      <c r="J846" s="42" t="str">
        <f ca="1">IFERROR(__xludf.DUMMYFUNCTION("""COMPUTED_VALUE"""),"MUJ")</f>
        <v>MUJ</v>
      </c>
      <c r="K846" s="98"/>
      <c r="L846" s="42" t="str">
        <f ca="1">IFERROR(__xludf.DUMMYFUNCTION("""COMPUTED_VALUE"""),"TRIMESTRE 4")</f>
        <v>TRIMESTRE 4</v>
      </c>
      <c r="M846" s="42" t="str">
        <f ca="1">IFERROR(__xludf.DUMMYFUNCTION("""COMPUTED_VALUE"""),"MUJERES ADULTAS")</f>
        <v>MUJERES ADULTAS</v>
      </c>
    </row>
    <row r="847" spans="1:13">
      <c r="A847" s="42" t="str">
        <f ca="1">IFERROR(__xludf.DUMMYFUNCTION("""COMPUTED_VALUE"""),"2.1.1.3")</f>
        <v>2.1.1.3</v>
      </c>
      <c r="B847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47" s="42" t="str">
        <f ca="1">IFERROR(__xludf.DUMMYFUNCTION("""COMPUTED_VALUE"""),"3. Operación")</f>
        <v>3. Operación</v>
      </c>
      <c r="D847" s="42" t="str">
        <f ca="1">IFERROR(__xludf.DUMMYFUNCTION("""COMPUTED_VALUE"""),"Guadalajara en Paz")</f>
        <v>Guadalajara en Paz</v>
      </c>
      <c r="E847" s="42" t="str">
        <f ca="1">IFERROR(__xludf.DUMMYFUNCTION("""COMPUTED_VALUE"""),"Atención Médica de Primer Nivel")</f>
        <v>Atención Médica de Primer Nivel</v>
      </c>
      <c r="F847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47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47" s="42" t="str">
        <f ca="1">IFERROR(__xludf.DUMMYFUNCTION("""COMPUTED_VALUE"""),"HOM Octubre")</f>
        <v>HOM Octubre</v>
      </c>
      <c r="I847" s="42" t="str">
        <f ca="1">IFERROR(__xludf.DUMMYFUNCTION("""COMPUTED_VALUE"""),"Octubre")</f>
        <v>Octubre</v>
      </c>
      <c r="J847" s="42" t="str">
        <f ca="1">IFERROR(__xludf.DUMMYFUNCTION("""COMPUTED_VALUE"""),"HOM")</f>
        <v>HOM</v>
      </c>
      <c r="K847" s="98"/>
      <c r="L847" s="42" t="str">
        <f ca="1">IFERROR(__xludf.DUMMYFUNCTION("""COMPUTED_VALUE"""),"TRIMESTRE 4")</f>
        <v>TRIMESTRE 4</v>
      </c>
      <c r="M847" s="42" t="str">
        <f ca="1">IFERROR(__xludf.DUMMYFUNCTION("""COMPUTED_VALUE"""),"HOMBRES ADULTOS")</f>
        <v>HOMBRES ADULTOS</v>
      </c>
    </row>
    <row r="848" spans="1:13">
      <c r="A848" s="42" t="str">
        <f ca="1">IFERROR(__xludf.DUMMYFUNCTION("""COMPUTED_VALUE"""),"2.1.1.3")</f>
        <v>2.1.1.3</v>
      </c>
      <c r="B848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48" s="42" t="str">
        <f ca="1">IFERROR(__xludf.DUMMYFUNCTION("""COMPUTED_VALUE"""),"3. Operación")</f>
        <v>3. Operación</v>
      </c>
      <c r="D848" s="42" t="str">
        <f ca="1">IFERROR(__xludf.DUMMYFUNCTION("""COMPUTED_VALUE"""),"Guadalajara en Paz")</f>
        <v>Guadalajara en Paz</v>
      </c>
      <c r="E848" s="42" t="str">
        <f ca="1">IFERROR(__xludf.DUMMYFUNCTION("""COMPUTED_VALUE"""),"Atención Médica de Primer Nivel")</f>
        <v>Atención Médica de Primer Nivel</v>
      </c>
      <c r="F848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48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48" s="42" t="str">
        <f ca="1">IFERROR(__xludf.DUMMYFUNCTION("""COMPUTED_VALUE"""),"AMM Octubre")</f>
        <v>AMM Octubre</v>
      </c>
      <c r="I848" s="42" t="str">
        <f ca="1">IFERROR(__xludf.DUMMYFUNCTION("""COMPUTED_VALUE"""),"Octubre")</f>
        <v>Octubre</v>
      </c>
      <c r="J848" s="42" t="str">
        <f ca="1">IFERROR(__xludf.DUMMYFUNCTION("""COMPUTED_VALUE"""),"AMM")</f>
        <v>AMM</v>
      </c>
      <c r="K848" s="98"/>
      <c r="L848" s="42" t="str">
        <f ca="1">IFERROR(__xludf.DUMMYFUNCTION("""COMPUTED_VALUE"""),"TRIMESTRE 4")</f>
        <v>TRIMESTRE 4</v>
      </c>
      <c r="M848" s="42" t="str">
        <f ca="1">IFERROR(__xludf.DUMMYFUNCTION("""COMPUTED_VALUE"""),"ADULTA MAYOR MUJER")</f>
        <v>ADULTA MAYOR MUJER</v>
      </c>
    </row>
    <row r="849" spans="1:13">
      <c r="A849" s="42" t="str">
        <f ca="1">IFERROR(__xludf.DUMMYFUNCTION("""COMPUTED_VALUE"""),"2.1.1.3")</f>
        <v>2.1.1.3</v>
      </c>
      <c r="B849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49" s="42" t="str">
        <f ca="1">IFERROR(__xludf.DUMMYFUNCTION("""COMPUTED_VALUE"""),"3. Operación")</f>
        <v>3. Operación</v>
      </c>
      <c r="D849" s="42" t="str">
        <f ca="1">IFERROR(__xludf.DUMMYFUNCTION("""COMPUTED_VALUE"""),"Guadalajara en Paz")</f>
        <v>Guadalajara en Paz</v>
      </c>
      <c r="E849" s="42" t="str">
        <f ca="1">IFERROR(__xludf.DUMMYFUNCTION("""COMPUTED_VALUE"""),"Atención Médica de Primer Nivel")</f>
        <v>Atención Médica de Primer Nivel</v>
      </c>
      <c r="F849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49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49" s="42" t="str">
        <f ca="1">IFERROR(__xludf.DUMMYFUNCTION("""COMPUTED_VALUE"""),"AMH Octubre")</f>
        <v>AMH Octubre</v>
      </c>
      <c r="I849" s="42" t="str">
        <f ca="1">IFERROR(__xludf.DUMMYFUNCTION("""COMPUTED_VALUE"""),"Octubre")</f>
        <v>Octubre</v>
      </c>
      <c r="J849" s="42" t="str">
        <f ca="1">IFERROR(__xludf.DUMMYFUNCTION("""COMPUTED_VALUE"""),"AMH")</f>
        <v>AMH</v>
      </c>
      <c r="K849" s="98"/>
      <c r="L849" s="42" t="str">
        <f ca="1">IFERROR(__xludf.DUMMYFUNCTION("""COMPUTED_VALUE"""),"TRIMESTRE 4")</f>
        <v>TRIMESTRE 4</v>
      </c>
      <c r="M849" s="42" t="str">
        <f ca="1">IFERROR(__xludf.DUMMYFUNCTION("""COMPUTED_VALUE"""),"ADULTO MAYOR HOMBRE")</f>
        <v>ADULTO MAYOR HOMBRE</v>
      </c>
    </row>
    <row r="850" spans="1:13">
      <c r="A850" s="42" t="str">
        <f ca="1">IFERROR(__xludf.DUMMYFUNCTION("""COMPUTED_VALUE"""),"2.1.1.3")</f>
        <v>2.1.1.3</v>
      </c>
      <c r="B850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50" s="42" t="str">
        <f ca="1">IFERROR(__xludf.DUMMYFUNCTION("""COMPUTED_VALUE"""),"3. Operación")</f>
        <v>3. Operación</v>
      </c>
      <c r="D850" s="42" t="str">
        <f ca="1">IFERROR(__xludf.DUMMYFUNCTION("""COMPUTED_VALUE"""),"Guadalajara en Paz")</f>
        <v>Guadalajara en Paz</v>
      </c>
      <c r="E850" s="42" t="str">
        <f ca="1">IFERROR(__xludf.DUMMYFUNCTION("""COMPUTED_VALUE"""),"Atención Médica de Primer Nivel")</f>
        <v>Atención Médica de Primer Nivel</v>
      </c>
      <c r="F850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50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50" s="42" t="str">
        <f ca="1">IFERROR(__xludf.DUMMYFUNCTION("""COMPUTED_VALUE"""),"NAS Noviembre")</f>
        <v>NAS Noviembre</v>
      </c>
      <c r="I850" s="42" t="str">
        <f ca="1">IFERROR(__xludf.DUMMYFUNCTION("""COMPUTED_VALUE"""),"Noviembre")</f>
        <v>Noviembre</v>
      </c>
      <c r="J850" s="42" t="str">
        <f ca="1">IFERROR(__xludf.DUMMYFUNCTION("""COMPUTED_VALUE"""),"NAS")</f>
        <v>NAS</v>
      </c>
      <c r="K850" s="98"/>
      <c r="L850" s="42" t="str">
        <f ca="1">IFERROR(__xludf.DUMMYFUNCTION("""COMPUTED_VALUE"""),"TRIMESTRE 4")</f>
        <v>TRIMESTRE 4</v>
      </c>
      <c r="M850" s="42" t="str">
        <f ca="1">IFERROR(__xludf.DUMMYFUNCTION("""COMPUTED_VALUE"""),"NIÑAS")</f>
        <v>NIÑAS</v>
      </c>
    </row>
    <row r="851" spans="1:13">
      <c r="A851" s="42" t="str">
        <f ca="1">IFERROR(__xludf.DUMMYFUNCTION("""COMPUTED_VALUE"""),"2.1.1.3")</f>
        <v>2.1.1.3</v>
      </c>
      <c r="B851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51" s="42" t="str">
        <f ca="1">IFERROR(__xludf.DUMMYFUNCTION("""COMPUTED_VALUE"""),"3. Operación")</f>
        <v>3. Operación</v>
      </c>
      <c r="D851" s="42" t="str">
        <f ca="1">IFERROR(__xludf.DUMMYFUNCTION("""COMPUTED_VALUE"""),"Guadalajara en Paz")</f>
        <v>Guadalajara en Paz</v>
      </c>
      <c r="E851" s="42" t="str">
        <f ca="1">IFERROR(__xludf.DUMMYFUNCTION("""COMPUTED_VALUE"""),"Atención Médica de Primer Nivel")</f>
        <v>Atención Médica de Primer Nivel</v>
      </c>
      <c r="F851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51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51" s="42" t="str">
        <f ca="1">IFERROR(__xludf.DUMMYFUNCTION("""COMPUTED_VALUE"""),"NOS Noviembre")</f>
        <v>NOS Noviembre</v>
      </c>
      <c r="I851" s="42" t="str">
        <f ca="1">IFERROR(__xludf.DUMMYFUNCTION("""COMPUTED_VALUE"""),"Noviembre")</f>
        <v>Noviembre</v>
      </c>
      <c r="J851" s="42" t="str">
        <f ca="1">IFERROR(__xludf.DUMMYFUNCTION("""COMPUTED_VALUE"""),"NOS")</f>
        <v>NOS</v>
      </c>
      <c r="K851" s="98"/>
      <c r="L851" s="42" t="str">
        <f ca="1">IFERROR(__xludf.DUMMYFUNCTION("""COMPUTED_VALUE"""),"TRIMESTRE 4")</f>
        <v>TRIMESTRE 4</v>
      </c>
      <c r="M851" s="42" t="str">
        <f ca="1">IFERROR(__xludf.DUMMYFUNCTION("""COMPUTED_VALUE"""),"NIÑOS")</f>
        <v>NIÑOS</v>
      </c>
    </row>
    <row r="852" spans="1:13">
      <c r="A852" s="42" t="str">
        <f ca="1">IFERROR(__xludf.DUMMYFUNCTION("""COMPUTED_VALUE"""),"2.1.1.3")</f>
        <v>2.1.1.3</v>
      </c>
      <c r="B852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52" s="42" t="str">
        <f ca="1">IFERROR(__xludf.DUMMYFUNCTION("""COMPUTED_VALUE"""),"3. Operación")</f>
        <v>3. Operación</v>
      </c>
      <c r="D852" s="42" t="str">
        <f ca="1">IFERROR(__xludf.DUMMYFUNCTION("""COMPUTED_VALUE"""),"Guadalajara en Paz")</f>
        <v>Guadalajara en Paz</v>
      </c>
      <c r="E852" s="42" t="str">
        <f ca="1">IFERROR(__xludf.DUMMYFUNCTION("""COMPUTED_VALUE"""),"Atención Médica de Primer Nivel")</f>
        <v>Atención Médica de Primer Nivel</v>
      </c>
      <c r="F852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52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52" s="42" t="str">
        <f ca="1">IFERROR(__xludf.DUMMYFUNCTION("""COMPUTED_VALUE"""),"AM NOVIEMBRE")</f>
        <v>AM NOVIEMBRE</v>
      </c>
      <c r="I852" s="42" t="str">
        <f ca="1">IFERROR(__xludf.DUMMYFUNCTION("""COMPUTED_VALUE"""),"Noviembre")</f>
        <v>Noviembre</v>
      </c>
      <c r="J852" s="42" t="str">
        <f ca="1">IFERROR(__xludf.DUMMYFUNCTION("""COMPUTED_VALUE"""),"AM")</f>
        <v>AM</v>
      </c>
      <c r="K852" s="98"/>
      <c r="L852" s="42" t="str">
        <f ca="1">IFERROR(__xludf.DUMMYFUNCTION("""COMPUTED_VALUE"""),"TRIMESTRE 4")</f>
        <v>TRIMESTRE 4</v>
      </c>
      <c r="M852" s="42" t="str">
        <f ca="1">IFERROR(__xludf.DUMMYFUNCTION("""COMPUTED_VALUE"""),"ADOLESCENTES MUJERES")</f>
        <v>ADOLESCENTES MUJERES</v>
      </c>
    </row>
    <row r="853" spans="1:13">
      <c r="A853" s="42" t="str">
        <f ca="1">IFERROR(__xludf.DUMMYFUNCTION("""COMPUTED_VALUE"""),"2.1.1.3")</f>
        <v>2.1.1.3</v>
      </c>
      <c r="B853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53" s="42" t="str">
        <f ca="1">IFERROR(__xludf.DUMMYFUNCTION("""COMPUTED_VALUE"""),"3. Operación")</f>
        <v>3. Operación</v>
      </c>
      <c r="D853" s="42" t="str">
        <f ca="1">IFERROR(__xludf.DUMMYFUNCTION("""COMPUTED_VALUE"""),"Guadalajara en Paz")</f>
        <v>Guadalajara en Paz</v>
      </c>
      <c r="E853" s="42" t="str">
        <f ca="1">IFERROR(__xludf.DUMMYFUNCTION("""COMPUTED_VALUE"""),"Atención Médica de Primer Nivel")</f>
        <v>Atención Médica de Primer Nivel</v>
      </c>
      <c r="F853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53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53" s="42" t="str">
        <f ca="1">IFERROR(__xludf.DUMMYFUNCTION("""COMPUTED_VALUE"""),"AH NOVIEMBRE")</f>
        <v>AH NOVIEMBRE</v>
      </c>
      <c r="I853" s="42" t="str">
        <f ca="1">IFERROR(__xludf.DUMMYFUNCTION("""COMPUTED_VALUE"""),"Noviembre")</f>
        <v>Noviembre</v>
      </c>
      <c r="J853" s="42" t="str">
        <f ca="1">IFERROR(__xludf.DUMMYFUNCTION("""COMPUTED_VALUE"""),"AH")</f>
        <v>AH</v>
      </c>
      <c r="K853" s="98"/>
      <c r="L853" s="42" t="str">
        <f ca="1">IFERROR(__xludf.DUMMYFUNCTION("""COMPUTED_VALUE"""),"TRIMESTRE 4")</f>
        <v>TRIMESTRE 4</v>
      </c>
      <c r="M853" s="42" t="str">
        <f ca="1">IFERROR(__xludf.DUMMYFUNCTION("""COMPUTED_VALUE"""),"ADOLESCENTES HOMBRES")</f>
        <v>ADOLESCENTES HOMBRES</v>
      </c>
    </row>
    <row r="854" spans="1:13">
      <c r="A854" s="42" t="str">
        <f ca="1">IFERROR(__xludf.DUMMYFUNCTION("""COMPUTED_VALUE"""),"2.1.1.3")</f>
        <v>2.1.1.3</v>
      </c>
      <c r="B854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54" s="42" t="str">
        <f ca="1">IFERROR(__xludf.DUMMYFUNCTION("""COMPUTED_VALUE"""),"3. Operación")</f>
        <v>3. Operación</v>
      </c>
      <c r="D854" s="42" t="str">
        <f ca="1">IFERROR(__xludf.DUMMYFUNCTION("""COMPUTED_VALUE"""),"Guadalajara en Paz")</f>
        <v>Guadalajara en Paz</v>
      </c>
      <c r="E854" s="42" t="str">
        <f ca="1">IFERROR(__xludf.DUMMYFUNCTION("""COMPUTED_VALUE"""),"Atención Médica de Primer Nivel")</f>
        <v>Atención Médica de Primer Nivel</v>
      </c>
      <c r="F854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54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54" s="42" t="str">
        <f ca="1">IFERROR(__xludf.DUMMYFUNCTION("""COMPUTED_VALUE"""),"MUJ Noviembre")</f>
        <v>MUJ Noviembre</v>
      </c>
      <c r="I854" s="42" t="str">
        <f ca="1">IFERROR(__xludf.DUMMYFUNCTION("""COMPUTED_VALUE"""),"Noviembre")</f>
        <v>Noviembre</v>
      </c>
      <c r="J854" s="42" t="str">
        <f ca="1">IFERROR(__xludf.DUMMYFUNCTION("""COMPUTED_VALUE"""),"MUJ")</f>
        <v>MUJ</v>
      </c>
      <c r="K854" s="98"/>
      <c r="L854" s="42" t="str">
        <f ca="1">IFERROR(__xludf.DUMMYFUNCTION("""COMPUTED_VALUE"""),"TRIMESTRE 4")</f>
        <v>TRIMESTRE 4</v>
      </c>
      <c r="M854" s="42" t="str">
        <f ca="1">IFERROR(__xludf.DUMMYFUNCTION("""COMPUTED_VALUE"""),"MUJERES ADULTAS")</f>
        <v>MUJERES ADULTAS</v>
      </c>
    </row>
    <row r="855" spans="1:13">
      <c r="A855" s="42" t="str">
        <f ca="1">IFERROR(__xludf.DUMMYFUNCTION("""COMPUTED_VALUE"""),"2.1.1.3")</f>
        <v>2.1.1.3</v>
      </c>
      <c r="B855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55" s="42" t="str">
        <f ca="1">IFERROR(__xludf.DUMMYFUNCTION("""COMPUTED_VALUE"""),"3. Operación")</f>
        <v>3. Operación</v>
      </c>
      <c r="D855" s="42" t="str">
        <f ca="1">IFERROR(__xludf.DUMMYFUNCTION("""COMPUTED_VALUE"""),"Guadalajara en Paz")</f>
        <v>Guadalajara en Paz</v>
      </c>
      <c r="E855" s="42" t="str">
        <f ca="1">IFERROR(__xludf.DUMMYFUNCTION("""COMPUTED_VALUE"""),"Atención Médica de Primer Nivel")</f>
        <v>Atención Médica de Primer Nivel</v>
      </c>
      <c r="F855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55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55" s="42" t="str">
        <f ca="1">IFERROR(__xludf.DUMMYFUNCTION("""COMPUTED_VALUE"""),"HOM Noviembre")</f>
        <v>HOM Noviembre</v>
      </c>
      <c r="I855" s="42" t="str">
        <f ca="1">IFERROR(__xludf.DUMMYFUNCTION("""COMPUTED_VALUE"""),"Noviembre")</f>
        <v>Noviembre</v>
      </c>
      <c r="J855" s="42" t="str">
        <f ca="1">IFERROR(__xludf.DUMMYFUNCTION("""COMPUTED_VALUE"""),"HOM")</f>
        <v>HOM</v>
      </c>
      <c r="K855" s="98"/>
      <c r="L855" s="42" t="str">
        <f ca="1">IFERROR(__xludf.DUMMYFUNCTION("""COMPUTED_VALUE"""),"TRIMESTRE 4")</f>
        <v>TRIMESTRE 4</v>
      </c>
      <c r="M855" s="42" t="str">
        <f ca="1">IFERROR(__xludf.DUMMYFUNCTION("""COMPUTED_VALUE"""),"HOMBRES ADULTOS")</f>
        <v>HOMBRES ADULTOS</v>
      </c>
    </row>
    <row r="856" spans="1:13">
      <c r="A856" s="42" t="str">
        <f ca="1">IFERROR(__xludf.DUMMYFUNCTION("""COMPUTED_VALUE"""),"2.1.1.3")</f>
        <v>2.1.1.3</v>
      </c>
      <c r="B856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56" s="42" t="str">
        <f ca="1">IFERROR(__xludf.DUMMYFUNCTION("""COMPUTED_VALUE"""),"3. Operación")</f>
        <v>3. Operación</v>
      </c>
      <c r="D856" s="42" t="str">
        <f ca="1">IFERROR(__xludf.DUMMYFUNCTION("""COMPUTED_VALUE"""),"Guadalajara en Paz")</f>
        <v>Guadalajara en Paz</v>
      </c>
      <c r="E856" s="42" t="str">
        <f ca="1">IFERROR(__xludf.DUMMYFUNCTION("""COMPUTED_VALUE"""),"Atención Médica de Primer Nivel")</f>
        <v>Atención Médica de Primer Nivel</v>
      </c>
      <c r="F856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56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56" s="42" t="str">
        <f ca="1">IFERROR(__xludf.DUMMYFUNCTION("""COMPUTED_VALUE"""),"AMM Noviembre")</f>
        <v>AMM Noviembre</v>
      </c>
      <c r="I856" s="42" t="str">
        <f ca="1">IFERROR(__xludf.DUMMYFUNCTION("""COMPUTED_VALUE"""),"Noviembre")</f>
        <v>Noviembre</v>
      </c>
      <c r="J856" s="42" t="str">
        <f ca="1">IFERROR(__xludf.DUMMYFUNCTION("""COMPUTED_VALUE"""),"AMM")</f>
        <v>AMM</v>
      </c>
      <c r="K856" s="98"/>
      <c r="L856" s="42" t="str">
        <f ca="1">IFERROR(__xludf.DUMMYFUNCTION("""COMPUTED_VALUE"""),"TRIMESTRE 4")</f>
        <v>TRIMESTRE 4</v>
      </c>
      <c r="M856" s="42" t="str">
        <f ca="1">IFERROR(__xludf.DUMMYFUNCTION("""COMPUTED_VALUE"""),"ADULTA MAYOR MUJER")</f>
        <v>ADULTA MAYOR MUJER</v>
      </c>
    </row>
    <row r="857" spans="1:13">
      <c r="A857" s="42" t="str">
        <f ca="1">IFERROR(__xludf.DUMMYFUNCTION("""COMPUTED_VALUE"""),"2.1.1.3")</f>
        <v>2.1.1.3</v>
      </c>
      <c r="B857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57" s="42" t="str">
        <f ca="1">IFERROR(__xludf.DUMMYFUNCTION("""COMPUTED_VALUE"""),"3. Operación")</f>
        <v>3. Operación</v>
      </c>
      <c r="D857" s="42" t="str">
        <f ca="1">IFERROR(__xludf.DUMMYFUNCTION("""COMPUTED_VALUE"""),"Guadalajara en Paz")</f>
        <v>Guadalajara en Paz</v>
      </c>
      <c r="E857" s="42" t="str">
        <f ca="1">IFERROR(__xludf.DUMMYFUNCTION("""COMPUTED_VALUE"""),"Atención Médica de Primer Nivel")</f>
        <v>Atención Médica de Primer Nivel</v>
      </c>
      <c r="F857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57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57" s="42" t="str">
        <f ca="1">IFERROR(__xludf.DUMMYFUNCTION("""COMPUTED_VALUE"""),"AMH Noviembre")</f>
        <v>AMH Noviembre</v>
      </c>
      <c r="I857" s="42" t="str">
        <f ca="1">IFERROR(__xludf.DUMMYFUNCTION("""COMPUTED_VALUE"""),"Noviembre")</f>
        <v>Noviembre</v>
      </c>
      <c r="J857" s="42" t="str">
        <f ca="1">IFERROR(__xludf.DUMMYFUNCTION("""COMPUTED_VALUE"""),"AMH")</f>
        <v>AMH</v>
      </c>
      <c r="K857" s="98"/>
      <c r="L857" s="42" t="str">
        <f ca="1">IFERROR(__xludf.DUMMYFUNCTION("""COMPUTED_VALUE"""),"TRIMESTRE 4")</f>
        <v>TRIMESTRE 4</v>
      </c>
      <c r="M857" s="42" t="str">
        <f ca="1">IFERROR(__xludf.DUMMYFUNCTION("""COMPUTED_VALUE"""),"ADULTO MAYOR HOMBRE")</f>
        <v>ADULTO MAYOR HOMBRE</v>
      </c>
    </row>
    <row r="858" spans="1:13">
      <c r="A858" s="42" t="str">
        <f ca="1">IFERROR(__xludf.DUMMYFUNCTION("""COMPUTED_VALUE"""),"2.1.1.3")</f>
        <v>2.1.1.3</v>
      </c>
      <c r="B858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58" s="42" t="str">
        <f ca="1">IFERROR(__xludf.DUMMYFUNCTION("""COMPUTED_VALUE"""),"3. Operación")</f>
        <v>3. Operación</v>
      </c>
      <c r="D858" s="42" t="str">
        <f ca="1">IFERROR(__xludf.DUMMYFUNCTION("""COMPUTED_VALUE"""),"Guadalajara en Paz")</f>
        <v>Guadalajara en Paz</v>
      </c>
      <c r="E858" s="42" t="str">
        <f ca="1">IFERROR(__xludf.DUMMYFUNCTION("""COMPUTED_VALUE"""),"Atención Médica de Primer Nivel")</f>
        <v>Atención Médica de Primer Nivel</v>
      </c>
      <c r="F858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58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58" s="42" t="str">
        <f ca="1">IFERROR(__xludf.DUMMYFUNCTION("""COMPUTED_VALUE"""),"NAS Diciembre")</f>
        <v>NAS Diciembre</v>
      </c>
      <c r="I858" s="42" t="str">
        <f ca="1">IFERROR(__xludf.DUMMYFUNCTION("""COMPUTED_VALUE"""),"Diciembre")</f>
        <v>Diciembre</v>
      </c>
      <c r="J858" s="42" t="str">
        <f ca="1">IFERROR(__xludf.DUMMYFUNCTION("""COMPUTED_VALUE"""),"NAS")</f>
        <v>NAS</v>
      </c>
      <c r="K858" s="98"/>
      <c r="L858" s="42" t="str">
        <f ca="1">IFERROR(__xludf.DUMMYFUNCTION("""COMPUTED_VALUE"""),"TRIMESTRE 4")</f>
        <v>TRIMESTRE 4</v>
      </c>
      <c r="M858" s="42" t="str">
        <f ca="1">IFERROR(__xludf.DUMMYFUNCTION("""COMPUTED_VALUE"""),"NIÑAS")</f>
        <v>NIÑAS</v>
      </c>
    </row>
    <row r="859" spans="1:13">
      <c r="A859" s="42" t="str">
        <f ca="1">IFERROR(__xludf.DUMMYFUNCTION("""COMPUTED_VALUE"""),"2.1.1.3")</f>
        <v>2.1.1.3</v>
      </c>
      <c r="B859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59" s="42" t="str">
        <f ca="1">IFERROR(__xludf.DUMMYFUNCTION("""COMPUTED_VALUE"""),"3. Operación")</f>
        <v>3. Operación</v>
      </c>
      <c r="D859" s="42" t="str">
        <f ca="1">IFERROR(__xludf.DUMMYFUNCTION("""COMPUTED_VALUE"""),"Guadalajara en Paz")</f>
        <v>Guadalajara en Paz</v>
      </c>
      <c r="E859" s="42" t="str">
        <f ca="1">IFERROR(__xludf.DUMMYFUNCTION("""COMPUTED_VALUE"""),"Atención Médica de Primer Nivel")</f>
        <v>Atención Médica de Primer Nivel</v>
      </c>
      <c r="F859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59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59" s="42" t="str">
        <f ca="1">IFERROR(__xludf.DUMMYFUNCTION("""COMPUTED_VALUE"""),"NOS Diciembre")</f>
        <v>NOS Diciembre</v>
      </c>
      <c r="I859" s="42" t="str">
        <f ca="1">IFERROR(__xludf.DUMMYFUNCTION("""COMPUTED_VALUE"""),"Diciembre")</f>
        <v>Diciembre</v>
      </c>
      <c r="J859" s="42" t="str">
        <f ca="1">IFERROR(__xludf.DUMMYFUNCTION("""COMPUTED_VALUE"""),"NOS")</f>
        <v>NOS</v>
      </c>
      <c r="K859" s="98"/>
      <c r="L859" s="42" t="str">
        <f ca="1">IFERROR(__xludf.DUMMYFUNCTION("""COMPUTED_VALUE"""),"TRIMESTRE 4")</f>
        <v>TRIMESTRE 4</v>
      </c>
      <c r="M859" s="42" t="str">
        <f ca="1">IFERROR(__xludf.DUMMYFUNCTION("""COMPUTED_VALUE"""),"NIÑOS")</f>
        <v>NIÑOS</v>
      </c>
    </row>
    <row r="860" spans="1:13">
      <c r="A860" s="42" t="str">
        <f ca="1">IFERROR(__xludf.DUMMYFUNCTION("""COMPUTED_VALUE"""),"2.1.1.3")</f>
        <v>2.1.1.3</v>
      </c>
      <c r="B860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60" s="42" t="str">
        <f ca="1">IFERROR(__xludf.DUMMYFUNCTION("""COMPUTED_VALUE"""),"3. Operación")</f>
        <v>3. Operación</v>
      </c>
      <c r="D860" s="42" t="str">
        <f ca="1">IFERROR(__xludf.DUMMYFUNCTION("""COMPUTED_VALUE"""),"Guadalajara en Paz")</f>
        <v>Guadalajara en Paz</v>
      </c>
      <c r="E860" s="42" t="str">
        <f ca="1">IFERROR(__xludf.DUMMYFUNCTION("""COMPUTED_VALUE"""),"Atención Médica de Primer Nivel")</f>
        <v>Atención Médica de Primer Nivel</v>
      </c>
      <c r="F860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60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60" s="42" t="str">
        <f ca="1">IFERROR(__xludf.DUMMYFUNCTION("""COMPUTED_VALUE"""),"AM DICIEMBRE")</f>
        <v>AM DICIEMBRE</v>
      </c>
      <c r="I860" s="42" t="str">
        <f ca="1">IFERROR(__xludf.DUMMYFUNCTION("""COMPUTED_VALUE"""),"Diciembre")</f>
        <v>Diciembre</v>
      </c>
      <c r="J860" s="42" t="str">
        <f ca="1">IFERROR(__xludf.DUMMYFUNCTION("""COMPUTED_VALUE"""),"AM")</f>
        <v>AM</v>
      </c>
      <c r="K860" s="98"/>
      <c r="L860" s="42" t="str">
        <f ca="1">IFERROR(__xludf.DUMMYFUNCTION("""COMPUTED_VALUE"""),"TRIMESTRE 4")</f>
        <v>TRIMESTRE 4</v>
      </c>
      <c r="M860" s="42" t="str">
        <f ca="1">IFERROR(__xludf.DUMMYFUNCTION("""COMPUTED_VALUE"""),"ADOLESCENTES MUJERES")</f>
        <v>ADOLESCENTES MUJERES</v>
      </c>
    </row>
    <row r="861" spans="1:13">
      <c r="A861" s="42" t="str">
        <f ca="1">IFERROR(__xludf.DUMMYFUNCTION("""COMPUTED_VALUE"""),"2.1.1.3")</f>
        <v>2.1.1.3</v>
      </c>
      <c r="B861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61" s="42" t="str">
        <f ca="1">IFERROR(__xludf.DUMMYFUNCTION("""COMPUTED_VALUE"""),"3. Operación")</f>
        <v>3. Operación</v>
      </c>
      <c r="D861" s="42" t="str">
        <f ca="1">IFERROR(__xludf.DUMMYFUNCTION("""COMPUTED_VALUE"""),"Guadalajara en Paz")</f>
        <v>Guadalajara en Paz</v>
      </c>
      <c r="E861" s="42" t="str">
        <f ca="1">IFERROR(__xludf.DUMMYFUNCTION("""COMPUTED_VALUE"""),"Atención Médica de Primer Nivel")</f>
        <v>Atención Médica de Primer Nivel</v>
      </c>
      <c r="F861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61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61" s="42" t="str">
        <f ca="1">IFERROR(__xludf.DUMMYFUNCTION("""COMPUTED_VALUE"""),"AH DICIEMBRE")</f>
        <v>AH DICIEMBRE</v>
      </c>
      <c r="I861" s="42" t="str">
        <f ca="1">IFERROR(__xludf.DUMMYFUNCTION("""COMPUTED_VALUE"""),"Diciembre")</f>
        <v>Diciembre</v>
      </c>
      <c r="J861" s="42" t="str">
        <f ca="1">IFERROR(__xludf.DUMMYFUNCTION("""COMPUTED_VALUE"""),"AH")</f>
        <v>AH</v>
      </c>
      <c r="K861" s="98"/>
      <c r="L861" s="42" t="str">
        <f ca="1">IFERROR(__xludf.DUMMYFUNCTION("""COMPUTED_VALUE"""),"TRIMESTRE 4")</f>
        <v>TRIMESTRE 4</v>
      </c>
      <c r="M861" s="42" t="str">
        <f ca="1">IFERROR(__xludf.DUMMYFUNCTION("""COMPUTED_VALUE"""),"ADOLESCENTES HOMBRES")</f>
        <v>ADOLESCENTES HOMBRES</v>
      </c>
    </row>
    <row r="862" spans="1:13">
      <c r="A862" s="42" t="str">
        <f ca="1">IFERROR(__xludf.DUMMYFUNCTION("""COMPUTED_VALUE"""),"2.1.1.3")</f>
        <v>2.1.1.3</v>
      </c>
      <c r="B862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62" s="42" t="str">
        <f ca="1">IFERROR(__xludf.DUMMYFUNCTION("""COMPUTED_VALUE"""),"3. Operación")</f>
        <v>3. Operación</v>
      </c>
      <c r="D862" s="42" t="str">
        <f ca="1">IFERROR(__xludf.DUMMYFUNCTION("""COMPUTED_VALUE"""),"Guadalajara en Paz")</f>
        <v>Guadalajara en Paz</v>
      </c>
      <c r="E862" s="42" t="str">
        <f ca="1">IFERROR(__xludf.DUMMYFUNCTION("""COMPUTED_VALUE"""),"Atención Médica de Primer Nivel")</f>
        <v>Atención Médica de Primer Nivel</v>
      </c>
      <c r="F862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62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62" s="42" t="str">
        <f ca="1">IFERROR(__xludf.DUMMYFUNCTION("""COMPUTED_VALUE"""),"MUJ Diciembre")</f>
        <v>MUJ Diciembre</v>
      </c>
      <c r="I862" s="42" t="str">
        <f ca="1">IFERROR(__xludf.DUMMYFUNCTION("""COMPUTED_VALUE"""),"Diciembre")</f>
        <v>Diciembre</v>
      </c>
      <c r="J862" s="42" t="str">
        <f ca="1">IFERROR(__xludf.DUMMYFUNCTION("""COMPUTED_VALUE"""),"MUJ")</f>
        <v>MUJ</v>
      </c>
      <c r="K862" s="98"/>
      <c r="L862" s="42" t="str">
        <f ca="1">IFERROR(__xludf.DUMMYFUNCTION("""COMPUTED_VALUE"""),"TRIMESTRE 4")</f>
        <v>TRIMESTRE 4</v>
      </c>
      <c r="M862" s="42" t="str">
        <f ca="1">IFERROR(__xludf.DUMMYFUNCTION("""COMPUTED_VALUE"""),"MUJERES ADULTAS")</f>
        <v>MUJERES ADULTAS</v>
      </c>
    </row>
    <row r="863" spans="1:13">
      <c r="A863" s="42" t="str">
        <f ca="1">IFERROR(__xludf.DUMMYFUNCTION("""COMPUTED_VALUE"""),"2.1.1.3")</f>
        <v>2.1.1.3</v>
      </c>
      <c r="B863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63" s="42" t="str">
        <f ca="1">IFERROR(__xludf.DUMMYFUNCTION("""COMPUTED_VALUE"""),"3. Operación")</f>
        <v>3. Operación</v>
      </c>
      <c r="D863" s="42" t="str">
        <f ca="1">IFERROR(__xludf.DUMMYFUNCTION("""COMPUTED_VALUE"""),"Guadalajara en Paz")</f>
        <v>Guadalajara en Paz</v>
      </c>
      <c r="E863" s="42" t="str">
        <f ca="1">IFERROR(__xludf.DUMMYFUNCTION("""COMPUTED_VALUE"""),"Atención Médica de Primer Nivel")</f>
        <v>Atención Médica de Primer Nivel</v>
      </c>
      <c r="F863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63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63" s="42" t="str">
        <f ca="1">IFERROR(__xludf.DUMMYFUNCTION("""COMPUTED_VALUE"""),"HOM Diciembre")</f>
        <v>HOM Diciembre</v>
      </c>
      <c r="I863" s="42" t="str">
        <f ca="1">IFERROR(__xludf.DUMMYFUNCTION("""COMPUTED_VALUE"""),"Diciembre")</f>
        <v>Diciembre</v>
      </c>
      <c r="J863" s="42" t="str">
        <f ca="1">IFERROR(__xludf.DUMMYFUNCTION("""COMPUTED_VALUE"""),"HOM")</f>
        <v>HOM</v>
      </c>
      <c r="K863" s="98"/>
      <c r="L863" s="42" t="str">
        <f ca="1">IFERROR(__xludf.DUMMYFUNCTION("""COMPUTED_VALUE"""),"TRIMESTRE 4")</f>
        <v>TRIMESTRE 4</v>
      </c>
      <c r="M863" s="42" t="str">
        <f ca="1">IFERROR(__xludf.DUMMYFUNCTION("""COMPUTED_VALUE"""),"HOMBRES ADULTOS")</f>
        <v>HOMBRES ADULTOS</v>
      </c>
    </row>
    <row r="864" spans="1:13">
      <c r="A864" s="42" t="str">
        <f ca="1">IFERROR(__xludf.DUMMYFUNCTION("""COMPUTED_VALUE"""),"2.1.1.3")</f>
        <v>2.1.1.3</v>
      </c>
      <c r="B864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64" s="42" t="str">
        <f ca="1">IFERROR(__xludf.DUMMYFUNCTION("""COMPUTED_VALUE"""),"3. Operación")</f>
        <v>3. Operación</v>
      </c>
      <c r="D864" s="42" t="str">
        <f ca="1">IFERROR(__xludf.DUMMYFUNCTION("""COMPUTED_VALUE"""),"Guadalajara en Paz")</f>
        <v>Guadalajara en Paz</v>
      </c>
      <c r="E864" s="42" t="str">
        <f ca="1">IFERROR(__xludf.DUMMYFUNCTION("""COMPUTED_VALUE"""),"Atención Médica de Primer Nivel")</f>
        <v>Atención Médica de Primer Nivel</v>
      </c>
      <c r="F864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64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64" s="42" t="str">
        <f ca="1">IFERROR(__xludf.DUMMYFUNCTION("""COMPUTED_VALUE"""),"AMM Diciembre")</f>
        <v>AMM Diciembre</v>
      </c>
      <c r="I864" s="42" t="str">
        <f ca="1">IFERROR(__xludf.DUMMYFUNCTION("""COMPUTED_VALUE"""),"Diciembre")</f>
        <v>Diciembre</v>
      </c>
      <c r="J864" s="42" t="str">
        <f ca="1">IFERROR(__xludf.DUMMYFUNCTION("""COMPUTED_VALUE"""),"AMM")</f>
        <v>AMM</v>
      </c>
      <c r="K864" s="98"/>
      <c r="L864" s="42" t="str">
        <f ca="1">IFERROR(__xludf.DUMMYFUNCTION("""COMPUTED_VALUE"""),"TRIMESTRE 4")</f>
        <v>TRIMESTRE 4</v>
      </c>
      <c r="M864" s="42" t="str">
        <f ca="1">IFERROR(__xludf.DUMMYFUNCTION("""COMPUTED_VALUE"""),"ADULTA MAYOR MUJER")</f>
        <v>ADULTA MAYOR MUJER</v>
      </c>
    </row>
    <row r="865" spans="1:13">
      <c r="A865" s="42" t="str">
        <f ca="1">IFERROR(__xludf.DUMMYFUNCTION("""COMPUTED_VALUE"""),"2.1.1.3")</f>
        <v>2.1.1.3</v>
      </c>
      <c r="B865" s="42" t="str">
        <f ca="1">IFERROR(__xludf.DUMMYFUNCTION("""COMPUTED_VALUE"""),"Atención Médica de Primer Nivel/Jefatura del Departamento Médico/Dirección del Área de Salud y Bienestar/Coord.3. Operación")</f>
        <v>Atención Médica de Primer Nivel/Jefatura del Departamento Médico/Dirección del Área de Salud y Bienestar/Coord.3. Operación</v>
      </c>
      <c r="C865" s="42" t="str">
        <f ca="1">IFERROR(__xludf.DUMMYFUNCTION("""COMPUTED_VALUE"""),"3. Operación")</f>
        <v>3. Operación</v>
      </c>
      <c r="D865" s="42" t="str">
        <f ca="1">IFERROR(__xludf.DUMMYFUNCTION("""COMPUTED_VALUE"""),"Guadalajara en Paz")</f>
        <v>Guadalajara en Paz</v>
      </c>
      <c r="E865" s="42" t="str">
        <f ca="1">IFERROR(__xludf.DUMMYFUNCTION("""COMPUTED_VALUE"""),"Atención Médica de Primer Nivel")</f>
        <v>Atención Médica de Primer Nivel</v>
      </c>
      <c r="F865" s="42" t="str">
        <f ca="1">IFERROR(__xludf.DUMMYFUNCTION("""COMPUTED_VALUE"""),"A3C1. Servicios médicos de atención y prevención de primer nivel brindados")</f>
        <v>A3C1. Servicios médicos de atención y prevención de primer nivel brindados</v>
      </c>
      <c r="G865" s="42" t="str">
        <f ca="1">IFERROR(__xludf.DUMMYFUNCTION("""COMPUTED_VALUE"""),"Porcentaje de atención a la población que requiere los servicios de atención médica de primer nivel ofrecidos por el Sistema DIF Guadalajara, en 2023")</f>
        <v>Porcentaje de atención a la población que requiere los servicios de atención médica de primer nivel ofrecidos por el Sistema DIF Guadalajara, en 2023</v>
      </c>
      <c r="H865" s="42" t="str">
        <f ca="1">IFERROR(__xludf.DUMMYFUNCTION("""COMPUTED_VALUE"""),"AMH Diciembre")</f>
        <v>AMH Diciembre</v>
      </c>
      <c r="I865" s="42" t="str">
        <f ca="1">IFERROR(__xludf.DUMMYFUNCTION("""COMPUTED_VALUE"""),"Diciembre")</f>
        <v>Diciembre</v>
      </c>
      <c r="J865" s="42" t="str">
        <f ca="1">IFERROR(__xludf.DUMMYFUNCTION("""COMPUTED_VALUE"""),"AMH")</f>
        <v>AMH</v>
      </c>
      <c r="K865" s="98"/>
      <c r="L865" s="42" t="str">
        <f ca="1">IFERROR(__xludf.DUMMYFUNCTION("""COMPUTED_VALUE"""),"TRIMESTRE 4")</f>
        <v>TRIMESTRE 4</v>
      </c>
      <c r="M865" s="42" t="str">
        <f ca="1">IFERROR(__xludf.DUMMYFUNCTION("""COMPUTED_VALUE"""),"ADULTO MAYOR HOMBRE")</f>
        <v>ADULTO MAYOR HOMBRE</v>
      </c>
    </row>
    <row r="866" spans="1:13">
      <c r="A866" s="42" t="str">
        <f ca="1">IFERROR(__xludf.DUMMYFUNCTION("""COMPUTED_VALUE"""),"2.1.1.8")</f>
        <v>2.1.1.8</v>
      </c>
      <c r="B866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866" s="42" t="str">
        <f ca="1">IFERROR(__xludf.DUMMYFUNCTION("""COMPUTED_VALUE"""),"3. Operación")</f>
        <v>3. Operación</v>
      </c>
      <c r="D866" s="42" t="str">
        <f ca="1">IFERROR(__xludf.DUMMYFUNCTION("""COMPUTED_VALUE"""),"Guadalajara en Paz")</f>
        <v>Guadalajara en Paz</v>
      </c>
      <c r="E866" s="42" t="str">
        <f ca="1">IFERROR(__xludf.DUMMYFUNCTION("""COMPUTED_VALUE"""),"Atención Odontológica")</f>
        <v>Atención Odontológica</v>
      </c>
      <c r="F866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866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866" s="42" t="str">
        <f ca="1">IFERROR(__xludf.DUMMYFUNCTION("""COMPUTED_VALUE"""),"NAS enero")</f>
        <v>NAS enero</v>
      </c>
      <c r="I866" s="42" t="str">
        <f ca="1">IFERROR(__xludf.DUMMYFUNCTION("""COMPUTED_VALUE"""),"Enero")</f>
        <v>Enero</v>
      </c>
      <c r="J866" s="42" t="str">
        <f ca="1">IFERROR(__xludf.DUMMYFUNCTION("""COMPUTED_VALUE"""),"NAS")</f>
        <v>NAS</v>
      </c>
      <c r="K866" s="98">
        <f ca="1">IFERROR(__xludf.DUMMYFUNCTION("""COMPUTED_VALUE"""),23)</f>
        <v>23</v>
      </c>
      <c r="L866" s="42" t="str">
        <f ca="1">IFERROR(__xludf.DUMMYFUNCTION("""COMPUTED_VALUE"""),"TRIMESTRE 1")</f>
        <v>TRIMESTRE 1</v>
      </c>
      <c r="M866" s="42" t="str">
        <f ca="1">IFERROR(__xludf.DUMMYFUNCTION("""COMPUTED_VALUE"""),"NIÑAS")</f>
        <v>NIÑAS</v>
      </c>
    </row>
    <row r="867" spans="1:13">
      <c r="A867" s="42" t="str">
        <f ca="1">IFERROR(__xludf.DUMMYFUNCTION("""COMPUTED_VALUE"""),"2.1.1.8")</f>
        <v>2.1.1.8</v>
      </c>
      <c r="B867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867" s="42" t="str">
        <f ca="1">IFERROR(__xludf.DUMMYFUNCTION("""COMPUTED_VALUE"""),"3. Operación")</f>
        <v>3. Operación</v>
      </c>
      <c r="D867" s="42" t="str">
        <f ca="1">IFERROR(__xludf.DUMMYFUNCTION("""COMPUTED_VALUE"""),"Guadalajara en Paz")</f>
        <v>Guadalajara en Paz</v>
      </c>
      <c r="E867" s="42" t="str">
        <f ca="1">IFERROR(__xludf.DUMMYFUNCTION("""COMPUTED_VALUE"""),"Atención Odontológica")</f>
        <v>Atención Odontológica</v>
      </c>
      <c r="F867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867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867" s="42" t="str">
        <f ca="1">IFERROR(__xludf.DUMMYFUNCTION("""COMPUTED_VALUE"""),"NOS enero")</f>
        <v>NOS enero</v>
      </c>
      <c r="I867" s="42" t="str">
        <f ca="1">IFERROR(__xludf.DUMMYFUNCTION("""COMPUTED_VALUE"""),"Enero")</f>
        <v>Enero</v>
      </c>
      <c r="J867" s="42" t="str">
        <f ca="1">IFERROR(__xludf.DUMMYFUNCTION("""COMPUTED_VALUE"""),"NOS")</f>
        <v>NOS</v>
      </c>
      <c r="K867" s="98">
        <f ca="1">IFERROR(__xludf.DUMMYFUNCTION("""COMPUTED_VALUE"""),38)</f>
        <v>38</v>
      </c>
      <c r="L867" s="42" t="str">
        <f ca="1">IFERROR(__xludf.DUMMYFUNCTION("""COMPUTED_VALUE"""),"TRIMESTRE 1")</f>
        <v>TRIMESTRE 1</v>
      </c>
      <c r="M867" s="42" t="str">
        <f ca="1">IFERROR(__xludf.DUMMYFUNCTION("""COMPUTED_VALUE"""),"NIÑOS")</f>
        <v>NIÑOS</v>
      </c>
    </row>
    <row r="868" spans="1:13">
      <c r="A868" s="42" t="str">
        <f ca="1">IFERROR(__xludf.DUMMYFUNCTION("""COMPUTED_VALUE"""),"2.1.1.8")</f>
        <v>2.1.1.8</v>
      </c>
      <c r="B868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868" s="42" t="str">
        <f ca="1">IFERROR(__xludf.DUMMYFUNCTION("""COMPUTED_VALUE"""),"3. Operación")</f>
        <v>3. Operación</v>
      </c>
      <c r="D868" s="42" t="str">
        <f ca="1">IFERROR(__xludf.DUMMYFUNCTION("""COMPUTED_VALUE"""),"Guadalajara en Paz")</f>
        <v>Guadalajara en Paz</v>
      </c>
      <c r="E868" s="42" t="str">
        <f ca="1">IFERROR(__xludf.DUMMYFUNCTION("""COMPUTED_VALUE"""),"Atención Odontológica")</f>
        <v>Atención Odontológica</v>
      </c>
      <c r="F868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868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868" s="42" t="str">
        <f ca="1">IFERROR(__xludf.DUMMYFUNCTION("""COMPUTED_VALUE"""),"AM enero")</f>
        <v>AM enero</v>
      </c>
      <c r="I868" s="42" t="str">
        <f ca="1">IFERROR(__xludf.DUMMYFUNCTION("""COMPUTED_VALUE"""),"Enero")</f>
        <v>Enero</v>
      </c>
      <c r="J868" s="42" t="str">
        <f ca="1">IFERROR(__xludf.DUMMYFUNCTION("""COMPUTED_VALUE"""),"AM")</f>
        <v>AM</v>
      </c>
      <c r="K868" s="98">
        <f ca="1">IFERROR(__xludf.DUMMYFUNCTION("""COMPUTED_VALUE"""),28)</f>
        <v>28</v>
      </c>
      <c r="L868" s="42" t="str">
        <f ca="1">IFERROR(__xludf.DUMMYFUNCTION("""COMPUTED_VALUE"""),"TRIMESTRE 1")</f>
        <v>TRIMESTRE 1</v>
      </c>
      <c r="M868" s="42" t="str">
        <f ca="1">IFERROR(__xludf.DUMMYFUNCTION("""COMPUTED_VALUE"""),"ADOLESCENTES MUJERES")</f>
        <v>ADOLESCENTES MUJERES</v>
      </c>
    </row>
    <row r="869" spans="1:13">
      <c r="A869" s="42" t="str">
        <f ca="1">IFERROR(__xludf.DUMMYFUNCTION("""COMPUTED_VALUE"""),"2.1.1.8")</f>
        <v>2.1.1.8</v>
      </c>
      <c r="B869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869" s="42" t="str">
        <f ca="1">IFERROR(__xludf.DUMMYFUNCTION("""COMPUTED_VALUE"""),"3. Operación")</f>
        <v>3. Operación</v>
      </c>
      <c r="D869" s="42" t="str">
        <f ca="1">IFERROR(__xludf.DUMMYFUNCTION("""COMPUTED_VALUE"""),"Guadalajara en Paz")</f>
        <v>Guadalajara en Paz</v>
      </c>
      <c r="E869" s="42" t="str">
        <f ca="1">IFERROR(__xludf.DUMMYFUNCTION("""COMPUTED_VALUE"""),"Atención Odontológica")</f>
        <v>Atención Odontológica</v>
      </c>
      <c r="F869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869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869" s="42" t="str">
        <f ca="1">IFERROR(__xludf.DUMMYFUNCTION("""COMPUTED_VALUE"""),"AH enero")</f>
        <v>AH enero</v>
      </c>
      <c r="I869" s="42" t="str">
        <f ca="1">IFERROR(__xludf.DUMMYFUNCTION("""COMPUTED_VALUE"""),"Enero")</f>
        <v>Enero</v>
      </c>
      <c r="J869" s="42" t="str">
        <f ca="1">IFERROR(__xludf.DUMMYFUNCTION("""COMPUTED_VALUE"""),"AH")</f>
        <v>AH</v>
      </c>
      <c r="K869" s="98">
        <f ca="1">IFERROR(__xludf.DUMMYFUNCTION("""COMPUTED_VALUE"""),17)</f>
        <v>17</v>
      </c>
      <c r="L869" s="42" t="str">
        <f ca="1">IFERROR(__xludf.DUMMYFUNCTION("""COMPUTED_VALUE"""),"TRIMESTRE 1")</f>
        <v>TRIMESTRE 1</v>
      </c>
      <c r="M869" s="42" t="str">
        <f ca="1">IFERROR(__xludf.DUMMYFUNCTION("""COMPUTED_VALUE"""),"ADOLESCENTES HOMBRES")</f>
        <v>ADOLESCENTES HOMBRES</v>
      </c>
    </row>
    <row r="870" spans="1:13">
      <c r="A870" s="42" t="str">
        <f ca="1">IFERROR(__xludf.DUMMYFUNCTION("""COMPUTED_VALUE"""),"2.1.1.8")</f>
        <v>2.1.1.8</v>
      </c>
      <c r="B870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870" s="42" t="str">
        <f ca="1">IFERROR(__xludf.DUMMYFUNCTION("""COMPUTED_VALUE"""),"3. Operación")</f>
        <v>3. Operación</v>
      </c>
      <c r="D870" s="42" t="str">
        <f ca="1">IFERROR(__xludf.DUMMYFUNCTION("""COMPUTED_VALUE"""),"Guadalajara en Paz")</f>
        <v>Guadalajara en Paz</v>
      </c>
      <c r="E870" s="42" t="str">
        <f ca="1">IFERROR(__xludf.DUMMYFUNCTION("""COMPUTED_VALUE"""),"Atención Odontológica")</f>
        <v>Atención Odontológica</v>
      </c>
      <c r="F870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870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870" s="42" t="str">
        <f ca="1">IFERROR(__xludf.DUMMYFUNCTION("""COMPUTED_VALUE"""),"MUJ enero")</f>
        <v>MUJ enero</v>
      </c>
      <c r="I870" s="42" t="str">
        <f ca="1">IFERROR(__xludf.DUMMYFUNCTION("""COMPUTED_VALUE"""),"Enero")</f>
        <v>Enero</v>
      </c>
      <c r="J870" s="42" t="str">
        <f ca="1">IFERROR(__xludf.DUMMYFUNCTION("""COMPUTED_VALUE"""),"MUJ")</f>
        <v>MUJ</v>
      </c>
      <c r="K870" s="98">
        <f ca="1">IFERROR(__xludf.DUMMYFUNCTION("""COMPUTED_VALUE"""),122)</f>
        <v>122</v>
      </c>
      <c r="L870" s="42" t="str">
        <f ca="1">IFERROR(__xludf.DUMMYFUNCTION("""COMPUTED_VALUE"""),"TRIMESTRE 1")</f>
        <v>TRIMESTRE 1</v>
      </c>
      <c r="M870" s="42" t="str">
        <f ca="1">IFERROR(__xludf.DUMMYFUNCTION("""COMPUTED_VALUE"""),"MUJERES ADULTAS")</f>
        <v>MUJERES ADULTAS</v>
      </c>
    </row>
    <row r="871" spans="1:13">
      <c r="A871" s="42" t="str">
        <f ca="1">IFERROR(__xludf.DUMMYFUNCTION("""COMPUTED_VALUE"""),"2.1.1.8")</f>
        <v>2.1.1.8</v>
      </c>
      <c r="B871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871" s="42" t="str">
        <f ca="1">IFERROR(__xludf.DUMMYFUNCTION("""COMPUTED_VALUE"""),"3. Operación")</f>
        <v>3. Operación</v>
      </c>
      <c r="D871" s="42" t="str">
        <f ca="1">IFERROR(__xludf.DUMMYFUNCTION("""COMPUTED_VALUE"""),"Guadalajara en Paz")</f>
        <v>Guadalajara en Paz</v>
      </c>
      <c r="E871" s="42" t="str">
        <f ca="1">IFERROR(__xludf.DUMMYFUNCTION("""COMPUTED_VALUE"""),"Atención Odontológica")</f>
        <v>Atención Odontológica</v>
      </c>
      <c r="F871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871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871" s="42" t="str">
        <f ca="1">IFERROR(__xludf.DUMMYFUNCTION("""COMPUTED_VALUE"""),"HOM enero")</f>
        <v>HOM enero</v>
      </c>
      <c r="I871" s="42" t="str">
        <f ca="1">IFERROR(__xludf.DUMMYFUNCTION("""COMPUTED_VALUE"""),"Enero")</f>
        <v>Enero</v>
      </c>
      <c r="J871" s="42" t="str">
        <f ca="1">IFERROR(__xludf.DUMMYFUNCTION("""COMPUTED_VALUE"""),"HOM")</f>
        <v>HOM</v>
      </c>
      <c r="K871" s="98">
        <f ca="1">IFERROR(__xludf.DUMMYFUNCTION("""COMPUTED_VALUE"""),192)</f>
        <v>192</v>
      </c>
      <c r="L871" s="42" t="str">
        <f ca="1">IFERROR(__xludf.DUMMYFUNCTION("""COMPUTED_VALUE"""),"TRIMESTRE 1")</f>
        <v>TRIMESTRE 1</v>
      </c>
      <c r="M871" s="42" t="str">
        <f ca="1">IFERROR(__xludf.DUMMYFUNCTION("""COMPUTED_VALUE"""),"HOMBRES ADULTOS")</f>
        <v>HOMBRES ADULTOS</v>
      </c>
    </row>
    <row r="872" spans="1:13">
      <c r="A872" s="42" t="str">
        <f ca="1">IFERROR(__xludf.DUMMYFUNCTION("""COMPUTED_VALUE"""),"2.1.1.8")</f>
        <v>2.1.1.8</v>
      </c>
      <c r="B872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872" s="42" t="str">
        <f ca="1">IFERROR(__xludf.DUMMYFUNCTION("""COMPUTED_VALUE"""),"3. Operación")</f>
        <v>3. Operación</v>
      </c>
      <c r="D872" s="42" t="str">
        <f ca="1">IFERROR(__xludf.DUMMYFUNCTION("""COMPUTED_VALUE"""),"Guadalajara en Paz")</f>
        <v>Guadalajara en Paz</v>
      </c>
      <c r="E872" s="42" t="str">
        <f ca="1">IFERROR(__xludf.DUMMYFUNCTION("""COMPUTED_VALUE"""),"Atención Odontológica")</f>
        <v>Atención Odontológica</v>
      </c>
      <c r="F872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872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872" s="42" t="str">
        <f ca="1">IFERROR(__xludf.DUMMYFUNCTION("""COMPUTED_VALUE"""),"AMM enero")</f>
        <v>AMM enero</v>
      </c>
      <c r="I872" s="42" t="str">
        <f ca="1">IFERROR(__xludf.DUMMYFUNCTION("""COMPUTED_VALUE"""),"Enero")</f>
        <v>Enero</v>
      </c>
      <c r="J872" s="42" t="str">
        <f ca="1">IFERROR(__xludf.DUMMYFUNCTION("""COMPUTED_VALUE"""),"AMM")</f>
        <v>AMM</v>
      </c>
      <c r="K872" s="98">
        <f ca="1">IFERROR(__xludf.DUMMYFUNCTION("""COMPUTED_VALUE"""),96)</f>
        <v>96</v>
      </c>
      <c r="L872" s="42" t="str">
        <f ca="1">IFERROR(__xludf.DUMMYFUNCTION("""COMPUTED_VALUE"""),"TRIMESTRE 1")</f>
        <v>TRIMESTRE 1</v>
      </c>
      <c r="M872" s="42" t="str">
        <f ca="1">IFERROR(__xludf.DUMMYFUNCTION("""COMPUTED_VALUE"""),"ADULTA MAYOR MUJER")</f>
        <v>ADULTA MAYOR MUJER</v>
      </c>
    </row>
    <row r="873" spans="1:13">
      <c r="A873" s="42" t="str">
        <f ca="1">IFERROR(__xludf.DUMMYFUNCTION("""COMPUTED_VALUE"""),"2.1.1.8")</f>
        <v>2.1.1.8</v>
      </c>
      <c r="B873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873" s="42" t="str">
        <f ca="1">IFERROR(__xludf.DUMMYFUNCTION("""COMPUTED_VALUE"""),"3. Operación")</f>
        <v>3. Operación</v>
      </c>
      <c r="D873" s="42" t="str">
        <f ca="1">IFERROR(__xludf.DUMMYFUNCTION("""COMPUTED_VALUE"""),"Guadalajara en Paz")</f>
        <v>Guadalajara en Paz</v>
      </c>
      <c r="E873" s="42" t="str">
        <f ca="1">IFERROR(__xludf.DUMMYFUNCTION("""COMPUTED_VALUE"""),"Atención Odontológica")</f>
        <v>Atención Odontológica</v>
      </c>
      <c r="F873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873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873" s="42" t="str">
        <f ca="1">IFERROR(__xludf.DUMMYFUNCTION("""COMPUTED_VALUE"""),"AMH enero")</f>
        <v>AMH enero</v>
      </c>
      <c r="I873" s="42" t="str">
        <f ca="1">IFERROR(__xludf.DUMMYFUNCTION("""COMPUTED_VALUE"""),"Enero")</f>
        <v>Enero</v>
      </c>
      <c r="J873" s="42" t="str">
        <f ca="1">IFERROR(__xludf.DUMMYFUNCTION("""COMPUTED_VALUE"""),"AMH")</f>
        <v>AMH</v>
      </c>
      <c r="K873" s="98">
        <f ca="1">IFERROR(__xludf.DUMMYFUNCTION("""COMPUTED_VALUE"""),153)</f>
        <v>153</v>
      </c>
      <c r="L873" s="42" t="str">
        <f ca="1">IFERROR(__xludf.DUMMYFUNCTION("""COMPUTED_VALUE"""),"TRIMESTRE 1")</f>
        <v>TRIMESTRE 1</v>
      </c>
      <c r="M873" s="42" t="str">
        <f ca="1">IFERROR(__xludf.DUMMYFUNCTION("""COMPUTED_VALUE"""),"ADULTO MAYOR HOMBRE")</f>
        <v>ADULTO MAYOR HOMBRE</v>
      </c>
    </row>
    <row r="874" spans="1:13">
      <c r="A874" s="42" t="str">
        <f ca="1">IFERROR(__xludf.DUMMYFUNCTION("""COMPUTED_VALUE"""),"2.1.1.8")</f>
        <v>2.1.1.8</v>
      </c>
      <c r="B874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874" s="42" t="str">
        <f ca="1">IFERROR(__xludf.DUMMYFUNCTION("""COMPUTED_VALUE"""),"3. Operación")</f>
        <v>3. Operación</v>
      </c>
      <c r="D874" s="42" t="str">
        <f ca="1">IFERROR(__xludf.DUMMYFUNCTION("""COMPUTED_VALUE"""),"Guadalajara en Paz")</f>
        <v>Guadalajara en Paz</v>
      </c>
      <c r="E874" s="42" t="str">
        <f ca="1">IFERROR(__xludf.DUMMYFUNCTION("""COMPUTED_VALUE"""),"Atención Odontológica")</f>
        <v>Atención Odontológica</v>
      </c>
      <c r="F874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874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874" s="42" t="str">
        <f ca="1">IFERROR(__xludf.DUMMYFUNCTION("""COMPUTED_VALUE"""),"NAS FEBRERO")</f>
        <v>NAS FEBRERO</v>
      </c>
      <c r="I874" s="42" t="str">
        <f ca="1">IFERROR(__xludf.DUMMYFUNCTION("""COMPUTED_VALUE"""),"Febrero")</f>
        <v>Febrero</v>
      </c>
      <c r="J874" s="42" t="str">
        <f ca="1">IFERROR(__xludf.DUMMYFUNCTION("""COMPUTED_VALUE"""),"NAS")</f>
        <v>NAS</v>
      </c>
      <c r="K874" s="98">
        <f ca="1">IFERROR(__xludf.DUMMYFUNCTION("""COMPUTED_VALUE"""),15)</f>
        <v>15</v>
      </c>
      <c r="L874" s="42" t="str">
        <f ca="1">IFERROR(__xludf.DUMMYFUNCTION("""COMPUTED_VALUE"""),"TRIMESTRE 1")</f>
        <v>TRIMESTRE 1</v>
      </c>
      <c r="M874" s="42" t="str">
        <f ca="1">IFERROR(__xludf.DUMMYFUNCTION("""COMPUTED_VALUE"""),"NIÑAS")</f>
        <v>NIÑAS</v>
      </c>
    </row>
    <row r="875" spans="1:13">
      <c r="A875" s="42" t="str">
        <f ca="1">IFERROR(__xludf.DUMMYFUNCTION("""COMPUTED_VALUE"""),"2.1.1.8")</f>
        <v>2.1.1.8</v>
      </c>
      <c r="B875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875" s="42" t="str">
        <f ca="1">IFERROR(__xludf.DUMMYFUNCTION("""COMPUTED_VALUE"""),"3. Operación")</f>
        <v>3. Operación</v>
      </c>
      <c r="D875" s="42" t="str">
        <f ca="1">IFERROR(__xludf.DUMMYFUNCTION("""COMPUTED_VALUE"""),"Guadalajara en Paz")</f>
        <v>Guadalajara en Paz</v>
      </c>
      <c r="E875" s="42" t="str">
        <f ca="1">IFERROR(__xludf.DUMMYFUNCTION("""COMPUTED_VALUE"""),"Atención Odontológica")</f>
        <v>Atención Odontológica</v>
      </c>
      <c r="F875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875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875" s="42" t="str">
        <f ca="1">IFERROR(__xludf.DUMMYFUNCTION("""COMPUTED_VALUE"""),"NOS FEBRERO")</f>
        <v>NOS FEBRERO</v>
      </c>
      <c r="I875" s="42" t="str">
        <f ca="1">IFERROR(__xludf.DUMMYFUNCTION("""COMPUTED_VALUE"""),"Febrero")</f>
        <v>Febrero</v>
      </c>
      <c r="J875" s="42" t="str">
        <f ca="1">IFERROR(__xludf.DUMMYFUNCTION("""COMPUTED_VALUE"""),"NOS")</f>
        <v>NOS</v>
      </c>
      <c r="K875" s="98">
        <f ca="1">IFERROR(__xludf.DUMMYFUNCTION("""COMPUTED_VALUE"""),39)</f>
        <v>39</v>
      </c>
      <c r="L875" s="42" t="str">
        <f ca="1">IFERROR(__xludf.DUMMYFUNCTION("""COMPUTED_VALUE"""),"TRIMESTRE 1")</f>
        <v>TRIMESTRE 1</v>
      </c>
      <c r="M875" s="42" t="str">
        <f ca="1">IFERROR(__xludf.DUMMYFUNCTION("""COMPUTED_VALUE"""),"NIÑOS")</f>
        <v>NIÑOS</v>
      </c>
    </row>
    <row r="876" spans="1:13">
      <c r="A876" s="42" t="str">
        <f ca="1">IFERROR(__xludf.DUMMYFUNCTION("""COMPUTED_VALUE"""),"2.1.1.8")</f>
        <v>2.1.1.8</v>
      </c>
      <c r="B876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876" s="42" t="str">
        <f ca="1">IFERROR(__xludf.DUMMYFUNCTION("""COMPUTED_VALUE"""),"3. Operación")</f>
        <v>3. Operación</v>
      </c>
      <c r="D876" s="42" t="str">
        <f ca="1">IFERROR(__xludf.DUMMYFUNCTION("""COMPUTED_VALUE"""),"Guadalajara en Paz")</f>
        <v>Guadalajara en Paz</v>
      </c>
      <c r="E876" s="42" t="str">
        <f ca="1">IFERROR(__xludf.DUMMYFUNCTION("""COMPUTED_VALUE"""),"Atención Odontológica")</f>
        <v>Atención Odontológica</v>
      </c>
      <c r="F876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876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876" s="42" t="str">
        <f ca="1">IFERROR(__xludf.DUMMYFUNCTION("""COMPUTED_VALUE"""),"AM FEBRERO")</f>
        <v>AM FEBRERO</v>
      </c>
      <c r="I876" s="42" t="str">
        <f ca="1">IFERROR(__xludf.DUMMYFUNCTION("""COMPUTED_VALUE"""),"Febrero")</f>
        <v>Febrero</v>
      </c>
      <c r="J876" s="42" t="str">
        <f ca="1">IFERROR(__xludf.DUMMYFUNCTION("""COMPUTED_VALUE"""),"AM")</f>
        <v>AM</v>
      </c>
      <c r="K876" s="98">
        <f ca="1">IFERROR(__xludf.DUMMYFUNCTION("""COMPUTED_VALUE"""),14)</f>
        <v>14</v>
      </c>
      <c r="L876" s="42" t="str">
        <f ca="1">IFERROR(__xludf.DUMMYFUNCTION("""COMPUTED_VALUE"""),"TRIMESTRE 1")</f>
        <v>TRIMESTRE 1</v>
      </c>
      <c r="M876" s="42" t="str">
        <f ca="1">IFERROR(__xludf.DUMMYFUNCTION("""COMPUTED_VALUE"""),"ADOLESCENTES MUJERES")</f>
        <v>ADOLESCENTES MUJERES</v>
      </c>
    </row>
    <row r="877" spans="1:13">
      <c r="A877" s="42" t="str">
        <f ca="1">IFERROR(__xludf.DUMMYFUNCTION("""COMPUTED_VALUE"""),"2.1.1.8")</f>
        <v>2.1.1.8</v>
      </c>
      <c r="B877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877" s="42" t="str">
        <f ca="1">IFERROR(__xludf.DUMMYFUNCTION("""COMPUTED_VALUE"""),"3. Operación")</f>
        <v>3. Operación</v>
      </c>
      <c r="D877" s="42" t="str">
        <f ca="1">IFERROR(__xludf.DUMMYFUNCTION("""COMPUTED_VALUE"""),"Guadalajara en Paz")</f>
        <v>Guadalajara en Paz</v>
      </c>
      <c r="E877" s="42" t="str">
        <f ca="1">IFERROR(__xludf.DUMMYFUNCTION("""COMPUTED_VALUE"""),"Atención Odontológica")</f>
        <v>Atención Odontológica</v>
      </c>
      <c r="F877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877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877" s="42" t="str">
        <f ca="1">IFERROR(__xludf.DUMMYFUNCTION("""COMPUTED_VALUE"""),"AH FEBRERO")</f>
        <v>AH FEBRERO</v>
      </c>
      <c r="I877" s="42" t="str">
        <f ca="1">IFERROR(__xludf.DUMMYFUNCTION("""COMPUTED_VALUE"""),"Febrero")</f>
        <v>Febrero</v>
      </c>
      <c r="J877" s="42" t="str">
        <f ca="1">IFERROR(__xludf.DUMMYFUNCTION("""COMPUTED_VALUE"""),"AH")</f>
        <v>AH</v>
      </c>
      <c r="K877" s="98">
        <f ca="1">IFERROR(__xludf.DUMMYFUNCTION("""COMPUTED_VALUE"""),27)</f>
        <v>27</v>
      </c>
      <c r="L877" s="42" t="str">
        <f ca="1">IFERROR(__xludf.DUMMYFUNCTION("""COMPUTED_VALUE"""),"TRIMESTRE 1")</f>
        <v>TRIMESTRE 1</v>
      </c>
      <c r="M877" s="42" t="str">
        <f ca="1">IFERROR(__xludf.DUMMYFUNCTION("""COMPUTED_VALUE"""),"ADOLESCENTES HOMBRES")</f>
        <v>ADOLESCENTES HOMBRES</v>
      </c>
    </row>
    <row r="878" spans="1:13">
      <c r="A878" s="42" t="str">
        <f ca="1">IFERROR(__xludf.DUMMYFUNCTION("""COMPUTED_VALUE"""),"2.1.1.8")</f>
        <v>2.1.1.8</v>
      </c>
      <c r="B878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878" s="42" t="str">
        <f ca="1">IFERROR(__xludf.DUMMYFUNCTION("""COMPUTED_VALUE"""),"3. Operación")</f>
        <v>3. Operación</v>
      </c>
      <c r="D878" s="42" t="str">
        <f ca="1">IFERROR(__xludf.DUMMYFUNCTION("""COMPUTED_VALUE"""),"Guadalajara en Paz")</f>
        <v>Guadalajara en Paz</v>
      </c>
      <c r="E878" s="42" t="str">
        <f ca="1">IFERROR(__xludf.DUMMYFUNCTION("""COMPUTED_VALUE"""),"Atención Odontológica")</f>
        <v>Atención Odontológica</v>
      </c>
      <c r="F878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878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878" s="42" t="str">
        <f ca="1">IFERROR(__xludf.DUMMYFUNCTION("""COMPUTED_VALUE"""),"MUJ FEBRERO")</f>
        <v>MUJ FEBRERO</v>
      </c>
      <c r="I878" s="42" t="str">
        <f ca="1">IFERROR(__xludf.DUMMYFUNCTION("""COMPUTED_VALUE"""),"Febrero")</f>
        <v>Febrero</v>
      </c>
      <c r="J878" s="42" t="str">
        <f ca="1">IFERROR(__xludf.DUMMYFUNCTION("""COMPUTED_VALUE"""),"MUJ")</f>
        <v>MUJ</v>
      </c>
      <c r="K878" s="98">
        <f ca="1">IFERROR(__xludf.DUMMYFUNCTION("""COMPUTED_VALUE"""),81)</f>
        <v>81</v>
      </c>
      <c r="L878" s="42" t="str">
        <f ca="1">IFERROR(__xludf.DUMMYFUNCTION("""COMPUTED_VALUE"""),"TRIMESTRE 1")</f>
        <v>TRIMESTRE 1</v>
      </c>
      <c r="M878" s="42" t="str">
        <f ca="1">IFERROR(__xludf.DUMMYFUNCTION("""COMPUTED_VALUE"""),"MUJERES ADULTAS")</f>
        <v>MUJERES ADULTAS</v>
      </c>
    </row>
    <row r="879" spans="1:13">
      <c r="A879" s="42" t="str">
        <f ca="1">IFERROR(__xludf.DUMMYFUNCTION("""COMPUTED_VALUE"""),"2.1.1.8")</f>
        <v>2.1.1.8</v>
      </c>
      <c r="B879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879" s="42" t="str">
        <f ca="1">IFERROR(__xludf.DUMMYFUNCTION("""COMPUTED_VALUE"""),"3. Operación")</f>
        <v>3. Operación</v>
      </c>
      <c r="D879" s="42" t="str">
        <f ca="1">IFERROR(__xludf.DUMMYFUNCTION("""COMPUTED_VALUE"""),"Guadalajara en Paz")</f>
        <v>Guadalajara en Paz</v>
      </c>
      <c r="E879" s="42" t="str">
        <f ca="1">IFERROR(__xludf.DUMMYFUNCTION("""COMPUTED_VALUE"""),"Atención Odontológica")</f>
        <v>Atención Odontológica</v>
      </c>
      <c r="F879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879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879" s="42" t="str">
        <f ca="1">IFERROR(__xludf.DUMMYFUNCTION("""COMPUTED_VALUE"""),"HOM FEBRERO")</f>
        <v>HOM FEBRERO</v>
      </c>
      <c r="I879" s="42" t="str">
        <f ca="1">IFERROR(__xludf.DUMMYFUNCTION("""COMPUTED_VALUE"""),"Febrero")</f>
        <v>Febrero</v>
      </c>
      <c r="J879" s="42" t="str">
        <f ca="1">IFERROR(__xludf.DUMMYFUNCTION("""COMPUTED_VALUE"""),"HOM")</f>
        <v>HOM</v>
      </c>
      <c r="K879" s="98">
        <f ca="1">IFERROR(__xludf.DUMMYFUNCTION("""COMPUTED_VALUE"""),153)</f>
        <v>153</v>
      </c>
      <c r="L879" s="42" t="str">
        <f ca="1">IFERROR(__xludf.DUMMYFUNCTION("""COMPUTED_VALUE"""),"TRIMESTRE 1")</f>
        <v>TRIMESTRE 1</v>
      </c>
      <c r="M879" s="42" t="str">
        <f ca="1">IFERROR(__xludf.DUMMYFUNCTION("""COMPUTED_VALUE"""),"HOMBRES ADULTOS")</f>
        <v>HOMBRES ADULTOS</v>
      </c>
    </row>
    <row r="880" spans="1:13">
      <c r="A880" s="42" t="str">
        <f ca="1">IFERROR(__xludf.DUMMYFUNCTION("""COMPUTED_VALUE"""),"2.1.1.8")</f>
        <v>2.1.1.8</v>
      </c>
      <c r="B880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880" s="42" t="str">
        <f ca="1">IFERROR(__xludf.DUMMYFUNCTION("""COMPUTED_VALUE"""),"3. Operación")</f>
        <v>3. Operación</v>
      </c>
      <c r="D880" s="42" t="str">
        <f ca="1">IFERROR(__xludf.DUMMYFUNCTION("""COMPUTED_VALUE"""),"Guadalajara en Paz")</f>
        <v>Guadalajara en Paz</v>
      </c>
      <c r="E880" s="42" t="str">
        <f ca="1">IFERROR(__xludf.DUMMYFUNCTION("""COMPUTED_VALUE"""),"Atención Odontológica")</f>
        <v>Atención Odontológica</v>
      </c>
      <c r="F880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880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880" s="42" t="str">
        <f ca="1">IFERROR(__xludf.DUMMYFUNCTION("""COMPUTED_VALUE"""),"AMM FEBRERO")</f>
        <v>AMM FEBRERO</v>
      </c>
      <c r="I880" s="42" t="str">
        <f ca="1">IFERROR(__xludf.DUMMYFUNCTION("""COMPUTED_VALUE"""),"Febrero")</f>
        <v>Febrero</v>
      </c>
      <c r="J880" s="42" t="str">
        <f ca="1">IFERROR(__xludf.DUMMYFUNCTION("""COMPUTED_VALUE"""),"AMM")</f>
        <v>AMM</v>
      </c>
      <c r="K880" s="98">
        <f ca="1">IFERROR(__xludf.DUMMYFUNCTION("""COMPUTED_VALUE"""),93)</f>
        <v>93</v>
      </c>
      <c r="L880" s="42" t="str">
        <f ca="1">IFERROR(__xludf.DUMMYFUNCTION("""COMPUTED_VALUE"""),"TRIMESTRE 1")</f>
        <v>TRIMESTRE 1</v>
      </c>
      <c r="M880" s="42" t="str">
        <f ca="1">IFERROR(__xludf.DUMMYFUNCTION("""COMPUTED_VALUE"""),"ADULTA MAYOR MUJER")</f>
        <v>ADULTA MAYOR MUJER</v>
      </c>
    </row>
    <row r="881" spans="1:13">
      <c r="A881" s="42" t="str">
        <f ca="1">IFERROR(__xludf.DUMMYFUNCTION("""COMPUTED_VALUE"""),"2.1.1.8")</f>
        <v>2.1.1.8</v>
      </c>
      <c r="B881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881" s="42" t="str">
        <f ca="1">IFERROR(__xludf.DUMMYFUNCTION("""COMPUTED_VALUE"""),"3. Operación")</f>
        <v>3. Operación</v>
      </c>
      <c r="D881" s="42" t="str">
        <f ca="1">IFERROR(__xludf.DUMMYFUNCTION("""COMPUTED_VALUE"""),"Guadalajara en Paz")</f>
        <v>Guadalajara en Paz</v>
      </c>
      <c r="E881" s="42" t="str">
        <f ca="1">IFERROR(__xludf.DUMMYFUNCTION("""COMPUTED_VALUE"""),"Atención Odontológica")</f>
        <v>Atención Odontológica</v>
      </c>
      <c r="F881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881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881" s="42" t="str">
        <f ca="1">IFERROR(__xludf.DUMMYFUNCTION("""COMPUTED_VALUE"""),"AMH FEBRERO")</f>
        <v>AMH FEBRERO</v>
      </c>
      <c r="I881" s="42" t="str">
        <f ca="1">IFERROR(__xludf.DUMMYFUNCTION("""COMPUTED_VALUE"""),"Febrero")</f>
        <v>Febrero</v>
      </c>
      <c r="J881" s="42" t="str">
        <f ca="1">IFERROR(__xludf.DUMMYFUNCTION("""COMPUTED_VALUE"""),"AMH")</f>
        <v>AMH</v>
      </c>
      <c r="K881" s="98">
        <f ca="1">IFERROR(__xludf.DUMMYFUNCTION("""COMPUTED_VALUE"""),140)</f>
        <v>140</v>
      </c>
      <c r="L881" s="42" t="str">
        <f ca="1">IFERROR(__xludf.DUMMYFUNCTION("""COMPUTED_VALUE"""),"TRIMESTRE 1")</f>
        <v>TRIMESTRE 1</v>
      </c>
      <c r="M881" s="42" t="str">
        <f ca="1">IFERROR(__xludf.DUMMYFUNCTION("""COMPUTED_VALUE"""),"ADULTO MAYOR HOMBRE")</f>
        <v>ADULTO MAYOR HOMBRE</v>
      </c>
    </row>
    <row r="882" spans="1:13">
      <c r="A882" s="42" t="str">
        <f ca="1">IFERROR(__xludf.DUMMYFUNCTION("""COMPUTED_VALUE"""),"2.1.1.8")</f>
        <v>2.1.1.8</v>
      </c>
      <c r="B882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882" s="42" t="str">
        <f ca="1">IFERROR(__xludf.DUMMYFUNCTION("""COMPUTED_VALUE"""),"3. Operación")</f>
        <v>3. Operación</v>
      </c>
      <c r="D882" s="42" t="str">
        <f ca="1">IFERROR(__xludf.DUMMYFUNCTION("""COMPUTED_VALUE"""),"Guadalajara en Paz")</f>
        <v>Guadalajara en Paz</v>
      </c>
      <c r="E882" s="42" t="str">
        <f ca="1">IFERROR(__xludf.DUMMYFUNCTION("""COMPUTED_VALUE"""),"Atención Odontológica")</f>
        <v>Atención Odontológica</v>
      </c>
      <c r="F882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882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882" s="42" t="str">
        <f ca="1">IFERROR(__xludf.DUMMYFUNCTION("""COMPUTED_VALUE"""),"NAS Marzo")</f>
        <v>NAS Marzo</v>
      </c>
      <c r="I882" s="42" t="str">
        <f ca="1">IFERROR(__xludf.DUMMYFUNCTION("""COMPUTED_VALUE"""),"Marzo")</f>
        <v>Marzo</v>
      </c>
      <c r="J882" s="42" t="str">
        <f ca="1">IFERROR(__xludf.DUMMYFUNCTION("""COMPUTED_VALUE"""),"NAS")</f>
        <v>NAS</v>
      </c>
      <c r="K882" s="98">
        <f ca="1">IFERROR(__xludf.DUMMYFUNCTION("""COMPUTED_VALUE"""),31)</f>
        <v>31</v>
      </c>
      <c r="L882" s="42" t="str">
        <f ca="1">IFERROR(__xludf.DUMMYFUNCTION("""COMPUTED_VALUE"""),"TRIMESTRE 1")</f>
        <v>TRIMESTRE 1</v>
      </c>
      <c r="M882" s="42" t="str">
        <f ca="1">IFERROR(__xludf.DUMMYFUNCTION("""COMPUTED_VALUE"""),"NIÑAS")</f>
        <v>NIÑAS</v>
      </c>
    </row>
    <row r="883" spans="1:13">
      <c r="A883" s="42" t="str">
        <f ca="1">IFERROR(__xludf.DUMMYFUNCTION("""COMPUTED_VALUE"""),"2.1.1.8")</f>
        <v>2.1.1.8</v>
      </c>
      <c r="B883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883" s="42" t="str">
        <f ca="1">IFERROR(__xludf.DUMMYFUNCTION("""COMPUTED_VALUE"""),"3. Operación")</f>
        <v>3. Operación</v>
      </c>
      <c r="D883" s="42" t="str">
        <f ca="1">IFERROR(__xludf.DUMMYFUNCTION("""COMPUTED_VALUE"""),"Guadalajara en Paz")</f>
        <v>Guadalajara en Paz</v>
      </c>
      <c r="E883" s="42" t="str">
        <f ca="1">IFERROR(__xludf.DUMMYFUNCTION("""COMPUTED_VALUE"""),"Atención Odontológica")</f>
        <v>Atención Odontológica</v>
      </c>
      <c r="F883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883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883" s="42" t="str">
        <f ca="1">IFERROR(__xludf.DUMMYFUNCTION("""COMPUTED_VALUE"""),"NOS Marzo")</f>
        <v>NOS Marzo</v>
      </c>
      <c r="I883" s="42" t="str">
        <f ca="1">IFERROR(__xludf.DUMMYFUNCTION("""COMPUTED_VALUE"""),"Marzo")</f>
        <v>Marzo</v>
      </c>
      <c r="J883" s="42" t="str">
        <f ca="1">IFERROR(__xludf.DUMMYFUNCTION("""COMPUTED_VALUE"""),"NOS")</f>
        <v>NOS</v>
      </c>
      <c r="K883" s="98">
        <f ca="1">IFERROR(__xludf.DUMMYFUNCTION("""COMPUTED_VALUE"""),37)</f>
        <v>37</v>
      </c>
      <c r="L883" s="42" t="str">
        <f ca="1">IFERROR(__xludf.DUMMYFUNCTION("""COMPUTED_VALUE"""),"TRIMESTRE 1")</f>
        <v>TRIMESTRE 1</v>
      </c>
      <c r="M883" s="42" t="str">
        <f ca="1">IFERROR(__xludf.DUMMYFUNCTION("""COMPUTED_VALUE"""),"NIÑOS")</f>
        <v>NIÑOS</v>
      </c>
    </row>
    <row r="884" spans="1:13">
      <c r="A884" s="42" t="str">
        <f ca="1">IFERROR(__xludf.DUMMYFUNCTION("""COMPUTED_VALUE"""),"2.1.1.8")</f>
        <v>2.1.1.8</v>
      </c>
      <c r="B884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884" s="42" t="str">
        <f ca="1">IFERROR(__xludf.DUMMYFUNCTION("""COMPUTED_VALUE"""),"3. Operación")</f>
        <v>3. Operación</v>
      </c>
      <c r="D884" s="42" t="str">
        <f ca="1">IFERROR(__xludf.DUMMYFUNCTION("""COMPUTED_VALUE"""),"Guadalajara en Paz")</f>
        <v>Guadalajara en Paz</v>
      </c>
      <c r="E884" s="42" t="str">
        <f ca="1">IFERROR(__xludf.DUMMYFUNCTION("""COMPUTED_VALUE"""),"Atención Odontológica")</f>
        <v>Atención Odontológica</v>
      </c>
      <c r="F884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884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884" s="42" t="str">
        <f ca="1">IFERROR(__xludf.DUMMYFUNCTION("""COMPUTED_VALUE"""),"AM MARZO")</f>
        <v>AM MARZO</v>
      </c>
      <c r="I884" s="42" t="str">
        <f ca="1">IFERROR(__xludf.DUMMYFUNCTION("""COMPUTED_VALUE"""),"Marzo")</f>
        <v>Marzo</v>
      </c>
      <c r="J884" s="42" t="str">
        <f ca="1">IFERROR(__xludf.DUMMYFUNCTION("""COMPUTED_VALUE"""),"AM")</f>
        <v>AM</v>
      </c>
      <c r="K884" s="98">
        <f ca="1">IFERROR(__xludf.DUMMYFUNCTION("""COMPUTED_VALUE"""),32)</f>
        <v>32</v>
      </c>
      <c r="L884" s="42" t="str">
        <f ca="1">IFERROR(__xludf.DUMMYFUNCTION("""COMPUTED_VALUE"""),"TRIMESTRE 1")</f>
        <v>TRIMESTRE 1</v>
      </c>
      <c r="M884" s="42" t="str">
        <f ca="1">IFERROR(__xludf.DUMMYFUNCTION("""COMPUTED_VALUE"""),"ADOLESCENTES MUJERES")</f>
        <v>ADOLESCENTES MUJERES</v>
      </c>
    </row>
    <row r="885" spans="1:13">
      <c r="A885" s="42" t="str">
        <f ca="1">IFERROR(__xludf.DUMMYFUNCTION("""COMPUTED_VALUE"""),"2.1.1.8")</f>
        <v>2.1.1.8</v>
      </c>
      <c r="B885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885" s="42" t="str">
        <f ca="1">IFERROR(__xludf.DUMMYFUNCTION("""COMPUTED_VALUE"""),"3. Operación")</f>
        <v>3. Operación</v>
      </c>
      <c r="D885" s="42" t="str">
        <f ca="1">IFERROR(__xludf.DUMMYFUNCTION("""COMPUTED_VALUE"""),"Guadalajara en Paz")</f>
        <v>Guadalajara en Paz</v>
      </c>
      <c r="E885" s="42" t="str">
        <f ca="1">IFERROR(__xludf.DUMMYFUNCTION("""COMPUTED_VALUE"""),"Atención Odontológica")</f>
        <v>Atención Odontológica</v>
      </c>
      <c r="F885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885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885" s="42" t="str">
        <f ca="1">IFERROR(__xludf.DUMMYFUNCTION("""COMPUTED_VALUE"""),"AH MARZO")</f>
        <v>AH MARZO</v>
      </c>
      <c r="I885" s="42" t="str">
        <f ca="1">IFERROR(__xludf.DUMMYFUNCTION("""COMPUTED_VALUE"""),"Marzo")</f>
        <v>Marzo</v>
      </c>
      <c r="J885" s="42" t="str">
        <f ca="1">IFERROR(__xludf.DUMMYFUNCTION("""COMPUTED_VALUE"""),"AH")</f>
        <v>AH</v>
      </c>
      <c r="K885" s="98">
        <f ca="1">IFERROR(__xludf.DUMMYFUNCTION("""COMPUTED_VALUE"""),21)</f>
        <v>21</v>
      </c>
      <c r="L885" s="42" t="str">
        <f ca="1">IFERROR(__xludf.DUMMYFUNCTION("""COMPUTED_VALUE"""),"TRIMESTRE 1")</f>
        <v>TRIMESTRE 1</v>
      </c>
      <c r="M885" s="42" t="str">
        <f ca="1">IFERROR(__xludf.DUMMYFUNCTION("""COMPUTED_VALUE"""),"ADOLESCENTES HOMBRES")</f>
        <v>ADOLESCENTES HOMBRES</v>
      </c>
    </row>
    <row r="886" spans="1:13">
      <c r="A886" s="42" t="str">
        <f ca="1">IFERROR(__xludf.DUMMYFUNCTION("""COMPUTED_VALUE"""),"2.1.1.8")</f>
        <v>2.1.1.8</v>
      </c>
      <c r="B886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886" s="42" t="str">
        <f ca="1">IFERROR(__xludf.DUMMYFUNCTION("""COMPUTED_VALUE"""),"3. Operación")</f>
        <v>3. Operación</v>
      </c>
      <c r="D886" s="42" t="str">
        <f ca="1">IFERROR(__xludf.DUMMYFUNCTION("""COMPUTED_VALUE"""),"Guadalajara en Paz")</f>
        <v>Guadalajara en Paz</v>
      </c>
      <c r="E886" s="42" t="str">
        <f ca="1">IFERROR(__xludf.DUMMYFUNCTION("""COMPUTED_VALUE"""),"Atención Odontológica")</f>
        <v>Atención Odontológica</v>
      </c>
      <c r="F886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886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886" s="42" t="str">
        <f ca="1">IFERROR(__xludf.DUMMYFUNCTION("""COMPUTED_VALUE"""),"MUJ Marzo")</f>
        <v>MUJ Marzo</v>
      </c>
      <c r="I886" s="42" t="str">
        <f ca="1">IFERROR(__xludf.DUMMYFUNCTION("""COMPUTED_VALUE"""),"Marzo")</f>
        <v>Marzo</v>
      </c>
      <c r="J886" s="42" t="str">
        <f ca="1">IFERROR(__xludf.DUMMYFUNCTION("""COMPUTED_VALUE"""),"MUJ")</f>
        <v>MUJ</v>
      </c>
      <c r="K886" s="98">
        <f ca="1">IFERROR(__xludf.DUMMYFUNCTION("""COMPUTED_VALUE"""),189)</f>
        <v>189</v>
      </c>
      <c r="L886" s="42" t="str">
        <f ca="1">IFERROR(__xludf.DUMMYFUNCTION("""COMPUTED_VALUE"""),"TRIMESTRE 1")</f>
        <v>TRIMESTRE 1</v>
      </c>
      <c r="M886" s="42" t="str">
        <f ca="1">IFERROR(__xludf.DUMMYFUNCTION("""COMPUTED_VALUE"""),"MUJERES ADULTAS")</f>
        <v>MUJERES ADULTAS</v>
      </c>
    </row>
    <row r="887" spans="1:13">
      <c r="A887" s="42" t="str">
        <f ca="1">IFERROR(__xludf.DUMMYFUNCTION("""COMPUTED_VALUE"""),"2.1.1.8")</f>
        <v>2.1.1.8</v>
      </c>
      <c r="B887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887" s="42" t="str">
        <f ca="1">IFERROR(__xludf.DUMMYFUNCTION("""COMPUTED_VALUE"""),"3. Operación")</f>
        <v>3. Operación</v>
      </c>
      <c r="D887" s="42" t="str">
        <f ca="1">IFERROR(__xludf.DUMMYFUNCTION("""COMPUTED_VALUE"""),"Guadalajara en Paz")</f>
        <v>Guadalajara en Paz</v>
      </c>
      <c r="E887" s="42" t="str">
        <f ca="1">IFERROR(__xludf.DUMMYFUNCTION("""COMPUTED_VALUE"""),"Atención Odontológica")</f>
        <v>Atención Odontológica</v>
      </c>
      <c r="F887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887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887" s="42" t="str">
        <f ca="1">IFERROR(__xludf.DUMMYFUNCTION("""COMPUTED_VALUE"""),"HOM Marzo")</f>
        <v>HOM Marzo</v>
      </c>
      <c r="I887" s="42" t="str">
        <f ca="1">IFERROR(__xludf.DUMMYFUNCTION("""COMPUTED_VALUE"""),"Marzo")</f>
        <v>Marzo</v>
      </c>
      <c r="J887" s="42" t="str">
        <f ca="1">IFERROR(__xludf.DUMMYFUNCTION("""COMPUTED_VALUE"""),"HOM")</f>
        <v>HOM</v>
      </c>
      <c r="K887" s="98">
        <f ca="1">IFERROR(__xludf.DUMMYFUNCTION("""COMPUTED_VALUE"""),129)</f>
        <v>129</v>
      </c>
      <c r="L887" s="42" t="str">
        <f ca="1">IFERROR(__xludf.DUMMYFUNCTION("""COMPUTED_VALUE"""),"TRIMESTRE 1")</f>
        <v>TRIMESTRE 1</v>
      </c>
      <c r="M887" s="42" t="str">
        <f ca="1">IFERROR(__xludf.DUMMYFUNCTION("""COMPUTED_VALUE"""),"HOMBRES ADULTOS")</f>
        <v>HOMBRES ADULTOS</v>
      </c>
    </row>
    <row r="888" spans="1:13">
      <c r="A888" s="42" t="str">
        <f ca="1">IFERROR(__xludf.DUMMYFUNCTION("""COMPUTED_VALUE"""),"2.1.1.8")</f>
        <v>2.1.1.8</v>
      </c>
      <c r="B888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888" s="42" t="str">
        <f ca="1">IFERROR(__xludf.DUMMYFUNCTION("""COMPUTED_VALUE"""),"3. Operación")</f>
        <v>3. Operación</v>
      </c>
      <c r="D888" s="42" t="str">
        <f ca="1">IFERROR(__xludf.DUMMYFUNCTION("""COMPUTED_VALUE"""),"Guadalajara en Paz")</f>
        <v>Guadalajara en Paz</v>
      </c>
      <c r="E888" s="42" t="str">
        <f ca="1">IFERROR(__xludf.DUMMYFUNCTION("""COMPUTED_VALUE"""),"Atención Odontológica")</f>
        <v>Atención Odontológica</v>
      </c>
      <c r="F888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888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888" s="42" t="str">
        <f ca="1">IFERROR(__xludf.DUMMYFUNCTION("""COMPUTED_VALUE"""),"AMM Marzo")</f>
        <v>AMM Marzo</v>
      </c>
      <c r="I888" s="42" t="str">
        <f ca="1">IFERROR(__xludf.DUMMYFUNCTION("""COMPUTED_VALUE"""),"Marzo")</f>
        <v>Marzo</v>
      </c>
      <c r="J888" s="42" t="str">
        <f ca="1">IFERROR(__xludf.DUMMYFUNCTION("""COMPUTED_VALUE"""),"AMM")</f>
        <v>AMM</v>
      </c>
      <c r="K888" s="98">
        <f ca="1">IFERROR(__xludf.DUMMYFUNCTION("""COMPUTED_VALUE"""),158)</f>
        <v>158</v>
      </c>
      <c r="L888" s="42" t="str">
        <f ca="1">IFERROR(__xludf.DUMMYFUNCTION("""COMPUTED_VALUE"""),"TRIMESTRE 1")</f>
        <v>TRIMESTRE 1</v>
      </c>
      <c r="M888" s="42" t="str">
        <f ca="1">IFERROR(__xludf.DUMMYFUNCTION("""COMPUTED_VALUE"""),"ADULTA MAYOR MUJER")</f>
        <v>ADULTA MAYOR MUJER</v>
      </c>
    </row>
    <row r="889" spans="1:13">
      <c r="A889" s="42" t="str">
        <f ca="1">IFERROR(__xludf.DUMMYFUNCTION("""COMPUTED_VALUE"""),"2.1.1.8")</f>
        <v>2.1.1.8</v>
      </c>
      <c r="B889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889" s="42" t="str">
        <f ca="1">IFERROR(__xludf.DUMMYFUNCTION("""COMPUTED_VALUE"""),"3. Operación")</f>
        <v>3. Operación</v>
      </c>
      <c r="D889" s="42" t="str">
        <f ca="1">IFERROR(__xludf.DUMMYFUNCTION("""COMPUTED_VALUE"""),"Guadalajara en Paz")</f>
        <v>Guadalajara en Paz</v>
      </c>
      <c r="E889" s="42" t="str">
        <f ca="1">IFERROR(__xludf.DUMMYFUNCTION("""COMPUTED_VALUE"""),"Atención Odontológica")</f>
        <v>Atención Odontológica</v>
      </c>
      <c r="F889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889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889" s="42" t="str">
        <f ca="1">IFERROR(__xludf.DUMMYFUNCTION("""COMPUTED_VALUE"""),"AMH Marzo")</f>
        <v>AMH Marzo</v>
      </c>
      <c r="I889" s="42" t="str">
        <f ca="1">IFERROR(__xludf.DUMMYFUNCTION("""COMPUTED_VALUE"""),"Marzo")</f>
        <v>Marzo</v>
      </c>
      <c r="J889" s="42" t="str">
        <f ca="1">IFERROR(__xludf.DUMMYFUNCTION("""COMPUTED_VALUE"""),"AMH")</f>
        <v>AMH</v>
      </c>
      <c r="K889" s="98">
        <f ca="1">IFERROR(__xludf.DUMMYFUNCTION("""COMPUTED_VALUE"""),112)</f>
        <v>112</v>
      </c>
      <c r="L889" s="42" t="str">
        <f ca="1">IFERROR(__xludf.DUMMYFUNCTION("""COMPUTED_VALUE"""),"TRIMESTRE 1")</f>
        <v>TRIMESTRE 1</v>
      </c>
      <c r="M889" s="42" t="str">
        <f ca="1">IFERROR(__xludf.DUMMYFUNCTION("""COMPUTED_VALUE"""),"ADULTO MAYOR HOMBRE")</f>
        <v>ADULTO MAYOR HOMBRE</v>
      </c>
    </row>
    <row r="890" spans="1:13">
      <c r="A890" s="42" t="str">
        <f ca="1">IFERROR(__xludf.DUMMYFUNCTION("""COMPUTED_VALUE"""),"2.1.1.8")</f>
        <v>2.1.1.8</v>
      </c>
      <c r="B890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890" s="42" t="str">
        <f ca="1">IFERROR(__xludf.DUMMYFUNCTION("""COMPUTED_VALUE"""),"3. Operación")</f>
        <v>3. Operación</v>
      </c>
      <c r="D890" s="42" t="str">
        <f ca="1">IFERROR(__xludf.DUMMYFUNCTION("""COMPUTED_VALUE"""),"Guadalajara en Paz")</f>
        <v>Guadalajara en Paz</v>
      </c>
      <c r="E890" s="42" t="str">
        <f ca="1">IFERROR(__xludf.DUMMYFUNCTION("""COMPUTED_VALUE"""),"Atención Odontológica")</f>
        <v>Atención Odontológica</v>
      </c>
      <c r="F890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890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890" s="42" t="str">
        <f ca="1">IFERROR(__xludf.DUMMYFUNCTION("""COMPUTED_VALUE"""),"NAS Abril")</f>
        <v>NAS Abril</v>
      </c>
      <c r="I890" s="42" t="str">
        <f ca="1">IFERROR(__xludf.DUMMYFUNCTION("""COMPUTED_VALUE"""),"Abril")</f>
        <v>Abril</v>
      </c>
      <c r="J890" s="42" t="str">
        <f ca="1">IFERROR(__xludf.DUMMYFUNCTION("""COMPUTED_VALUE"""),"NAS")</f>
        <v>NAS</v>
      </c>
      <c r="K890" s="98">
        <f ca="1">IFERROR(__xludf.DUMMYFUNCTION("""COMPUTED_VALUE"""),15)</f>
        <v>15</v>
      </c>
      <c r="L890" s="42" t="str">
        <f ca="1">IFERROR(__xludf.DUMMYFUNCTION("""COMPUTED_VALUE"""),"TRIMESTRE 2")</f>
        <v>TRIMESTRE 2</v>
      </c>
      <c r="M890" s="42" t="str">
        <f ca="1">IFERROR(__xludf.DUMMYFUNCTION("""COMPUTED_VALUE"""),"NIÑAS")</f>
        <v>NIÑAS</v>
      </c>
    </row>
    <row r="891" spans="1:13">
      <c r="A891" s="42" t="str">
        <f ca="1">IFERROR(__xludf.DUMMYFUNCTION("""COMPUTED_VALUE"""),"2.1.1.8")</f>
        <v>2.1.1.8</v>
      </c>
      <c r="B891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891" s="42" t="str">
        <f ca="1">IFERROR(__xludf.DUMMYFUNCTION("""COMPUTED_VALUE"""),"3. Operación")</f>
        <v>3. Operación</v>
      </c>
      <c r="D891" s="42" t="str">
        <f ca="1">IFERROR(__xludf.DUMMYFUNCTION("""COMPUTED_VALUE"""),"Guadalajara en Paz")</f>
        <v>Guadalajara en Paz</v>
      </c>
      <c r="E891" s="42" t="str">
        <f ca="1">IFERROR(__xludf.DUMMYFUNCTION("""COMPUTED_VALUE"""),"Atención Odontológica")</f>
        <v>Atención Odontológica</v>
      </c>
      <c r="F891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891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891" s="42" t="str">
        <f ca="1">IFERROR(__xludf.DUMMYFUNCTION("""COMPUTED_VALUE"""),"NOS Abril")</f>
        <v>NOS Abril</v>
      </c>
      <c r="I891" s="42" t="str">
        <f ca="1">IFERROR(__xludf.DUMMYFUNCTION("""COMPUTED_VALUE"""),"Abril")</f>
        <v>Abril</v>
      </c>
      <c r="J891" s="42" t="str">
        <f ca="1">IFERROR(__xludf.DUMMYFUNCTION("""COMPUTED_VALUE"""),"NOS")</f>
        <v>NOS</v>
      </c>
      <c r="K891" s="98">
        <f ca="1">IFERROR(__xludf.DUMMYFUNCTION("""COMPUTED_VALUE"""),12)</f>
        <v>12</v>
      </c>
      <c r="L891" s="42" t="str">
        <f ca="1">IFERROR(__xludf.DUMMYFUNCTION("""COMPUTED_VALUE"""),"TRIMESTRE 2")</f>
        <v>TRIMESTRE 2</v>
      </c>
      <c r="M891" s="42" t="str">
        <f ca="1">IFERROR(__xludf.DUMMYFUNCTION("""COMPUTED_VALUE"""),"NIÑOS")</f>
        <v>NIÑOS</v>
      </c>
    </row>
    <row r="892" spans="1:13">
      <c r="A892" s="42" t="str">
        <f ca="1">IFERROR(__xludf.DUMMYFUNCTION("""COMPUTED_VALUE"""),"2.1.1.8")</f>
        <v>2.1.1.8</v>
      </c>
      <c r="B892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892" s="42" t="str">
        <f ca="1">IFERROR(__xludf.DUMMYFUNCTION("""COMPUTED_VALUE"""),"3. Operación")</f>
        <v>3. Operación</v>
      </c>
      <c r="D892" s="42" t="str">
        <f ca="1">IFERROR(__xludf.DUMMYFUNCTION("""COMPUTED_VALUE"""),"Guadalajara en Paz")</f>
        <v>Guadalajara en Paz</v>
      </c>
      <c r="E892" s="42" t="str">
        <f ca="1">IFERROR(__xludf.DUMMYFUNCTION("""COMPUTED_VALUE"""),"Atención Odontológica")</f>
        <v>Atención Odontológica</v>
      </c>
      <c r="F892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892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892" s="42" t="str">
        <f ca="1">IFERROR(__xludf.DUMMYFUNCTION("""COMPUTED_VALUE"""),"AM ABRIL")</f>
        <v>AM ABRIL</v>
      </c>
      <c r="I892" s="42" t="str">
        <f ca="1">IFERROR(__xludf.DUMMYFUNCTION("""COMPUTED_VALUE"""),"Abril")</f>
        <v>Abril</v>
      </c>
      <c r="J892" s="42" t="str">
        <f ca="1">IFERROR(__xludf.DUMMYFUNCTION("""COMPUTED_VALUE"""),"AM")</f>
        <v>AM</v>
      </c>
      <c r="K892" s="98">
        <f ca="1">IFERROR(__xludf.DUMMYFUNCTION("""COMPUTED_VALUE"""),14)</f>
        <v>14</v>
      </c>
      <c r="L892" s="42" t="str">
        <f ca="1">IFERROR(__xludf.DUMMYFUNCTION("""COMPUTED_VALUE"""),"TRIMESTRE 2")</f>
        <v>TRIMESTRE 2</v>
      </c>
      <c r="M892" s="42" t="str">
        <f ca="1">IFERROR(__xludf.DUMMYFUNCTION("""COMPUTED_VALUE"""),"ADOLESCENTES MUJERES")</f>
        <v>ADOLESCENTES MUJERES</v>
      </c>
    </row>
    <row r="893" spans="1:13">
      <c r="A893" s="42" t="str">
        <f ca="1">IFERROR(__xludf.DUMMYFUNCTION("""COMPUTED_VALUE"""),"2.1.1.8")</f>
        <v>2.1.1.8</v>
      </c>
      <c r="B893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893" s="42" t="str">
        <f ca="1">IFERROR(__xludf.DUMMYFUNCTION("""COMPUTED_VALUE"""),"3. Operación")</f>
        <v>3. Operación</v>
      </c>
      <c r="D893" s="42" t="str">
        <f ca="1">IFERROR(__xludf.DUMMYFUNCTION("""COMPUTED_VALUE"""),"Guadalajara en Paz")</f>
        <v>Guadalajara en Paz</v>
      </c>
      <c r="E893" s="42" t="str">
        <f ca="1">IFERROR(__xludf.DUMMYFUNCTION("""COMPUTED_VALUE"""),"Atención Odontológica")</f>
        <v>Atención Odontológica</v>
      </c>
      <c r="F893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893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893" s="42" t="str">
        <f ca="1">IFERROR(__xludf.DUMMYFUNCTION("""COMPUTED_VALUE"""),"AH ABRIL")</f>
        <v>AH ABRIL</v>
      </c>
      <c r="I893" s="42" t="str">
        <f ca="1">IFERROR(__xludf.DUMMYFUNCTION("""COMPUTED_VALUE"""),"Abril")</f>
        <v>Abril</v>
      </c>
      <c r="J893" s="42" t="str">
        <f ca="1">IFERROR(__xludf.DUMMYFUNCTION("""COMPUTED_VALUE"""),"AH")</f>
        <v>AH</v>
      </c>
      <c r="K893" s="98">
        <f ca="1">IFERROR(__xludf.DUMMYFUNCTION("""COMPUTED_VALUE"""),6)</f>
        <v>6</v>
      </c>
      <c r="L893" s="42" t="str">
        <f ca="1">IFERROR(__xludf.DUMMYFUNCTION("""COMPUTED_VALUE"""),"TRIMESTRE 2")</f>
        <v>TRIMESTRE 2</v>
      </c>
      <c r="M893" s="42" t="str">
        <f ca="1">IFERROR(__xludf.DUMMYFUNCTION("""COMPUTED_VALUE"""),"ADOLESCENTES HOMBRES")</f>
        <v>ADOLESCENTES HOMBRES</v>
      </c>
    </row>
    <row r="894" spans="1:13">
      <c r="A894" s="42" t="str">
        <f ca="1">IFERROR(__xludf.DUMMYFUNCTION("""COMPUTED_VALUE"""),"2.1.1.8")</f>
        <v>2.1.1.8</v>
      </c>
      <c r="B894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894" s="42" t="str">
        <f ca="1">IFERROR(__xludf.DUMMYFUNCTION("""COMPUTED_VALUE"""),"3. Operación")</f>
        <v>3. Operación</v>
      </c>
      <c r="D894" s="42" t="str">
        <f ca="1">IFERROR(__xludf.DUMMYFUNCTION("""COMPUTED_VALUE"""),"Guadalajara en Paz")</f>
        <v>Guadalajara en Paz</v>
      </c>
      <c r="E894" s="42" t="str">
        <f ca="1">IFERROR(__xludf.DUMMYFUNCTION("""COMPUTED_VALUE"""),"Atención Odontológica")</f>
        <v>Atención Odontológica</v>
      </c>
      <c r="F894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894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894" s="42" t="str">
        <f ca="1">IFERROR(__xludf.DUMMYFUNCTION("""COMPUTED_VALUE"""),"MUJ Abril")</f>
        <v>MUJ Abril</v>
      </c>
      <c r="I894" s="42" t="str">
        <f ca="1">IFERROR(__xludf.DUMMYFUNCTION("""COMPUTED_VALUE"""),"Abril")</f>
        <v>Abril</v>
      </c>
      <c r="J894" s="42" t="str">
        <f ca="1">IFERROR(__xludf.DUMMYFUNCTION("""COMPUTED_VALUE"""),"MUJ")</f>
        <v>MUJ</v>
      </c>
      <c r="K894" s="98">
        <f ca="1">IFERROR(__xludf.DUMMYFUNCTION("""COMPUTED_VALUE"""),92)</f>
        <v>92</v>
      </c>
      <c r="L894" s="42" t="str">
        <f ca="1">IFERROR(__xludf.DUMMYFUNCTION("""COMPUTED_VALUE"""),"TRIMESTRE 2")</f>
        <v>TRIMESTRE 2</v>
      </c>
      <c r="M894" s="42" t="str">
        <f ca="1">IFERROR(__xludf.DUMMYFUNCTION("""COMPUTED_VALUE"""),"MUJERES ADULTAS")</f>
        <v>MUJERES ADULTAS</v>
      </c>
    </row>
    <row r="895" spans="1:13">
      <c r="A895" s="42" t="str">
        <f ca="1">IFERROR(__xludf.DUMMYFUNCTION("""COMPUTED_VALUE"""),"2.1.1.8")</f>
        <v>2.1.1.8</v>
      </c>
      <c r="B895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895" s="42" t="str">
        <f ca="1">IFERROR(__xludf.DUMMYFUNCTION("""COMPUTED_VALUE"""),"3. Operación")</f>
        <v>3. Operación</v>
      </c>
      <c r="D895" s="42" t="str">
        <f ca="1">IFERROR(__xludf.DUMMYFUNCTION("""COMPUTED_VALUE"""),"Guadalajara en Paz")</f>
        <v>Guadalajara en Paz</v>
      </c>
      <c r="E895" s="42" t="str">
        <f ca="1">IFERROR(__xludf.DUMMYFUNCTION("""COMPUTED_VALUE"""),"Atención Odontológica")</f>
        <v>Atención Odontológica</v>
      </c>
      <c r="F895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895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895" s="42" t="str">
        <f ca="1">IFERROR(__xludf.DUMMYFUNCTION("""COMPUTED_VALUE"""),"HOM Abril")</f>
        <v>HOM Abril</v>
      </c>
      <c r="I895" s="42" t="str">
        <f ca="1">IFERROR(__xludf.DUMMYFUNCTION("""COMPUTED_VALUE"""),"Abril")</f>
        <v>Abril</v>
      </c>
      <c r="J895" s="42" t="str">
        <f ca="1">IFERROR(__xludf.DUMMYFUNCTION("""COMPUTED_VALUE"""),"HOM")</f>
        <v>HOM</v>
      </c>
      <c r="K895" s="98">
        <f ca="1">IFERROR(__xludf.DUMMYFUNCTION("""COMPUTED_VALUE"""),49)</f>
        <v>49</v>
      </c>
      <c r="L895" s="42" t="str">
        <f ca="1">IFERROR(__xludf.DUMMYFUNCTION("""COMPUTED_VALUE"""),"TRIMESTRE 2")</f>
        <v>TRIMESTRE 2</v>
      </c>
      <c r="M895" s="42" t="str">
        <f ca="1">IFERROR(__xludf.DUMMYFUNCTION("""COMPUTED_VALUE"""),"HOMBRES ADULTOS")</f>
        <v>HOMBRES ADULTOS</v>
      </c>
    </row>
    <row r="896" spans="1:13">
      <c r="A896" s="42" t="str">
        <f ca="1">IFERROR(__xludf.DUMMYFUNCTION("""COMPUTED_VALUE"""),"2.1.1.8")</f>
        <v>2.1.1.8</v>
      </c>
      <c r="B896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896" s="42" t="str">
        <f ca="1">IFERROR(__xludf.DUMMYFUNCTION("""COMPUTED_VALUE"""),"3. Operación")</f>
        <v>3. Operación</v>
      </c>
      <c r="D896" s="42" t="str">
        <f ca="1">IFERROR(__xludf.DUMMYFUNCTION("""COMPUTED_VALUE"""),"Guadalajara en Paz")</f>
        <v>Guadalajara en Paz</v>
      </c>
      <c r="E896" s="42" t="str">
        <f ca="1">IFERROR(__xludf.DUMMYFUNCTION("""COMPUTED_VALUE"""),"Atención Odontológica")</f>
        <v>Atención Odontológica</v>
      </c>
      <c r="F896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896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896" s="42" t="str">
        <f ca="1">IFERROR(__xludf.DUMMYFUNCTION("""COMPUTED_VALUE"""),"AMM Abril")</f>
        <v>AMM Abril</v>
      </c>
      <c r="I896" s="42" t="str">
        <f ca="1">IFERROR(__xludf.DUMMYFUNCTION("""COMPUTED_VALUE"""),"Abril")</f>
        <v>Abril</v>
      </c>
      <c r="J896" s="42" t="str">
        <f ca="1">IFERROR(__xludf.DUMMYFUNCTION("""COMPUTED_VALUE"""),"AMM")</f>
        <v>AMM</v>
      </c>
      <c r="K896" s="98">
        <f ca="1">IFERROR(__xludf.DUMMYFUNCTION("""COMPUTED_VALUE"""),68)</f>
        <v>68</v>
      </c>
      <c r="L896" s="42" t="str">
        <f ca="1">IFERROR(__xludf.DUMMYFUNCTION("""COMPUTED_VALUE"""),"TRIMESTRE 2")</f>
        <v>TRIMESTRE 2</v>
      </c>
      <c r="M896" s="42" t="str">
        <f ca="1">IFERROR(__xludf.DUMMYFUNCTION("""COMPUTED_VALUE"""),"ADULTA MAYOR MUJER")</f>
        <v>ADULTA MAYOR MUJER</v>
      </c>
    </row>
    <row r="897" spans="1:13">
      <c r="A897" s="42" t="str">
        <f ca="1">IFERROR(__xludf.DUMMYFUNCTION("""COMPUTED_VALUE"""),"2.1.1.8")</f>
        <v>2.1.1.8</v>
      </c>
      <c r="B897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897" s="42" t="str">
        <f ca="1">IFERROR(__xludf.DUMMYFUNCTION("""COMPUTED_VALUE"""),"3. Operación")</f>
        <v>3. Operación</v>
      </c>
      <c r="D897" s="42" t="str">
        <f ca="1">IFERROR(__xludf.DUMMYFUNCTION("""COMPUTED_VALUE"""),"Guadalajara en Paz")</f>
        <v>Guadalajara en Paz</v>
      </c>
      <c r="E897" s="42" t="str">
        <f ca="1">IFERROR(__xludf.DUMMYFUNCTION("""COMPUTED_VALUE"""),"Atención Odontológica")</f>
        <v>Atención Odontológica</v>
      </c>
      <c r="F897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897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897" s="42" t="str">
        <f ca="1">IFERROR(__xludf.DUMMYFUNCTION("""COMPUTED_VALUE"""),"AMH Abril")</f>
        <v>AMH Abril</v>
      </c>
      <c r="I897" s="42" t="str">
        <f ca="1">IFERROR(__xludf.DUMMYFUNCTION("""COMPUTED_VALUE"""),"Abril")</f>
        <v>Abril</v>
      </c>
      <c r="J897" s="42" t="str">
        <f ca="1">IFERROR(__xludf.DUMMYFUNCTION("""COMPUTED_VALUE"""),"AMH")</f>
        <v>AMH</v>
      </c>
      <c r="K897" s="98">
        <f ca="1">IFERROR(__xludf.DUMMYFUNCTION("""COMPUTED_VALUE"""),41)</f>
        <v>41</v>
      </c>
      <c r="L897" s="42" t="str">
        <f ca="1">IFERROR(__xludf.DUMMYFUNCTION("""COMPUTED_VALUE"""),"TRIMESTRE 2")</f>
        <v>TRIMESTRE 2</v>
      </c>
      <c r="M897" s="42" t="str">
        <f ca="1">IFERROR(__xludf.DUMMYFUNCTION("""COMPUTED_VALUE"""),"ADULTO MAYOR HOMBRE")</f>
        <v>ADULTO MAYOR HOMBRE</v>
      </c>
    </row>
    <row r="898" spans="1:13">
      <c r="A898" s="42" t="str">
        <f ca="1">IFERROR(__xludf.DUMMYFUNCTION("""COMPUTED_VALUE"""),"2.1.1.8")</f>
        <v>2.1.1.8</v>
      </c>
      <c r="B898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898" s="42" t="str">
        <f ca="1">IFERROR(__xludf.DUMMYFUNCTION("""COMPUTED_VALUE"""),"3. Operación")</f>
        <v>3. Operación</v>
      </c>
      <c r="D898" s="42" t="str">
        <f ca="1">IFERROR(__xludf.DUMMYFUNCTION("""COMPUTED_VALUE"""),"Guadalajara en Paz")</f>
        <v>Guadalajara en Paz</v>
      </c>
      <c r="E898" s="42" t="str">
        <f ca="1">IFERROR(__xludf.DUMMYFUNCTION("""COMPUTED_VALUE"""),"Atención Odontológica")</f>
        <v>Atención Odontológica</v>
      </c>
      <c r="F898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898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898" s="42" t="str">
        <f ca="1">IFERROR(__xludf.DUMMYFUNCTION("""COMPUTED_VALUE"""),"NAS Mayo")</f>
        <v>NAS Mayo</v>
      </c>
      <c r="I898" s="42" t="str">
        <f ca="1">IFERROR(__xludf.DUMMYFUNCTION("""COMPUTED_VALUE"""),"Mayo")</f>
        <v>Mayo</v>
      </c>
      <c r="J898" s="42" t="str">
        <f ca="1">IFERROR(__xludf.DUMMYFUNCTION("""COMPUTED_VALUE"""),"NAS")</f>
        <v>NAS</v>
      </c>
      <c r="K898" s="98">
        <f ca="1">IFERROR(__xludf.DUMMYFUNCTION("""COMPUTED_VALUE"""),30)</f>
        <v>30</v>
      </c>
      <c r="L898" s="42" t="str">
        <f ca="1">IFERROR(__xludf.DUMMYFUNCTION("""COMPUTED_VALUE"""),"TRIMESTRE 2")</f>
        <v>TRIMESTRE 2</v>
      </c>
      <c r="M898" s="42" t="str">
        <f ca="1">IFERROR(__xludf.DUMMYFUNCTION("""COMPUTED_VALUE"""),"NIÑAS")</f>
        <v>NIÑAS</v>
      </c>
    </row>
    <row r="899" spans="1:13">
      <c r="A899" s="42" t="str">
        <f ca="1">IFERROR(__xludf.DUMMYFUNCTION("""COMPUTED_VALUE"""),"2.1.1.8")</f>
        <v>2.1.1.8</v>
      </c>
      <c r="B899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899" s="42" t="str">
        <f ca="1">IFERROR(__xludf.DUMMYFUNCTION("""COMPUTED_VALUE"""),"3. Operación")</f>
        <v>3. Operación</v>
      </c>
      <c r="D899" s="42" t="str">
        <f ca="1">IFERROR(__xludf.DUMMYFUNCTION("""COMPUTED_VALUE"""),"Guadalajara en Paz")</f>
        <v>Guadalajara en Paz</v>
      </c>
      <c r="E899" s="42" t="str">
        <f ca="1">IFERROR(__xludf.DUMMYFUNCTION("""COMPUTED_VALUE"""),"Atención Odontológica")</f>
        <v>Atención Odontológica</v>
      </c>
      <c r="F899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899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899" s="42" t="str">
        <f ca="1">IFERROR(__xludf.DUMMYFUNCTION("""COMPUTED_VALUE"""),"NOS Mayo")</f>
        <v>NOS Mayo</v>
      </c>
      <c r="I899" s="42" t="str">
        <f ca="1">IFERROR(__xludf.DUMMYFUNCTION("""COMPUTED_VALUE"""),"Mayo")</f>
        <v>Mayo</v>
      </c>
      <c r="J899" s="42" t="str">
        <f ca="1">IFERROR(__xludf.DUMMYFUNCTION("""COMPUTED_VALUE"""),"NOS")</f>
        <v>NOS</v>
      </c>
      <c r="K899" s="98">
        <f ca="1">IFERROR(__xludf.DUMMYFUNCTION("""COMPUTED_VALUE"""),23)</f>
        <v>23</v>
      </c>
      <c r="L899" s="42" t="str">
        <f ca="1">IFERROR(__xludf.DUMMYFUNCTION("""COMPUTED_VALUE"""),"TRIMESTRE 2")</f>
        <v>TRIMESTRE 2</v>
      </c>
      <c r="M899" s="42" t="str">
        <f ca="1">IFERROR(__xludf.DUMMYFUNCTION("""COMPUTED_VALUE"""),"NIÑOS")</f>
        <v>NIÑOS</v>
      </c>
    </row>
    <row r="900" spans="1:13">
      <c r="A900" s="42" t="str">
        <f ca="1">IFERROR(__xludf.DUMMYFUNCTION("""COMPUTED_VALUE"""),"2.1.1.8")</f>
        <v>2.1.1.8</v>
      </c>
      <c r="B900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00" s="42" t="str">
        <f ca="1">IFERROR(__xludf.DUMMYFUNCTION("""COMPUTED_VALUE"""),"3. Operación")</f>
        <v>3. Operación</v>
      </c>
      <c r="D900" s="42" t="str">
        <f ca="1">IFERROR(__xludf.DUMMYFUNCTION("""COMPUTED_VALUE"""),"Guadalajara en Paz")</f>
        <v>Guadalajara en Paz</v>
      </c>
      <c r="E900" s="42" t="str">
        <f ca="1">IFERROR(__xludf.DUMMYFUNCTION("""COMPUTED_VALUE"""),"Atención Odontológica")</f>
        <v>Atención Odontológica</v>
      </c>
      <c r="F900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00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00" s="42" t="str">
        <f ca="1">IFERROR(__xludf.DUMMYFUNCTION("""COMPUTED_VALUE"""),"AM MAYO")</f>
        <v>AM MAYO</v>
      </c>
      <c r="I900" s="42" t="str">
        <f ca="1">IFERROR(__xludf.DUMMYFUNCTION("""COMPUTED_VALUE"""),"Mayo")</f>
        <v>Mayo</v>
      </c>
      <c r="J900" s="42" t="str">
        <f ca="1">IFERROR(__xludf.DUMMYFUNCTION("""COMPUTED_VALUE"""),"AM")</f>
        <v>AM</v>
      </c>
      <c r="K900" s="98">
        <f ca="1">IFERROR(__xludf.DUMMYFUNCTION("""COMPUTED_VALUE"""),16)</f>
        <v>16</v>
      </c>
      <c r="L900" s="42" t="str">
        <f ca="1">IFERROR(__xludf.DUMMYFUNCTION("""COMPUTED_VALUE"""),"TRIMESTRE 2")</f>
        <v>TRIMESTRE 2</v>
      </c>
      <c r="M900" s="42" t="str">
        <f ca="1">IFERROR(__xludf.DUMMYFUNCTION("""COMPUTED_VALUE"""),"ADOLESCENTES MUJERES")</f>
        <v>ADOLESCENTES MUJERES</v>
      </c>
    </row>
    <row r="901" spans="1:13">
      <c r="A901" s="42" t="str">
        <f ca="1">IFERROR(__xludf.DUMMYFUNCTION("""COMPUTED_VALUE"""),"2.1.1.8")</f>
        <v>2.1.1.8</v>
      </c>
      <c r="B901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01" s="42" t="str">
        <f ca="1">IFERROR(__xludf.DUMMYFUNCTION("""COMPUTED_VALUE"""),"3. Operación")</f>
        <v>3. Operación</v>
      </c>
      <c r="D901" s="42" t="str">
        <f ca="1">IFERROR(__xludf.DUMMYFUNCTION("""COMPUTED_VALUE"""),"Guadalajara en Paz")</f>
        <v>Guadalajara en Paz</v>
      </c>
      <c r="E901" s="42" t="str">
        <f ca="1">IFERROR(__xludf.DUMMYFUNCTION("""COMPUTED_VALUE"""),"Atención Odontológica")</f>
        <v>Atención Odontológica</v>
      </c>
      <c r="F901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01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01" s="42" t="str">
        <f ca="1">IFERROR(__xludf.DUMMYFUNCTION("""COMPUTED_VALUE"""),"AH MAYO")</f>
        <v>AH MAYO</v>
      </c>
      <c r="I901" s="42" t="str">
        <f ca="1">IFERROR(__xludf.DUMMYFUNCTION("""COMPUTED_VALUE"""),"Mayo")</f>
        <v>Mayo</v>
      </c>
      <c r="J901" s="42" t="str">
        <f ca="1">IFERROR(__xludf.DUMMYFUNCTION("""COMPUTED_VALUE"""),"AH")</f>
        <v>AH</v>
      </c>
      <c r="K901" s="98">
        <f ca="1">IFERROR(__xludf.DUMMYFUNCTION("""COMPUTED_VALUE"""),7)</f>
        <v>7</v>
      </c>
      <c r="L901" s="42" t="str">
        <f ca="1">IFERROR(__xludf.DUMMYFUNCTION("""COMPUTED_VALUE"""),"TRIMESTRE 2")</f>
        <v>TRIMESTRE 2</v>
      </c>
      <c r="M901" s="42" t="str">
        <f ca="1">IFERROR(__xludf.DUMMYFUNCTION("""COMPUTED_VALUE"""),"ADOLESCENTES HOMBRES")</f>
        <v>ADOLESCENTES HOMBRES</v>
      </c>
    </row>
    <row r="902" spans="1:13">
      <c r="A902" s="42" t="str">
        <f ca="1">IFERROR(__xludf.DUMMYFUNCTION("""COMPUTED_VALUE"""),"2.1.1.8")</f>
        <v>2.1.1.8</v>
      </c>
      <c r="B902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02" s="42" t="str">
        <f ca="1">IFERROR(__xludf.DUMMYFUNCTION("""COMPUTED_VALUE"""),"3. Operación")</f>
        <v>3. Operación</v>
      </c>
      <c r="D902" s="42" t="str">
        <f ca="1">IFERROR(__xludf.DUMMYFUNCTION("""COMPUTED_VALUE"""),"Guadalajara en Paz")</f>
        <v>Guadalajara en Paz</v>
      </c>
      <c r="E902" s="42" t="str">
        <f ca="1">IFERROR(__xludf.DUMMYFUNCTION("""COMPUTED_VALUE"""),"Atención Odontológica")</f>
        <v>Atención Odontológica</v>
      </c>
      <c r="F902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02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02" s="42" t="str">
        <f ca="1">IFERROR(__xludf.DUMMYFUNCTION("""COMPUTED_VALUE"""),"MUJ Mayo")</f>
        <v>MUJ Mayo</v>
      </c>
      <c r="I902" s="42" t="str">
        <f ca="1">IFERROR(__xludf.DUMMYFUNCTION("""COMPUTED_VALUE"""),"Mayo")</f>
        <v>Mayo</v>
      </c>
      <c r="J902" s="42" t="str">
        <f ca="1">IFERROR(__xludf.DUMMYFUNCTION("""COMPUTED_VALUE"""),"MUJ")</f>
        <v>MUJ</v>
      </c>
      <c r="K902" s="98">
        <f ca="1">IFERROR(__xludf.DUMMYFUNCTION("""COMPUTED_VALUE"""),186)</f>
        <v>186</v>
      </c>
      <c r="L902" s="42" t="str">
        <f ca="1">IFERROR(__xludf.DUMMYFUNCTION("""COMPUTED_VALUE"""),"TRIMESTRE 2")</f>
        <v>TRIMESTRE 2</v>
      </c>
      <c r="M902" s="42" t="str">
        <f ca="1">IFERROR(__xludf.DUMMYFUNCTION("""COMPUTED_VALUE"""),"MUJERES ADULTAS")</f>
        <v>MUJERES ADULTAS</v>
      </c>
    </row>
    <row r="903" spans="1:13">
      <c r="A903" s="42" t="str">
        <f ca="1">IFERROR(__xludf.DUMMYFUNCTION("""COMPUTED_VALUE"""),"2.1.1.8")</f>
        <v>2.1.1.8</v>
      </c>
      <c r="B903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03" s="42" t="str">
        <f ca="1">IFERROR(__xludf.DUMMYFUNCTION("""COMPUTED_VALUE"""),"3. Operación")</f>
        <v>3. Operación</v>
      </c>
      <c r="D903" s="42" t="str">
        <f ca="1">IFERROR(__xludf.DUMMYFUNCTION("""COMPUTED_VALUE"""),"Guadalajara en Paz")</f>
        <v>Guadalajara en Paz</v>
      </c>
      <c r="E903" s="42" t="str">
        <f ca="1">IFERROR(__xludf.DUMMYFUNCTION("""COMPUTED_VALUE"""),"Atención Odontológica")</f>
        <v>Atención Odontológica</v>
      </c>
      <c r="F903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03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03" s="42" t="str">
        <f ca="1">IFERROR(__xludf.DUMMYFUNCTION("""COMPUTED_VALUE"""),"HOM Mayo")</f>
        <v>HOM Mayo</v>
      </c>
      <c r="I903" s="42" t="str">
        <f ca="1">IFERROR(__xludf.DUMMYFUNCTION("""COMPUTED_VALUE"""),"Mayo")</f>
        <v>Mayo</v>
      </c>
      <c r="J903" s="42" t="str">
        <f ca="1">IFERROR(__xludf.DUMMYFUNCTION("""COMPUTED_VALUE"""),"HOM")</f>
        <v>HOM</v>
      </c>
      <c r="K903" s="98">
        <f ca="1">IFERROR(__xludf.DUMMYFUNCTION("""COMPUTED_VALUE"""),88)</f>
        <v>88</v>
      </c>
      <c r="L903" s="42" t="str">
        <f ca="1">IFERROR(__xludf.DUMMYFUNCTION("""COMPUTED_VALUE"""),"TRIMESTRE 2")</f>
        <v>TRIMESTRE 2</v>
      </c>
      <c r="M903" s="42" t="str">
        <f ca="1">IFERROR(__xludf.DUMMYFUNCTION("""COMPUTED_VALUE"""),"HOMBRES ADULTOS")</f>
        <v>HOMBRES ADULTOS</v>
      </c>
    </row>
    <row r="904" spans="1:13">
      <c r="A904" s="42" t="str">
        <f ca="1">IFERROR(__xludf.DUMMYFUNCTION("""COMPUTED_VALUE"""),"2.1.1.8")</f>
        <v>2.1.1.8</v>
      </c>
      <c r="B904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04" s="42" t="str">
        <f ca="1">IFERROR(__xludf.DUMMYFUNCTION("""COMPUTED_VALUE"""),"3. Operación")</f>
        <v>3. Operación</v>
      </c>
      <c r="D904" s="42" t="str">
        <f ca="1">IFERROR(__xludf.DUMMYFUNCTION("""COMPUTED_VALUE"""),"Guadalajara en Paz")</f>
        <v>Guadalajara en Paz</v>
      </c>
      <c r="E904" s="42" t="str">
        <f ca="1">IFERROR(__xludf.DUMMYFUNCTION("""COMPUTED_VALUE"""),"Atención Odontológica")</f>
        <v>Atención Odontológica</v>
      </c>
      <c r="F904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04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04" s="42" t="str">
        <f ca="1">IFERROR(__xludf.DUMMYFUNCTION("""COMPUTED_VALUE"""),"AMM Mayo")</f>
        <v>AMM Mayo</v>
      </c>
      <c r="I904" s="42" t="str">
        <f ca="1">IFERROR(__xludf.DUMMYFUNCTION("""COMPUTED_VALUE"""),"Mayo")</f>
        <v>Mayo</v>
      </c>
      <c r="J904" s="42" t="str">
        <f ca="1">IFERROR(__xludf.DUMMYFUNCTION("""COMPUTED_VALUE"""),"AMM")</f>
        <v>AMM</v>
      </c>
      <c r="K904" s="98">
        <f ca="1">IFERROR(__xludf.DUMMYFUNCTION("""COMPUTED_VALUE"""),139)</f>
        <v>139</v>
      </c>
      <c r="L904" s="42" t="str">
        <f ca="1">IFERROR(__xludf.DUMMYFUNCTION("""COMPUTED_VALUE"""),"TRIMESTRE 2")</f>
        <v>TRIMESTRE 2</v>
      </c>
      <c r="M904" s="42" t="str">
        <f ca="1">IFERROR(__xludf.DUMMYFUNCTION("""COMPUTED_VALUE"""),"ADULTA MAYOR MUJER")</f>
        <v>ADULTA MAYOR MUJER</v>
      </c>
    </row>
    <row r="905" spans="1:13">
      <c r="A905" s="42" t="str">
        <f ca="1">IFERROR(__xludf.DUMMYFUNCTION("""COMPUTED_VALUE"""),"2.1.1.8")</f>
        <v>2.1.1.8</v>
      </c>
      <c r="B905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05" s="42" t="str">
        <f ca="1">IFERROR(__xludf.DUMMYFUNCTION("""COMPUTED_VALUE"""),"3. Operación")</f>
        <v>3. Operación</v>
      </c>
      <c r="D905" s="42" t="str">
        <f ca="1">IFERROR(__xludf.DUMMYFUNCTION("""COMPUTED_VALUE"""),"Guadalajara en Paz")</f>
        <v>Guadalajara en Paz</v>
      </c>
      <c r="E905" s="42" t="str">
        <f ca="1">IFERROR(__xludf.DUMMYFUNCTION("""COMPUTED_VALUE"""),"Atención Odontológica")</f>
        <v>Atención Odontológica</v>
      </c>
      <c r="F905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05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05" s="42" t="str">
        <f ca="1">IFERROR(__xludf.DUMMYFUNCTION("""COMPUTED_VALUE"""),"AMH Mayo")</f>
        <v>AMH Mayo</v>
      </c>
      <c r="I905" s="42" t="str">
        <f ca="1">IFERROR(__xludf.DUMMYFUNCTION("""COMPUTED_VALUE"""),"Mayo")</f>
        <v>Mayo</v>
      </c>
      <c r="J905" s="42" t="str">
        <f ca="1">IFERROR(__xludf.DUMMYFUNCTION("""COMPUTED_VALUE"""),"AMH")</f>
        <v>AMH</v>
      </c>
      <c r="K905" s="98">
        <f ca="1">IFERROR(__xludf.DUMMYFUNCTION("""COMPUTED_VALUE"""),67)</f>
        <v>67</v>
      </c>
      <c r="L905" s="42" t="str">
        <f ca="1">IFERROR(__xludf.DUMMYFUNCTION("""COMPUTED_VALUE"""),"TRIMESTRE 2")</f>
        <v>TRIMESTRE 2</v>
      </c>
      <c r="M905" s="42" t="str">
        <f ca="1">IFERROR(__xludf.DUMMYFUNCTION("""COMPUTED_VALUE"""),"ADULTO MAYOR HOMBRE")</f>
        <v>ADULTO MAYOR HOMBRE</v>
      </c>
    </row>
    <row r="906" spans="1:13">
      <c r="A906" s="42" t="str">
        <f ca="1">IFERROR(__xludf.DUMMYFUNCTION("""COMPUTED_VALUE"""),"2.1.1.8")</f>
        <v>2.1.1.8</v>
      </c>
      <c r="B906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06" s="42" t="str">
        <f ca="1">IFERROR(__xludf.DUMMYFUNCTION("""COMPUTED_VALUE"""),"3. Operación")</f>
        <v>3. Operación</v>
      </c>
      <c r="D906" s="42" t="str">
        <f ca="1">IFERROR(__xludf.DUMMYFUNCTION("""COMPUTED_VALUE"""),"Guadalajara en Paz")</f>
        <v>Guadalajara en Paz</v>
      </c>
      <c r="E906" s="42" t="str">
        <f ca="1">IFERROR(__xludf.DUMMYFUNCTION("""COMPUTED_VALUE"""),"Atención Odontológica")</f>
        <v>Atención Odontológica</v>
      </c>
      <c r="F906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06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06" s="42" t="str">
        <f ca="1">IFERROR(__xludf.DUMMYFUNCTION("""COMPUTED_VALUE"""),"NAS Junio")</f>
        <v>NAS Junio</v>
      </c>
      <c r="I906" s="42" t="str">
        <f ca="1">IFERROR(__xludf.DUMMYFUNCTION("""COMPUTED_VALUE"""),"Junio")</f>
        <v>Junio</v>
      </c>
      <c r="J906" s="42" t="str">
        <f ca="1">IFERROR(__xludf.DUMMYFUNCTION("""COMPUTED_VALUE"""),"NAS")</f>
        <v>NAS</v>
      </c>
      <c r="K906" s="98">
        <f ca="1">IFERROR(__xludf.DUMMYFUNCTION("""COMPUTED_VALUE"""),44)</f>
        <v>44</v>
      </c>
      <c r="L906" s="42" t="str">
        <f ca="1">IFERROR(__xludf.DUMMYFUNCTION("""COMPUTED_VALUE"""),"TRIMESTRE 2")</f>
        <v>TRIMESTRE 2</v>
      </c>
      <c r="M906" s="42" t="str">
        <f ca="1">IFERROR(__xludf.DUMMYFUNCTION("""COMPUTED_VALUE"""),"NIÑAS")</f>
        <v>NIÑAS</v>
      </c>
    </row>
    <row r="907" spans="1:13">
      <c r="A907" s="42" t="str">
        <f ca="1">IFERROR(__xludf.DUMMYFUNCTION("""COMPUTED_VALUE"""),"2.1.1.8")</f>
        <v>2.1.1.8</v>
      </c>
      <c r="B907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07" s="42" t="str">
        <f ca="1">IFERROR(__xludf.DUMMYFUNCTION("""COMPUTED_VALUE"""),"3. Operación")</f>
        <v>3. Operación</v>
      </c>
      <c r="D907" s="42" t="str">
        <f ca="1">IFERROR(__xludf.DUMMYFUNCTION("""COMPUTED_VALUE"""),"Guadalajara en Paz")</f>
        <v>Guadalajara en Paz</v>
      </c>
      <c r="E907" s="42" t="str">
        <f ca="1">IFERROR(__xludf.DUMMYFUNCTION("""COMPUTED_VALUE"""),"Atención Odontológica")</f>
        <v>Atención Odontológica</v>
      </c>
      <c r="F907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07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07" s="42" t="str">
        <f ca="1">IFERROR(__xludf.DUMMYFUNCTION("""COMPUTED_VALUE"""),"NOS Junio")</f>
        <v>NOS Junio</v>
      </c>
      <c r="I907" s="42" t="str">
        <f ca="1">IFERROR(__xludf.DUMMYFUNCTION("""COMPUTED_VALUE"""),"Junio")</f>
        <v>Junio</v>
      </c>
      <c r="J907" s="42" t="str">
        <f ca="1">IFERROR(__xludf.DUMMYFUNCTION("""COMPUTED_VALUE"""),"NOS")</f>
        <v>NOS</v>
      </c>
      <c r="K907" s="98">
        <f ca="1">IFERROR(__xludf.DUMMYFUNCTION("""COMPUTED_VALUE"""),35)</f>
        <v>35</v>
      </c>
      <c r="L907" s="42" t="str">
        <f ca="1">IFERROR(__xludf.DUMMYFUNCTION("""COMPUTED_VALUE"""),"TRIMESTRE 2")</f>
        <v>TRIMESTRE 2</v>
      </c>
      <c r="M907" s="42" t="str">
        <f ca="1">IFERROR(__xludf.DUMMYFUNCTION("""COMPUTED_VALUE"""),"NIÑOS")</f>
        <v>NIÑOS</v>
      </c>
    </row>
    <row r="908" spans="1:13">
      <c r="A908" s="42" t="str">
        <f ca="1">IFERROR(__xludf.DUMMYFUNCTION("""COMPUTED_VALUE"""),"2.1.1.8")</f>
        <v>2.1.1.8</v>
      </c>
      <c r="B908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08" s="42" t="str">
        <f ca="1">IFERROR(__xludf.DUMMYFUNCTION("""COMPUTED_VALUE"""),"3. Operación")</f>
        <v>3. Operación</v>
      </c>
      <c r="D908" s="42" t="str">
        <f ca="1">IFERROR(__xludf.DUMMYFUNCTION("""COMPUTED_VALUE"""),"Guadalajara en Paz")</f>
        <v>Guadalajara en Paz</v>
      </c>
      <c r="E908" s="42" t="str">
        <f ca="1">IFERROR(__xludf.DUMMYFUNCTION("""COMPUTED_VALUE"""),"Atención Odontológica")</f>
        <v>Atención Odontológica</v>
      </c>
      <c r="F908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08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08" s="42" t="str">
        <f ca="1">IFERROR(__xludf.DUMMYFUNCTION("""COMPUTED_VALUE"""),"AM JUNIO")</f>
        <v>AM JUNIO</v>
      </c>
      <c r="I908" s="42" t="str">
        <f ca="1">IFERROR(__xludf.DUMMYFUNCTION("""COMPUTED_VALUE"""),"Junio")</f>
        <v>Junio</v>
      </c>
      <c r="J908" s="42" t="str">
        <f ca="1">IFERROR(__xludf.DUMMYFUNCTION("""COMPUTED_VALUE"""),"AM")</f>
        <v>AM</v>
      </c>
      <c r="K908" s="98">
        <f ca="1">IFERROR(__xludf.DUMMYFUNCTION("""COMPUTED_VALUE"""),30)</f>
        <v>30</v>
      </c>
      <c r="L908" s="42" t="str">
        <f ca="1">IFERROR(__xludf.DUMMYFUNCTION("""COMPUTED_VALUE"""),"TRIMESTRE 2")</f>
        <v>TRIMESTRE 2</v>
      </c>
      <c r="M908" s="42" t="str">
        <f ca="1">IFERROR(__xludf.DUMMYFUNCTION("""COMPUTED_VALUE"""),"ADOLESCENTES MUJERES")</f>
        <v>ADOLESCENTES MUJERES</v>
      </c>
    </row>
    <row r="909" spans="1:13">
      <c r="A909" s="42" t="str">
        <f ca="1">IFERROR(__xludf.DUMMYFUNCTION("""COMPUTED_VALUE"""),"2.1.1.8")</f>
        <v>2.1.1.8</v>
      </c>
      <c r="B909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09" s="42" t="str">
        <f ca="1">IFERROR(__xludf.DUMMYFUNCTION("""COMPUTED_VALUE"""),"3. Operación")</f>
        <v>3. Operación</v>
      </c>
      <c r="D909" s="42" t="str">
        <f ca="1">IFERROR(__xludf.DUMMYFUNCTION("""COMPUTED_VALUE"""),"Guadalajara en Paz")</f>
        <v>Guadalajara en Paz</v>
      </c>
      <c r="E909" s="42" t="str">
        <f ca="1">IFERROR(__xludf.DUMMYFUNCTION("""COMPUTED_VALUE"""),"Atención Odontológica")</f>
        <v>Atención Odontológica</v>
      </c>
      <c r="F909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09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09" s="42" t="str">
        <f ca="1">IFERROR(__xludf.DUMMYFUNCTION("""COMPUTED_VALUE"""),"AH JUNIO")</f>
        <v>AH JUNIO</v>
      </c>
      <c r="I909" s="42" t="str">
        <f ca="1">IFERROR(__xludf.DUMMYFUNCTION("""COMPUTED_VALUE"""),"Junio")</f>
        <v>Junio</v>
      </c>
      <c r="J909" s="42" t="str">
        <f ca="1">IFERROR(__xludf.DUMMYFUNCTION("""COMPUTED_VALUE"""),"AH")</f>
        <v>AH</v>
      </c>
      <c r="K909" s="98">
        <f ca="1">IFERROR(__xludf.DUMMYFUNCTION("""COMPUTED_VALUE"""),7)</f>
        <v>7</v>
      </c>
      <c r="L909" s="42" t="str">
        <f ca="1">IFERROR(__xludf.DUMMYFUNCTION("""COMPUTED_VALUE"""),"TRIMESTRE 2")</f>
        <v>TRIMESTRE 2</v>
      </c>
      <c r="M909" s="42" t="str">
        <f ca="1">IFERROR(__xludf.DUMMYFUNCTION("""COMPUTED_VALUE"""),"ADOLESCENTES HOMBRES")</f>
        <v>ADOLESCENTES HOMBRES</v>
      </c>
    </row>
    <row r="910" spans="1:13">
      <c r="A910" s="42" t="str">
        <f ca="1">IFERROR(__xludf.DUMMYFUNCTION("""COMPUTED_VALUE"""),"2.1.1.8")</f>
        <v>2.1.1.8</v>
      </c>
      <c r="B910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10" s="42" t="str">
        <f ca="1">IFERROR(__xludf.DUMMYFUNCTION("""COMPUTED_VALUE"""),"3. Operación")</f>
        <v>3. Operación</v>
      </c>
      <c r="D910" s="42" t="str">
        <f ca="1">IFERROR(__xludf.DUMMYFUNCTION("""COMPUTED_VALUE"""),"Guadalajara en Paz")</f>
        <v>Guadalajara en Paz</v>
      </c>
      <c r="E910" s="42" t="str">
        <f ca="1">IFERROR(__xludf.DUMMYFUNCTION("""COMPUTED_VALUE"""),"Atención Odontológica")</f>
        <v>Atención Odontológica</v>
      </c>
      <c r="F910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10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10" s="42" t="str">
        <f ca="1">IFERROR(__xludf.DUMMYFUNCTION("""COMPUTED_VALUE"""),"MUJ Junio")</f>
        <v>MUJ Junio</v>
      </c>
      <c r="I910" s="42" t="str">
        <f ca="1">IFERROR(__xludf.DUMMYFUNCTION("""COMPUTED_VALUE"""),"Junio")</f>
        <v>Junio</v>
      </c>
      <c r="J910" s="42" t="str">
        <f ca="1">IFERROR(__xludf.DUMMYFUNCTION("""COMPUTED_VALUE"""),"MUJ")</f>
        <v>MUJ</v>
      </c>
      <c r="K910" s="98">
        <f ca="1">IFERROR(__xludf.DUMMYFUNCTION("""COMPUTED_VALUE"""),208)</f>
        <v>208</v>
      </c>
      <c r="L910" s="42" t="str">
        <f ca="1">IFERROR(__xludf.DUMMYFUNCTION("""COMPUTED_VALUE"""),"TRIMESTRE 2")</f>
        <v>TRIMESTRE 2</v>
      </c>
      <c r="M910" s="42" t="str">
        <f ca="1">IFERROR(__xludf.DUMMYFUNCTION("""COMPUTED_VALUE"""),"MUJERES ADULTAS")</f>
        <v>MUJERES ADULTAS</v>
      </c>
    </row>
    <row r="911" spans="1:13">
      <c r="A911" s="42" t="str">
        <f ca="1">IFERROR(__xludf.DUMMYFUNCTION("""COMPUTED_VALUE"""),"2.1.1.8")</f>
        <v>2.1.1.8</v>
      </c>
      <c r="B911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11" s="42" t="str">
        <f ca="1">IFERROR(__xludf.DUMMYFUNCTION("""COMPUTED_VALUE"""),"3. Operación")</f>
        <v>3. Operación</v>
      </c>
      <c r="D911" s="42" t="str">
        <f ca="1">IFERROR(__xludf.DUMMYFUNCTION("""COMPUTED_VALUE"""),"Guadalajara en Paz")</f>
        <v>Guadalajara en Paz</v>
      </c>
      <c r="E911" s="42" t="str">
        <f ca="1">IFERROR(__xludf.DUMMYFUNCTION("""COMPUTED_VALUE"""),"Atención Odontológica")</f>
        <v>Atención Odontológica</v>
      </c>
      <c r="F911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11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11" s="42" t="str">
        <f ca="1">IFERROR(__xludf.DUMMYFUNCTION("""COMPUTED_VALUE"""),"HOM Junio")</f>
        <v>HOM Junio</v>
      </c>
      <c r="I911" s="42" t="str">
        <f ca="1">IFERROR(__xludf.DUMMYFUNCTION("""COMPUTED_VALUE"""),"Junio")</f>
        <v>Junio</v>
      </c>
      <c r="J911" s="42" t="str">
        <f ca="1">IFERROR(__xludf.DUMMYFUNCTION("""COMPUTED_VALUE"""),"HOM")</f>
        <v>HOM</v>
      </c>
      <c r="K911" s="98">
        <f ca="1">IFERROR(__xludf.DUMMYFUNCTION("""COMPUTED_VALUE"""),116)</f>
        <v>116</v>
      </c>
      <c r="L911" s="42" t="str">
        <f ca="1">IFERROR(__xludf.DUMMYFUNCTION("""COMPUTED_VALUE"""),"TRIMESTRE 2")</f>
        <v>TRIMESTRE 2</v>
      </c>
      <c r="M911" s="42" t="str">
        <f ca="1">IFERROR(__xludf.DUMMYFUNCTION("""COMPUTED_VALUE"""),"HOMBRES ADULTOS")</f>
        <v>HOMBRES ADULTOS</v>
      </c>
    </row>
    <row r="912" spans="1:13">
      <c r="A912" s="42" t="str">
        <f ca="1">IFERROR(__xludf.DUMMYFUNCTION("""COMPUTED_VALUE"""),"2.1.1.8")</f>
        <v>2.1.1.8</v>
      </c>
      <c r="B912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12" s="42" t="str">
        <f ca="1">IFERROR(__xludf.DUMMYFUNCTION("""COMPUTED_VALUE"""),"3. Operación")</f>
        <v>3. Operación</v>
      </c>
      <c r="D912" s="42" t="str">
        <f ca="1">IFERROR(__xludf.DUMMYFUNCTION("""COMPUTED_VALUE"""),"Guadalajara en Paz")</f>
        <v>Guadalajara en Paz</v>
      </c>
      <c r="E912" s="42" t="str">
        <f ca="1">IFERROR(__xludf.DUMMYFUNCTION("""COMPUTED_VALUE"""),"Atención Odontológica")</f>
        <v>Atención Odontológica</v>
      </c>
      <c r="F912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12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12" s="42" t="str">
        <f ca="1">IFERROR(__xludf.DUMMYFUNCTION("""COMPUTED_VALUE"""),"AMM Junio")</f>
        <v>AMM Junio</v>
      </c>
      <c r="I912" s="42" t="str">
        <f ca="1">IFERROR(__xludf.DUMMYFUNCTION("""COMPUTED_VALUE"""),"Junio")</f>
        <v>Junio</v>
      </c>
      <c r="J912" s="42" t="str">
        <f ca="1">IFERROR(__xludf.DUMMYFUNCTION("""COMPUTED_VALUE"""),"AMM")</f>
        <v>AMM</v>
      </c>
      <c r="K912" s="98">
        <f ca="1">IFERROR(__xludf.DUMMYFUNCTION("""COMPUTED_VALUE"""),135)</f>
        <v>135</v>
      </c>
      <c r="L912" s="42" t="str">
        <f ca="1">IFERROR(__xludf.DUMMYFUNCTION("""COMPUTED_VALUE"""),"TRIMESTRE 2")</f>
        <v>TRIMESTRE 2</v>
      </c>
      <c r="M912" s="42" t="str">
        <f ca="1">IFERROR(__xludf.DUMMYFUNCTION("""COMPUTED_VALUE"""),"ADULTA MAYOR MUJER")</f>
        <v>ADULTA MAYOR MUJER</v>
      </c>
    </row>
    <row r="913" spans="1:13">
      <c r="A913" s="42" t="str">
        <f ca="1">IFERROR(__xludf.DUMMYFUNCTION("""COMPUTED_VALUE"""),"2.1.1.8")</f>
        <v>2.1.1.8</v>
      </c>
      <c r="B913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13" s="42" t="str">
        <f ca="1">IFERROR(__xludf.DUMMYFUNCTION("""COMPUTED_VALUE"""),"3. Operación")</f>
        <v>3. Operación</v>
      </c>
      <c r="D913" s="42" t="str">
        <f ca="1">IFERROR(__xludf.DUMMYFUNCTION("""COMPUTED_VALUE"""),"Guadalajara en Paz")</f>
        <v>Guadalajara en Paz</v>
      </c>
      <c r="E913" s="42" t="str">
        <f ca="1">IFERROR(__xludf.DUMMYFUNCTION("""COMPUTED_VALUE"""),"Atención Odontológica")</f>
        <v>Atención Odontológica</v>
      </c>
      <c r="F913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13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13" s="42" t="str">
        <f ca="1">IFERROR(__xludf.DUMMYFUNCTION("""COMPUTED_VALUE"""),"AMH Junio")</f>
        <v>AMH Junio</v>
      </c>
      <c r="I913" s="42" t="str">
        <f ca="1">IFERROR(__xludf.DUMMYFUNCTION("""COMPUTED_VALUE"""),"Junio")</f>
        <v>Junio</v>
      </c>
      <c r="J913" s="42" t="str">
        <f ca="1">IFERROR(__xludf.DUMMYFUNCTION("""COMPUTED_VALUE"""),"AMH")</f>
        <v>AMH</v>
      </c>
      <c r="K913" s="98">
        <f ca="1">IFERROR(__xludf.DUMMYFUNCTION("""COMPUTED_VALUE"""),91)</f>
        <v>91</v>
      </c>
      <c r="L913" s="42" t="str">
        <f ca="1">IFERROR(__xludf.DUMMYFUNCTION("""COMPUTED_VALUE"""),"TRIMESTRE 2")</f>
        <v>TRIMESTRE 2</v>
      </c>
      <c r="M913" s="42" t="str">
        <f ca="1">IFERROR(__xludf.DUMMYFUNCTION("""COMPUTED_VALUE"""),"ADULTO MAYOR HOMBRE")</f>
        <v>ADULTO MAYOR HOMBRE</v>
      </c>
    </row>
    <row r="914" spans="1:13">
      <c r="A914" s="42" t="str">
        <f ca="1">IFERROR(__xludf.DUMMYFUNCTION("""COMPUTED_VALUE"""),"2.1.1.8")</f>
        <v>2.1.1.8</v>
      </c>
      <c r="B914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14" s="42" t="str">
        <f ca="1">IFERROR(__xludf.DUMMYFUNCTION("""COMPUTED_VALUE"""),"3. Operación")</f>
        <v>3. Operación</v>
      </c>
      <c r="D914" s="42" t="str">
        <f ca="1">IFERROR(__xludf.DUMMYFUNCTION("""COMPUTED_VALUE"""),"Guadalajara en Paz")</f>
        <v>Guadalajara en Paz</v>
      </c>
      <c r="E914" s="42" t="str">
        <f ca="1">IFERROR(__xludf.DUMMYFUNCTION("""COMPUTED_VALUE"""),"Atención Odontológica")</f>
        <v>Atención Odontológica</v>
      </c>
      <c r="F914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14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14" s="42" t="str">
        <f ca="1">IFERROR(__xludf.DUMMYFUNCTION("""COMPUTED_VALUE"""),"NAS Julio")</f>
        <v>NAS Julio</v>
      </c>
      <c r="I914" s="42" t="str">
        <f ca="1">IFERROR(__xludf.DUMMYFUNCTION("""COMPUTED_VALUE"""),"Julio")</f>
        <v>Julio</v>
      </c>
      <c r="J914" s="42" t="str">
        <f ca="1">IFERROR(__xludf.DUMMYFUNCTION("""COMPUTED_VALUE"""),"NAS")</f>
        <v>NAS</v>
      </c>
      <c r="K914" s="98">
        <f ca="1">IFERROR(__xludf.DUMMYFUNCTION("""COMPUTED_VALUE"""),29)</f>
        <v>29</v>
      </c>
      <c r="L914" s="42" t="str">
        <f ca="1">IFERROR(__xludf.DUMMYFUNCTION("""COMPUTED_VALUE"""),"TRIMESTRE 3")</f>
        <v>TRIMESTRE 3</v>
      </c>
      <c r="M914" s="42" t="str">
        <f ca="1">IFERROR(__xludf.DUMMYFUNCTION("""COMPUTED_VALUE"""),"NIÑAS")</f>
        <v>NIÑAS</v>
      </c>
    </row>
    <row r="915" spans="1:13">
      <c r="A915" s="42" t="str">
        <f ca="1">IFERROR(__xludf.DUMMYFUNCTION("""COMPUTED_VALUE"""),"2.1.1.8")</f>
        <v>2.1.1.8</v>
      </c>
      <c r="B915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15" s="42" t="str">
        <f ca="1">IFERROR(__xludf.DUMMYFUNCTION("""COMPUTED_VALUE"""),"3. Operación")</f>
        <v>3. Operación</v>
      </c>
      <c r="D915" s="42" t="str">
        <f ca="1">IFERROR(__xludf.DUMMYFUNCTION("""COMPUTED_VALUE"""),"Guadalajara en Paz")</f>
        <v>Guadalajara en Paz</v>
      </c>
      <c r="E915" s="42" t="str">
        <f ca="1">IFERROR(__xludf.DUMMYFUNCTION("""COMPUTED_VALUE"""),"Atención Odontológica")</f>
        <v>Atención Odontológica</v>
      </c>
      <c r="F915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15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15" s="42" t="str">
        <f ca="1">IFERROR(__xludf.DUMMYFUNCTION("""COMPUTED_VALUE"""),"NOS Julio")</f>
        <v>NOS Julio</v>
      </c>
      <c r="I915" s="42" t="str">
        <f ca="1">IFERROR(__xludf.DUMMYFUNCTION("""COMPUTED_VALUE"""),"Julio")</f>
        <v>Julio</v>
      </c>
      <c r="J915" s="42" t="str">
        <f ca="1">IFERROR(__xludf.DUMMYFUNCTION("""COMPUTED_VALUE"""),"NOS")</f>
        <v>NOS</v>
      </c>
      <c r="K915" s="98">
        <f ca="1">IFERROR(__xludf.DUMMYFUNCTION("""COMPUTED_VALUE"""),36)</f>
        <v>36</v>
      </c>
      <c r="L915" s="42" t="str">
        <f ca="1">IFERROR(__xludf.DUMMYFUNCTION("""COMPUTED_VALUE"""),"TRIMESTRE 3")</f>
        <v>TRIMESTRE 3</v>
      </c>
      <c r="M915" s="42" t="str">
        <f ca="1">IFERROR(__xludf.DUMMYFUNCTION("""COMPUTED_VALUE"""),"NIÑOS")</f>
        <v>NIÑOS</v>
      </c>
    </row>
    <row r="916" spans="1:13">
      <c r="A916" s="42" t="str">
        <f ca="1">IFERROR(__xludf.DUMMYFUNCTION("""COMPUTED_VALUE"""),"2.1.1.8")</f>
        <v>2.1.1.8</v>
      </c>
      <c r="B916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16" s="42" t="str">
        <f ca="1">IFERROR(__xludf.DUMMYFUNCTION("""COMPUTED_VALUE"""),"3. Operación")</f>
        <v>3. Operación</v>
      </c>
      <c r="D916" s="42" t="str">
        <f ca="1">IFERROR(__xludf.DUMMYFUNCTION("""COMPUTED_VALUE"""),"Guadalajara en Paz")</f>
        <v>Guadalajara en Paz</v>
      </c>
      <c r="E916" s="42" t="str">
        <f ca="1">IFERROR(__xludf.DUMMYFUNCTION("""COMPUTED_VALUE"""),"Atención Odontológica")</f>
        <v>Atención Odontológica</v>
      </c>
      <c r="F916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16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16" s="42" t="str">
        <f ca="1">IFERROR(__xludf.DUMMYFUNCTION("""COMPUTED_VALUE"""),"AM JULIO")</f>
        <v>AM JULIO</v>
      </c>
      <c r="I916" s="42" t="str">
        <f ca="1">IFERROR(__xludf.DUMMYFUNCTION("""COMPUTED_VALUE"""),"Julio")</f>
        <v>Julio</v>
      </c>
      <c r="J916" s="42" t="str">
        <f ca="1">IFERROR(__xludf.DUMMYFUNCTION("""COMPUTED_VALUE"""),"AM")</f>
        <v>AM</v>
      </c>
      <c r="K916" s="98">
        <f ca="1">IFERROR(__xludf.DUMMYFUNCTION("""COMPUTED_VALUE"""),12)</f>
        <v>12</v>
      </c>
      <c r="L916" s="42" t="str">
        <f ca="1">IFERROR(__xludf.DUMMYFUNCTION("""COMPUTED_VALUE"""),"TRIMESTRE 3")</f>
        <v>TRIMESTRE 3</v>
      </c>
      <c r="M916" s="42" t="str">
        <f ca="1">IFERROR(__xludf.DUMMYFUNCTION("""COMPUTED_VALUE"""),"ADOLESCENTES MUJERES")</f>
        <v>ADOLESCENTES MUJERES</v>
      </c>
    </row>
    <row r="917" spans="1:13">
      <c r="A917" s="42" t="str">
        <f ca="1">IFERROR(__xludf.DUMMYFUNCTION("""COMPUTED_VALUE"""),"2.1.1.8")</f>
        <v>2.1.1.8</v>
      </c>
      <c r="B917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17" s="42" t="str">
        <f ca="1">IFERROR(__xludf.DUMMYFUNCTION("""COMPUTED_VALUE"""),"3. Operación")</f>
        <v>3. Operación</v>
      </c>
      <c r="D917" s="42" t="str">
        <f ca="1">IFERROR(__xludf.DUMMYFUNCTION("""COMPUTED_VALUE"""),"Guadalajara en Paz")</f>
        <v>Guadalajara en Paz</v>
      </c>
      <c r="E917" s="42" t="str">
        <f ca="1">IFERROR(__xludf.DUMMYFUNCTION("""COMPUTED_VALUE"""),"Atención Odontológica")</f>
        <v>Atención Odontológica</v>
      </c>
      <c r="F917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17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17" s="42" t="str">
        <f ca="1">IFERROR(__xludf.DUMMYFUNCTION("""COMPUTED_VALUE"""),"AH JULIO")</f>
        <v>AH JULIO</v>
      </c>
      <c r="I917" s="42" t="str">
        <f ca="1">IFERROR(__xludf.DUMMYFUNCTION("""COMPUTED_VALUE"""),"Julio")</f>
        <v>Julio</v>
      </c>
      <c r="J917" s="42" t="str">
        <f ca="1">IFERROR(__xludf.DUMMYFUNCTION("""COMPUTED_VALUE"""),"AH")</f>
        <v>AH</v>
      </c>
      <c r="K917" s="98">
        <f ca="1">IFERROR(__xludf.DUMMYFUNCTION("""COMPUTED_VALUE"""),14)</f>
        <v>14</v>
      </c>
      <c r="L917" s="42" t="str">
        <f ca="1">IFERROR(__xludf.DUMMYFUNCTION("""COMPUTED_VALUE"""),"TRIMESTRE 3")</f>
        <v>TRIMESTRE 3</v>
      </c>
      <c r="M917" s="42" t="str">
        <f ca="1">IFERROR(__xludf.DUMMYFUNCTION("""COMPUTED_VALUE"""),"ADOLESCENTES HOMBRES")</f>
        <v>ADOLESCENTES HOMBRES</v>
      </c>
    </row>
    <row r="918" spans="1:13">
      <c r="A918" s="42" t="str">
        <f ca="1">IFERROR(__xludf.DUMMYFUNCTION("""COMPUTED_VALUE"""),"2.1.1.8")</f>
        <v>2.1.1.8</v>
      </c>
      <c r="B918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18" s="42" t="str">
        <f ca="1">IFERROR(__xludf.DUMMYFUNCTION("""COMPUTED_VALUE"""),"3. Operación")</f>
        <v>3. Operación</v>
      </c>
      <c r="D918" s="42" t="str">
        <f ca="1">IFERROR(__xludf.DUMMYFUNCTION("""COMPUTED_VALUE"""),"Guadalajara en Paz")</f>
        <v>Guadalajara en Paz</v>
      </c>
      <c r="E918" s="42" t="str">
        <f ca="1">IFERROR(__xludf.DUMMYFUNCTION("""COMPUTED_VALUE"""),"Atención Odontológica")</f>
        <v>Atención Odontológica</v>
      </c>
      <c r="F918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18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18" s="42" t="str">
        <f ca="1">IFERROR(__xludf.DUMMYFUNCTION("""COMPUTED_VALUE"""),"MUJ Julio")</f>
        <v>MUJ Julio</v>
      </c>
      <c r="I918" s="42" t="str">
        <f ca="1">IFERROR(__xludf.DUMMYFUNCTION("""COMPUTED_VALUE"""),"Julio")</f>
        <v>Julio</v>
      </c>
      <c r="J918" s="42" t="str">
        <f ca="1">IFERROR(__xludf.DUMMYFUNCTION("""COMPUTED_VALUE"""),"MUJ")</f>
        <v>MUJ</v>
      </c>
      <c r="K918" s="98">
        <f ca="1">IFERROR(__xludf.DUMMYFUNCTION("""COMPUTED_VALUE"""),181)</f>
        <v>181</v>
      </c>
      <c r="L918" s="42" t="str">
        <f ca="1">IFERROR(__xludf.DUMMYFUNCTION("""COMPUTED_VALUE"""),"TRIMESTRE 3")</f>
        <v>TRIMESTRE 3</v>
      </c>
      <c r="M918" s="42" t="str">
        <f ca="1">IFERROR(__xludf.DUMMYFUNCTION("""COMPUTED_VALUE"""),"MUJERES ADULTAS")</f>
        <v>MUJERES ADULTAS</v>
      </c>
    </row>
    <row r="919" spans="1:13">
      <c r="A919" s="42" t="str">
        <f ca="1">IFERROR(__xludf.DUMMYFUNCTION("""COMPUTED_VALUE"""),"2.1.1.8")</f>
        <v>2.1.1.8</v>
      </c>
      <c r="B919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19" s="42" t="str">
        <f ca="1">IFERROR(__xludf.DUMMYFUNCTION("""COMPUTED_VALUE"""),"3. Operación")</f>
        <v>3. Operación</v>
      </c>
      <c r="D919" s="42" t="str">
        <f ca="1">IFERROR(__xludf.DUMMYFUNCTION("""COMPUTED_VALUE"""),"Guadalajara en Paz")</f>
        <v>Guadalajara en Paz</v>
      </c>
      <c r="E919" s="42" t="str">
        <f ca="1">IFERROR(__xludf.DUMMYFUNCTION("""COMPUTED_VALUE"""),"Atención Odontológica")</f>
        <v>Atención Odontológica</v>
      </c>
      <c r="F919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19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19" s="42" t="str">
        <f ca="1">IFERROR(__xludf.DUMMYFUNCTION("""COMPUTED_VALUE"""),"HOM Julio")</f>
        <v>HOM Julio</v>
      </c>
      <c r="I919" s="42" t="str">
        <f ca="1">IFERROR(__xludf.DUMMYFUNCTION("""COMPUTED_VALUE"""),"Julio")</f>
        <v>Julio</v>
      </c>
      <c r="J919" s="42" t="str">
        <f ca="1">IFERROR(__xludf.DUMMYFUNCTION("""COMPUTED_VALUE"""),"HOM")</f>
        <v>HOM</v>
      </c>
      <c r="K919" s="98">
        <f ca="1">IFERROR(__xludf.DUMMYFUNCTION("""COMPUTED_VALUE"""),141)</f>
        <v>141</v>
      </c>
      <c r="L919" s="42" t="str">
        <f ca="1">IFERROR(__xludf.DUMMYFUNCTION("""COMPUTED_VALUE"""),"TRIMESTRE 3")</f>
        <v>TRIMESTRE 3</v>
      </c>
      <c r="M919" s="42" t="str">
        <f ca="1">IFERROR(__xludf.DUMMYFUNCTION("""COMPUTED_VALUE"""),"HOMBRES ADULTOS")</f>
        <v>HOMBRES ADULTOS</v>
      </c>
    </row>
    <row r="920" spans="1:13">
      <c r="A920" s="42" t="str">
        <f ca="1">IFERROR(__xludf.DUMMYFUNCTION("""COMPUTED_VALUE"""),"2.1.1.8")</f>
        <v>2.1.1.8</v>
      </c>
      <c r="B920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20" s="42" t="str">
        <f ca="1">IFERROR(__xludf.DUMMYFUNCTION("""COMPUTED_VALUE"""),"3. Operación")</f>
        <v>3. Operación</v>
      </c>
      <c r="D920" s="42" t="str">
        <f ca="1">IFERROR(__xludf.DUMMYFUNCTION("""COMPUTED_VALUE"""),"Guadalajara en Paz")</f>
        <v>Guadalajara en Paz</v>
      </c>
      <c r="E920" s="42" t="str">
        <f ca="1">IFERROR(__xludf.DUMMYFUNCTION("""COMPUTED_VALUE"""),"Atención Odontológica")</f>
        <v>Atención Odontológica</v>
      </c>
      <c r="F920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20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20" s="42" t="str">
        <f ca="1">IFERROR(__xludf.DUMMYFUNCTION("""COMPUTED_VALUE"""),"AMM Julio")</f>
        <v>AMM Julio</v>
      </c>
      <c r="I920" s="42" t="str">
        <f ca="1">IFERROR(__xludf.DUMMYFUNCTION("""COMPUTED_VALUE"""),"Julio")</f>
        <v>Julio</v>
      </c>
      <c r="J920" s="42" t="str">
        <f ca="1">IFERROR(__xludf.DUMMYFUNCTION("""COMPUTED_VALUE"""),"AMM")</f>
        <v>AMM</v>
      </c>
      <c r="K920" s="98">
        <f ca="1">IFERROR(__xludf.DUMMYFUNCTION("""COMPUTED_VALUE"""),134)</f>
        <v>134</v>
      </c>
      <c r="L920" s="42" t="str">
        <f ca="1">IFERROR(__xludf.DUMMYFUNCTION("""COMPUTED_VALUE"""),"TRIMESTRE 3")</f>
        <v>TRIMESTRE 3</v>
      </c>
      <c r="M920" s="42" t="str">
        <f ca="1">IFERROR(__xludf.DUMMYFUNCTION("""COMPUTED_VALUE"""),"ADULTA MAYOR MUJER")</f>
        <v>ADULTA MAYOR MUJER</v>
      </c>
    </row>
    <row r="921" spans="1:13">
      <c r="A921" s="42" t="str">
        <f ca="1">IFERROR(__xludf.DUMMYFUNCTION("""COMPUTED_VALUE"""),"2.1.1.8")</f>
        <v>2.1.1.8</v>
      </c>
      <c r="B921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21" s="42" t="str">
        <f ca="1">IFERROR(__xludf.DUMMYFUNCTION("""COMPUTED_VALUE"""),"3. Operación")</f>
        <v>3. Operación</v>
      </c>
      <c r="D921" s="42" t="str">
        <f ca="1">IFERROR(__xludf.DUMMYFUNCTION("""COMPUTED_VALUE"""),"Guadalajara en Paz")</f>
        <v>Guadalajara en Paz</v>
      </c>
      <c r="E921" s="42" t="str">
        <f ca="1">IFERROR(__xludf.DUMMYFUNCTION("""COMPUTED_VALUE"""),"Atención Odontológica")</f>
        <v>Atención Odontológica</v>
      </c>
      <c r="F921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21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21" s="42" t="str">
        <f ca="1">IFERROR(__xludf.DUMMYFUNCTION("""COMPUTED_VALUE"""),"AMH Julio")</f>
        <v>AMH Julio</v>
      </c>
      <c r="I921" s="42" t="str">
        <f ca="1">IFERROR(__xludf.DUMMYFUNCTION("""COMPUTED_VALUE"""),"Julio")</f>
        <v>Julio</v>
      </c>
      <c r="J921" s="42" t="str">
        <f ca="1">IFERROR(__xludf.DUMMYFUNCTION("""COMPUTED_VALUE"""),"AMH")</f>
        <v>AMH</v>
      </c>
      <c r="K921" s="98">
        <f ca="1">IFERROR(__xludf.DUMMYFUNCTION("""COMPUTED_VALUE"""),96)</f>
        <v>96</v>
      </c>
      <c r="L921" s="42" t="str">
        <f ca="1">IFERROR(__xludf.DUMMYFUNCTION("""COMPUTED_VALUE"""),"TRIMESTRE 3")</f>
        <v>TRIMESTRE 3</v>
      </c>
      <c r="M921" s="42" t="str">
        <f ca="1">IFERROR(__xludf.DUMMYFUNCTION("""COMPUTED_VALUE"""),"ADULTO MAYOR HOMBRE")</f>
        <v>ADULTO MAYOR HOMBRE</v>
      </c>
    </row>
    <row r="922" spans="1:13">
      <c r="A922" s="42" t="str">
        <f ca="1">IFERROR(__xludf.DUMMYFUNCTION("""COMPUTED_VALUE"""),"2.1.1.8")</f>
        <v>2.1.1.8</v>
      </c>
      <c r="B922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22" s="42" t="str">
        <f ca="1">IFERROR(__xludf.DUMMYFUNCTION("""COMPUTED_VALUE"""),"3. Operación")</f>
        <v>3. Operación</v>
      </c>
      <c r="D922" s="42" t="str">
        <f ca="1">IFERROR(__xludf.DUMMYFUNCTION("""COMPUTED_VALUE"""),"Guadalajara en Paz")</f>
        <v>Guadalajara en Paz</v>
      </c>
      <c r="E922" s="42" t="str">
        <f ca="1">IFERROR(__xludf.DUMMYFUNCTION("""COMPUTED_VALUE"""),"Atención Odontológica")</f>
        <v>Atención Odontológica</v>
      </c>
      <c r="F922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22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22" s="42" t="str">
        <f ca="1">IFERROR(__xludf.DUMMYFUNCTION("""COMPUTED_VALUE"""),"NAS Agosto")</f>
        <v>NAS Agosto</v>
      </c>
      <c r="I922" s="42" t="str">
        <f ca="1">IFERROR(__xludf.DUMMYFUNCTION("""COMPUTED_VALUE"""),"Agosto")</f>
        <v>Agosto</v>
      </c>
      <c r="J922" s="42" t="str">
        <f ca="1">IFERROR(__xludf.DUMMYFUNCTION("""COMPUTED_VALUE"""),"NAS")</f>
        <v>NAS</v>
      </c>
      <c r="K922" s="98">
        <f ca="1">IFERROR(__xludf.DUMMYFUNCTION("""COMPUTED_VALUE"""),41)</f>
        <v>41</v>
      </c>
      <c r="L922" s="42" t="str">
        <f ca="1">IFERROR(__xludf.DUMMYFUNCTION("""COMPUTED_VALUE"""),"TRIMESTRE 3")</f>
        <v>TRIMESTRE 3</v>
      </c>
      <c r="M922" s="42" t="str">
        <f ca="1">IFERROR(__xludf.DUMMYFUNCTION("""COMPUTED_VALUE"""),"NIÑAS")</f>
        <v>NIÑAS</v>
      </c>
    </row>
    <row r="923" spans="1:13">
      <c r="A923" s="42" t="str">
        <f ca="1">IFERROR(__xludf.DUMMYFUNCTION("""COMPUTED_VALUE"""),"2.1.1.8")</f>
        <v>2.1.1.8</v>
      </c>
      <c r="B923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23" s="42" t="str">
        <f ca="1">IFERROR(__xludf.DUMMYFUNCTION("""COMPUTED_VALUE"""),"3. Operación")</f>
        <v>3. Operación</v>
      </c>
      <c r="D923" s="42" t="str">
        <f ca="1">IFERROR(__xludf.DUMMYFUNCTION("""COMPUTED_VALUE"""),"Guadalajara en Paz")</f>
        <v>Guadalajara en Paz</v>
      </c>
      <c r="E923" s="42" t="str">
        <f ca="1">IFERROR(__xludf.DUMMYFUNCTION("""COMPUTED_VALUE"""),"Atención Odontológica")</f>
        <v>Atención Odontológica</v>
      </c>
      <c r="F923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23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23" s="42" t="str">
        <f ca="1">IFERROR(__xludf.DUMMYFUNCTION("""COMPUTED_VALUE"""),"NOS Agosto")</f>
        <v>NOS Agosto</v>
      </c>
      <c r="I923" s="42" t="str">
        <f ca="1">IFERROR(__xludf.DUMMYFUNCTION("""COMPUTED_VALUE"""),"Agosto")</f>
        <v>Agosto</v>
      </c>
      <c r="J923" s="42" t="str">
        <f ca="1">IFERROR(__xludf.DUMMYFUNCTION("""COMPUTED_VALUE"""),"NOS")</f>
        <v>NOS</v>
      </c>
      <c r="K923" s="98">
        <f ca="1">IFERROR(__xludf.DUMMYFUNCTION("""COMPUTED_VALUE"""),39)</f>
        <v>39</v>
      </c>
      <c r="L923" s="42" t="str">
        <f ca="1">IFERROR(__xludf.DUMMYFUNCTION("""COMPUTED_VALUE"""),"TRIMESTRE 3")</f>
        <v>TRIMESTRE 3</v>
      </c>
      <c r="M923" s="42" t="str">
        <f ca="1">IFERROR(__xludf.DUMMYFUNCTION("""COMPUTED_VALUE"""),"NIÑOS")</f>
        <v>NIÑOS</v>
      </c>
    </row>
    <row r="924" spans="1:13">
      <c r="A924" s="42" t="str">
        <f ca="1">IFERROR(__xludf.DUMMYFUNCTION("""COMPUTED_VALUE"""),"2.1.1.8")</f>
        <v>2.1.1.8</v>
      </c>
      <c r="B924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24" s="42" t="str">
        <f ca="1">IFERROR(__xludf.DUMMYFUNCTION("""COMPUTED_VALUE"""),"3. Operación")</f>
        <v>3. Operación</v>
      </c>
      <c r="D924" s="42" t="str">
        <f ca="1">IFERROR(__xludf.DUMMYFUNCTION("""COMPUTED_VALUE"""),"Guadalajara en Paz")</f>
        <v>Guadalajara en Paz</v>
      </c>
      <c r="E924" s="42" t="str">
        <f ca="1">IFERROR(__xludf.DUMMYFUNCTION("""COMPUTED_VALUE"""),"Atención Odontológica")</f>
        <v>Atención Odontológica</v>
      </c>
      <c r="F924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24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24" s="42" t="str">
        <f ca="1">IFERROR(__xludf.DUMMYFUNCTION("""COMPUTED_VALUE"""),"AM AGOSTO")</f>
        <v>AM AGOSTO</v>
      </c>
      <c r="I924" s="42" t="str">
        <f ca="1">IFERROR(__xludf.DUMMYFUNCTION("""COMPUTED_VALUE"""),"Agosto")</f>
        <v>Agosto</v>
      </c>
      <c r="J924" s="42" t="str">
        <f ca="1">IFERROR(__xludf.DUMMYFUNCTION("""COMPUTED_VALUE"""),"AM")</f>
        <v>AM</v>
      </c>
      <c r="K924" s="98">
        <f ca="1">IFERROR(__xludf.DUMMYFUNCTION("""COMPUTED_VALUE"""),29)</f>
        <v>29</v>
      </c>
      <c r="L924" s="42" t="str">
        <f ca="1">IFERROR(__xludf.DUMMYFUNCTION("""COMPUTED_VALUE"""),"TRIMESTRE 3")</f>
        <v>TRIMESTRE 3</v>
      </c>
      <c r="M924" s="42" t="str">
        <f ca="1">IFERROR(__xludf.DUMMYFUNCTION("""COMPUTED_VALUE"""),"ADOLESCENTES MUJERES")</f>
        <v>ADOLESCENTES MUJERES</v>
      </c>
    </row>
    <row r="925" spans="1:13">
      <c r="A925" s="42" t="str">
        <f ca="1">IFERROR(__xludf.DUMMYFUNCTION("""COMPUTED_VALUE"""),"2.1.1.8")</f>
        <v>2.1.1.8</v>
      </c>
      <c r="B925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25" s="42" t="str">
        <f ca="1">IFERROR(__xludf.DUMMYFUNCTION("""COMPUTED_VALUE"""),"3. Operación")</f>
        <v>3. Operación</v>
      </c>
      <c r="D925" s="42" t="str">
        <f ca="1">IFERROR(__xludf.DUMMYFUNCTION("""COMPUTED_VALUE"""),"Guadalajara en Paz")</f>
        <v>Guadalajara en Paz</v>
      </c>
      <c r="E925" s="42" t="str">
        <f ca="1">IFERROR(__xludf.DUMMYFUNCTION("""COMPUTED_VALUE"""),"Atención Odontológica")</f>
        <v>Atención Odontológica</v>
      </c>
      <c r="F925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25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25" s="42" t="str">
        <f ca="1">IFERROR(__xludf.DUMMYFUNCTION("""COMPUTED_VALUE"""),"AH AGOSTO")</f>
        <v>AH AGOSTO</v>
      </c>
      <c r="I925" s="42" t="str">
        <f ca="1">IFERROR(__xludf.DUMMYFUNCTION("""COMPUTED_VALUE"""),"Agosto")</f>
        <v>Agosto</v>
      </c>
      <c r="J925" s="42" t="str">
        <f ca="1">IFERROR(__xludf.DUMMYFUNCTION("""COMPUTED_VALUE"""),"AH")</f>
        <v>AH</v>
      </c>
      <c r="K925" s="98">
        <f ca="1">IFERROR(__xludf.DUMMYFUNCTION("""COMPUTED_VALUE"""),12)</f>
        <v>12</v>
      </c>
      <c r="L925" s="42" t="str">
        <f ca="1">IFERROR(__xludf.DUMMYFUNCTION("""COMPUTED_VALUE"""),"TRIMESTRE 3")</f>
        <v>TRIMESTRE 3</v>
      </c>
      <c r="M925" s="42" t="str">
        <f ca="1">IFERROR(__xludf.DUMMYFUNCTION("""COMPUTED_VALUE"""),"ADOLESCENTES HOMBRES")</f>
        <v>ADOLESCENTES HOMBRES</v>
      </c>
    </row>
    <row r="926" spans="1:13">
      <c r="A926" s="42" t="str">
        <f ca="1">IFERROR(__xludf.DUMMYFUNCTION("""COMPUTED_VALUE"""),"2.1.1.8")</f>
        <v>2.1.1.8</v>
      </c>
      <c r="B926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26" s="42" t="str">
        <f ca="1">IFERROR(__xludf.DUMMYFUNCTION("""COMPUTED_VALUE"""),"3. Operación")</f>
        <v>3. Operación</v>
      </c>
      <c r="D926" s="42" t="str">
        <f ca="1">IFERROR(__xludf.DUMMYFUNCTION("""COMPUTED_VALUE"""),"Guadalajara en Paz")</f>
        <v>Guadalajara en Paz</v>
      </c>
      <c r="E926" s="42" t="str">
        <f ca="1">IFERROR(__xludf.DUMMYFUNCTION("""COMPUTED_VALUE"""),"Atención Odontológica")</f>
        <v>Atención Odontológica</v>
      </c>
      <c r="F926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26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26" s="42" t="str">
        <f ca="1">IFERROR(__xludf.DUMMYFUNCTION("""COMPUTED_VALUE"""),"MUJ Agosto")</f>
        <v>MUJ Agosto</v>
      </c>
      <c r="I926" s="42" t="str">
        <f ca="1">IFERROR(__xludf.DUMMYFUNCTION("""COMPUTED_VALUE"""),"Agosto")</f>
        <v>Agosto</v>
      </c>
      <c r="J926" s="42" t="str">
        <f ca="1">IFERROR(__xludf.DUMMYFUNCTION("""COMPUTED_VALUE"""),"MUJ")</f>
        <v>MUJ</v>
      </c>
      <c r="K926" s="98">
        <f ca="1">IFERROR(__xludf.DUMMYFUNCTION("""COMPUTED_VALUE"""),261)</f>
        <v>261</v>
      </c>
      <c r="L926" s="42" t="str">
        <f ca="1">IFERROR(__xludf.DUMMYFUNCTION("""COMPUTED_VALUE"""),"TRIMESTRE 3")</f>
        <v>TRIMESTRE 3</v>
      </c>
      <c r="M926" s="42" t="str">
        <f ca="1">IFERROR(__xludf.DUMMYFUNCTION("""COMPUTED_VALUE"""),"MUJERES ADULTAS")</f>
        <v>MUJERES ADULTAS</v>
      </c>
    </row>
    <row r="927" spans="1:13">
      <c r="A927" s="42" t="str">
        <f ca="1">IFERROR(__xludf.DUMMYFUNCTION("""COMPUTED_VALUE"""),"2.1.1.8")</f>
        <v>2.1.1.8</v>
      </c>
      <c r="B927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27" s="42" t="str">
        <f ca="1">IFERROR(__xludf.DUMMYFUNCTION("""COMPUTED_VALUE"""),"3. Operación")</f>
        <v>3. Operación</v>
      </c>
      <c r="D927" s="42" t="str">
        <f ca="1">IFERROR(__xludf.DUMMYFUNCTION("""COMPUTED_VALUE"""),"Guadalajara en Paz")</f>
        <v>Guadalajara en Paz</v>
      </c>
      <c r="E927" s="42" t="str">
        <f ca="1">IFERROR(__xludf.DUMMYFUNCTION("""COMPUTED_VALUE"""),"Atención Odontológica")</f>
        <v>Atención Odontológica</v>
      </c>
      <c r="F927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27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27" s="42" t="str">
        <f ca="1">IFERROR(__xludf.DUMMYFUNCTION("""COMPUTED_VALUE"""),"HOM Agosto")</f>
        <v>HOM Agosto</v>
      </c>
      <c r="I927" s="42" t="str">
        <f ca="1">IFERROR(__xludf.DUMMYFUNCTION("""COMPUTED_VALUE"""),"Agosto")</f>
        <v>Agosto</v>
      </c>
      <c r="J927" s="42" t="str">
        <f ca="1">IFERROR(__xludf.DUMMYFUNCTION("""COMPUTED_VALUE"""),"HOM")</f>
        <v>HOM</v>
      </c>
      <c r="K927" s="98">
        <f ca="1">IFERROR(__xludf.DUMMYFUNCTION("""COMPUTED_VALUE"""),133)</f>
        <v>133</v>
      </c>
      <c r="L927" s="42" t="str">
        <f ca="1">IFERROR(__xludf.DUMMYFUNCTION("""COMPUTED_VALUE"""),"TRIMESTRE 3")</f>
        <v>TRIMESTRE 3</v>
      </c>
      <c r="M927" s="42" t="str">
        <f ca="1">IFERROR(__xludf.DUMMYFUNCTION("""COMPUTED_VALUE"""),"HOMBRES ADULTOS")</f>
        <v>HOMBRES ADULTOS</v>
      </c>
    </row>
    <row r="928" spans="1:13">
      <c r="A928" s="42" t="str">
        <f ca="1">IFERROR(__xludf.DUMMYFUNCTION("""COMPUTED_VALUE"""),"2.1.1.8")</f>
        <v>2.1.1.8</v>
      </c>
      <c r="B928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28" s="42" t="str">
        <f ca="1">IFERROR(__xludf.DUMMYFUNCTION("""COMPUTED_VALUE"""),"3. Operación")</f>
        <v>3. Operación</v>
      </c>
      <c r="D928" s="42" t="str">
        <f ca="1">IFERROR(__xludf.DUMMYFUNCTION("""COMPUTED_VALUE"""),"Guadalajara en Paz")</f>
        <v>Guadalajara en Paz</v>
      </c>
      <c r="E928" s="42" t="str">
        <f ca="1">IFERROR(__xludf.DUMMYFUNCTION("""COMPUTED_VALUE"""),"Atención Odontológica")</f>
        <v>Atención Odontológica</v>
      </c>
      <c r="F928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28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28" s="42" t="str">
        <f ca="1">IFERROR(__xludf.DUMMYFUNCTION("""COMPUTED_VALUE"""),"AMM Agosto")</f>
        <v>AMM Agosto</v>
      </c>
      <c r="I928" s="42" t="str">
        <f ca="1">IFERROR(__xludf.DUMMYFUNCTION("""COMPUTED_VALUE"""),"Agosto")</f>
        <v>Agosto</v>
      </c>
      <c r="J928" s="42" t="str">
        <f ca="1">IFERROR(__xludf.DUMMYFUNCTION("""COMPUTED_VALUE"""),"AMM")</f>
        <v>AMM</v>
      </c>
      <c r="K928" s="98">
        <f ca="1">IFERROR(__xludf.DUMMYFUNCTION("""COMPUTED_VALUE"""),157)</f>
        <v>157</v>
      </c>
      <c r="L928" s="42" t="str">
        <f ca="1">IFERROR(__xludf.DUMMYFUNCTION("""COMPUTED_VALUE"""),"TRIMESTRE 3")</f>
        <v>TRIMESTRE 3</v>
      </c>
      <c r="M928" s="42" t="str">
        <f ca="1">IFERROR(__xludf.DUMMYFUNCTION("""COMPUTED_VALUE"""),"ADULTA MAYOR MUJER")</f>
        <v>ADULTA MAYOR MUJER</v>
      </c>
    </row>
    <row r="929" spans="1:13">
      <c r="A929" s="42" t="str">
        <f ca="1">IFERROR(__xludf.DUMMYFUNCTION("""COMPUTED_VALUE"""),"2.1.1.8")</f>
        <v>2.1.1.8</v>
      </c>
      <c r="B929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29" s="42" t="str">
        <f ca="1">IFERROR(__xludf.DUMMYFUNCTION("""COMPUTED_VALUE"""),"3. Operación")</f>
        <v>3. Operación</v>
      </c>
      <c r="D929" s="42" t="str">
        <f ca="1">IFERROR(__xludf.DUMMYFUNCTION("""COMPUTED_VALUE"""),"Guadalajara en Paz")</f>
        <v>Guadalajara en Paz</v>
      </c>
      <c r="E929" s="42" t="str">
        <f ca="1">IFERROR(__xludf.DUMMYFUNCTION("""COMPUTED_VALUE"""),"Atención Odontológica")</f>
        <v>Atención Odontológica</v>
      </c>
      <c r="F929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29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29" s="42" t="str">
        <f ca="1">IFERROR(__xludf.DUMMYFUNCTION("""COMPUTED_VALUE"""),"AMH Agosto")</f>
        <v>AMH Agosto</v>
      </c>
      <c r="I929" s="42" t="str">
        <f ca="1">IFERROR(__xludf.DUMMYFUNCTION("""COMPUTED_VALUE"""),"Agosto")</f>
        <v>Agosto</v>
      </c>
      <c r="J929" s="42" t="str">
        <f ca="1">IFERROR(__xludf.DUMMYFUNCTION("""COMPUTED_VALUE"""),"AMH")</f>
        <v>AMH</v>
      </c>
      <c r="K929" s="98">
        <f ca="1">IFERROR(__xludf.DUMMYFUNCTION("""COMPUTED_VALUE"""),113)</f>
        <v>113</v>
      </c>
      <c r="L929" s="42" t="str">
        <f ca="1">IFERROR(__xludf.DUMMYFUNCTION("""COMPUTED_VALUE"""),"TRIMESTRE 3")</f>
        <v>TRIMESTRE 3</v>
      </c>
      <c r="M929" s="42" t="str">
        <f ca="1">IFERROR(__xludf.DUMMYFUNCTION("""COMPUTED_VALUE"""),"ADULTO MAYOR HOMBRE")</f>
        <v>ADULTO MAYOR HOMBRE</v>
      </c>
    </row>
    <row r="930" spans="1:13">
      <c r="A930" s="42" t="str">
        <f ca="1">IFERROR(__xludf.DUMMYFUNCTION("""COMPUTED_VALUE"""),"2.1.1.8")</f>
        <v>2.1.1.8</v>
      </c>
      <c r="B930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30" s="42" t="str">
        <f ca="1">IFERROR(__xludf.DUMMYFUNCTION("""COMPUTED_VALUE"""),"3. Operación")</f>
        <v>3. Operación</v>
      </c>
      <c r="D930" s="42" t="str">
        <f ca="1">IFERROR(__xludf.DUMMYFUNCTION("""COMPUTED_VALUE"""),"Guadalajara en Paz")</f>
        <v>Guadalajara en Paz</v>
      </c>
      <c r="E930" s="42" t="str">
        <f ca="1">IFERROR(__xludf.DUMMYFUNCTION("""COMPUTED_VALUE"""),"Atención Odontológica")</f>
        <v>Atención Odontológica</v>
      </c>
      <c r="F930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30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30" s="42" t="str">
        <f ca="1">IFERROR(__xludf.DUMMYFUNCTION("""COMPUTED_VALUE"""),"NAS Septiembre")</f>
        <v>NAS Septiembre</v>
      </c>
      <c r="I930" s="42" t="str">
        <f ca="1">IFERROR(__xludf.DUMMYFUNCTION("""COMPUTED_VALUE"""),"Septiembre")</f>
        <v>Septiembre</v>
      </c>
      <c r="J930" s="42" t="str">
        <f ca="1">IFERROR(__xludf.DUMMYFUNCTION("""COMPUTED_VALUE"""),"NAS")</f>
        <v>NAS</v>
      </c>
      <c r="K930" s="98">
        <f ca="1">IFERROR(__xludf.DUMMYFUNCTION("""COMPUTED_VALUE"""),36)</f>
        <v>36</v>
      </c>
      <c r="L930" s="42" t="str">
        <f ca="1">IFERROR(__xludf.DUMMYFUNCTION("""COMPUTED_VALUE"""),"TRIMESTRE 3")</f>
        <v>TRIMESTRE 3</v>
      </c>
      <c r="M930" s="42" t="str">
        <f ca="1">IFERROR(__xludf.DUMMYFUNCTION("""COMPUTED_VALUE"""),"NIÑAS")</f>
        <v>NIÑAS</v>
      </c>
    </row>
    <row r="931" spans="1:13">
      <c r="A931" s="42" t="str">
        <f ca="1">IFERROR(__xludf.DUMMYFUNCTION("""COMPUTED_VALUE"""),"2.1.1.8")</f>
        <v>2.1.1.8</v>
      </c>
      <c r="B931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31" s="42" t="str">
        <f ca="1">IFERROR(__xludf.DUMMYFUNCTION("""COMPUTED_VALUE"""),"3. Operación")</f>
        <v>3. Operación</v>
      </c>
      <c r="D931" s="42" t="str">
        <f ca="1">IFERROR(__xludf.DUMMYFUNCTION("""COMPUTED_VALUE"""),"Guadalajara en Paz")</f>
        <v>Guadalajara en Paz</v>
      </c>
      <c r="E931" s="42" t="str">
        <f ca="1">IFERROR(__xludf.DUMMYFUNCTION("""COMPUTED_VALUE"""),"Atención Odontológica")</f>
        <v>Atención Odontológica</v>
      </c>
      <c r="F931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31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31" s="42" t="str">
        <f ca="1">IFERROR(__xludf.DUMMYFUNCTION("""COMPUTED_VALUE"""),"NOS Septiembre")</f>
        <v>NOS Septiembre</v>
      </c>
      <c r="I931" s="42" t="str">
        <f ca="1">IFERROR(__xludf.DUMMYFUNCTION("""COMPUTED_VALUE"""),"Septiembre")</f>
        <v>Septiembre</v>
      </c>
      <c r="J931" s="42" t="str">
        <f ca="1">IFERROR(__xludf.DUMMYFUNCTION("""COMPUTED_VALUE"""),"NOS")</f>
        <v>NOS</v>
      </c>
      <c r="K931" s="98">
        <f ca="1">IFERROR(__xludf.DUMMYFUNCTION("""COMPUTED_VALUE"""),33)</f>
        <v>33</v>
      </c>
      <c r="L931" s="42" t="str">
        <f ca="1">IFERROR(__xludf.DUMMYFUNCTION("""COMPUTED_VALUE"""),"TRIMESTRE 3")</f>
        <v>TRIMESTRE 3</v>
      </c>
      <c r="M931" s="42" t="str">
        <f ca="1">IFERROR(__xludf.DUMMYFUNCTION("""COMPUTED_VALUE"""),"NIÑOS")</f>
        <v>NIÑOS</v>
      </c>
    </row>
    <row r="932" spans="1:13">
      <c r="A932" s="42" t="str">
        <f ca="1">IFERROR(__xludf.DUMMYFUNCTION("""COMPUTED_VALUE"""),"2.1.1.8")</f>
        <v>2.1.1.8</v>
      </c>
      <c r="B932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32" s="42" t="str">
        <f ca="1">IFERROR(__xludf.DUMMYFUNCTION("""COMPUTED_VALUE"""),"3. Operación")</f>
        <v>3. Operación</v>
      </c>
      <c r="D932" s="42" t="str">
        <f ca="1">IFERROR(__xludf.DUMMYFUNCTION("""COMPUTED_VALUE"""),"Guadalajara en Paz")</f>
        <v>Guadalajara en Paz</v>
      </c>
      <c r="E932" s="42" t="str">
        <f ca="1">IFERROR(__xludf.DUMMYFUNCTION("""COMPUTED_VALUE"""),"Atención Odontológica")</f>
        <v>Atención Odontológica</v>
      </c>
      <c r="F932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32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32" s="42" t="str">
        <f ca="1">IFERROR(__xludf.DUMMYFUNCTION("""COMPUTED_VALUE"""),"AM SEPTIEMBRE")</f>
        <v>AM SEPTIEMBRE</v>
      </c>
      <c r="I932" s="42" t="str">
        <f ca="1">IFERROR(__xludf.DUMMYFUNCTION("""COMPUTED_VALUE"""),"Septiembre")</f>
        <v>Septiembre</v>
      </c>
      <c r="J932" s="42" t="str">
        <f ca="1">IFERROR(__xludf.DUMMYFUNCTION("""COMPUTED_VALUE"""),"AM")</f>
        <v>AM</v>
      </c>
      <c r="K932" s="98">
        <f ca="1">IFERROR(__xludf.DUMMYFUNCTION("""COMPUTED_VALUE"""),17)</f>
        <v>17</v>
      </c>
      <c r="L932" s="42" t="str">
        <f ca="1">IFERROR(__xludf.DUMMYFUNCTION("""COMPUTED_VALUE"""),"TRIMESTRE 3")</f>
        <v>TRIMESTRE 3</v>
      </c>
      <c r="M932" s="42" t="str">
        <f ca="1">IFERROR(__xludf.DUMMYFUNCTION("""COMPUTED_VALUE"""),"ADOLESCENTES MUJERES")</f>
        <v>ADOLESCENTES MUJERES</v>
      </c>
    </row>
    <row r="933" spans="1:13">
      <c r="A933" s="42" t="str">
        <f ca="1">IFERROR(__xludf.DUMMYFUNCTION("""COMPUTED_VALUE"""),"2.1.1.8")</f>
        <v>2.1.1.8</v>
      </c>
      <c r="B933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33" s="42" t="str">
        <f ca="1">IFERROR(__xludf.DUMMYFUNCTION("""COMPUTED_VALUE"""),"3. Operación")</f>
        <v>3. Operación</v>
      </c>
      <c r="D933" s="42" t="str">
        <f ca="1">IFERROR(__xludf.DUMMYFUNCTION("""COMPUTED_VALUE"""),"Guadalajara en Paz")</f>
        <v>Guadalajara en Paz</v>
      </c>
      <c r="E933" s="42" t="str">
        <f ca="1">IFERROR(__xludf.DUMMYFUNCTION("""COMPUTED_VALUE"""),"Atención Odontológica")</f>
        <v>Atención Odontológica</v>
      </c>
      <c r="F933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33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33" s="42" t="str">
        <f ca="1">IFERROR(__xludf.DUMMYFUNCTION("""COMPUTED_VALUE"""),"AH SEPTIEMBRE")</f>
        <v>AH SEPTIEMBRE</v>
      </c>
      <c r="I933" s="42" t="str">
        <f ca="1">IFERROR(__xludf.DUMMYFUNCTION("""COMPUTED_VALUE"""),"Septiembre")</f>
        <v>Septiembre</v>
      </c>
      <c r="J933" s="42" t="str">
        <f ca="1">IFERROR(__xludf.DUMMYFUNCTION("""COMPUTED_VALUE"""),"AH")</f>
        <v>AH</v>
      </c>
      <c r="K933" s="98">
        <f ca="1">IFERROR(__xludf.DUMMYFUNCTION("""COMPUTED_VALUE"""),11)</f>
        <v>11</v>
      </c>
      <c r="L933" s="42" t="str">
        <f ca="1">IFERROR(__xludf.DUMMYFUNCTION("""COMPUTED_VALUE"""),"TRIMESTRE 3")</f>
        <v>TRIMESTRE 3</v>
      </c>
      <c r="M933" s="42" t="str">
        <f ca="1">IFERROR(__xludf.DUMMYFUNCTION("""COMPUTED_VALUE"""),"ADOLESCENTES HOMBRES")</f>
        <v>ADOLESCENTES HOMBRES</v>
      </c>
    </row>
    <row r="934" spans="1:13">
      <c r="A934" s="42" t="str">
        <f ca="1">IFERROR(__xludf.DUMMYFUNCTION("""COMPUTED_VALUE"""),"2.1.1.8")</f>
        <v>2.1.1.8</v>
      </c>
      <c r="B934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34" s="42" t="str">
        <f ca="1">IFERROR(__xludf.DUMMYFUNCTION("""COMPUTED_VALUE"""),"3. Operación")</f>
        <v>3. Operación</v>
      </c>
      <c r="D934" s="42" t="str">
        <f ca="1">IFERROR(__xludf.DUMMYFUNCTION("""COMPUTED_VALUE"""),"Guadalajara en Paz")</f>
        <v>Guadalajara en Paz</v>
      </c>
      <c r="E934" s="42" t="str">
        <f ca="1">IFERROR(__xludf.DUMMYFUNCTION("""COMPUTED_VALUE"""),"Atención Odontológica")</f>
        <v>Atención Odontológica</v>
      </c>
      <c r="F934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34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34" s="42" t="str">
        <f ca="1">IFERROR(__xludf.DUMMYFUNCTION("""COMPUTED_VALUE"""),"MUJ Septiembre")</f>
        <v>MUJ Septiembre</v>
      </c>
      <c r="I934" s="42" t="str">
        <f ca="1">IFERROR(__xludf.DUMMYFUNCTION("""COMPUTED_VALUE"""),"Septiembre")</f>
        <v>Septiembre</v>
      </c>
      <c r="J934" s="42" t="str">
        <f ca="1">IFERROR(__xludf.DUMMYFUNCTION("""COMPUTED_VALUE"""),"MUJ")</f>
        <v>MUJ</v>
      </c>
      <c r="K934" s="98">
        <f ca="1">IFERROR(__xludf.DUMMYFUNCTION("""COMPUTED_VALUE"""),228)</f>
        <v>228</v>
      </c>
      <c r="L934" s="42" t="str">
        <f ca="1">IFERROR(__xludf.DUMMYFUNCTION("""COMPUTED_VALUE"""),"TRIMESTRE 3")</f>
        <v>TRIMESTRE 3</v>
      </c>
      <c r="M934" s="42" t="str">
        <f ca="1">IFERROR(__xludf.DUMMYFUNCTION("""COMPUTED_VALUE"""),"MUJERES ADULTAS")</f>
        <v>MUJERES ADULTAS</v>
      </c>
    </row>
    <row r="935" spans="1:13">
      <c r="A935" s="42" t="str">
        <f ca="1">IFERROR(__xludf.DUMMYFUNCTION("""COMPUTED_VALUE"""),"2.1.1.8")</f>
        <v>2.1.1.8</v>
      </c>
      <c r="B935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35" s="42" t="str">
        <f ca="1">IFERROR(__xludf.DUMMYFUNCTION("""COMPUTED_VALUE"""),"3. Operación")</f>
        <v>3. Operación</v>
      </c>
      <c r="D935" s="42" t="str">
        <f ca="1">IFERROR(__xludf.DUMMYFUNCTION("""COMPUTED_VALUE"""),"Guadalajara en Paz")</f>
        <v>Guadalajara en Paz</v>
      </c>
      <c r="E935" s="42" t="str">
        <f ca="1">IFERROR(__xludf.DUMMYFUNCTION("""COMPUTED_VALUE"""),"Atención Odontológica")</f>
        <v>Atención Odontológica</v>
      </c>
      <c r="F935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35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35" s="42" t="str">
        <f ca="1">IFERROR(__xludf.DUMMYFUNCTION("""COMPUTED_VALUE"""),"HOM Septiembre")</f>
        <v>HOM Septiembre</v>
      </c>
      <c r="I935" s="42" t="str">
        <f ca="1">IFERROR(__xludf.DUMMYFUNCTION("""COMPUTED_VALUE"""),"Septiembre")</f>
        <v>Septiembre</v>
      </c>
      <c r="J935" s="42" t="str">
        <f ca="1">IFERROR(__xludf.DUMMYFUNCTION("""COMPUTED_VALUE"""),"HOM")</f>
        <v>HOM</v>
      </c>
      <c r="K935" s="98">
        <f ca="1">IFERROR(__xludf.DUMMYFUNCTION("""COMPUTED_VALUE"""),112)</f>
        <v>112</v>
      </c>
      <c r="L935" s="42" t="str">
        <f ca="1">IFERROR(__xludf.DUMMYFUNCTION("""COMPUTED_VALUE"""),"TRIMESTRE 3")</f>
        <v>TRIMESTRE 3</v>
      </c>
      <c r="M935" s="42" t="str">
        <f ca="1">IFERROR(__xludf.DUMMYFUNCTION("""COMPUTED_VALUE"""),"HOMBRES ADULTOS")</f>
        <v>HOMBRES ADULTOS</v>
      </c>
    </row>
    <row r="936" spans="1:13">
      <c r="A936" s="42" t="str">
        <f ca="1">IFERROR(__xludf.DUMMYFUNCTION("""COMPUTED_VALUE"""),"2.1.1.8")</f>
        <v>2.1.1.8</v>
      </c>
      <c r="B936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36" s="42" t="str">
        <f ca="1">IFERROR(__xludf.DUMMYFUNCTION("""COMPUTED_VALUE"""),"3. Operación")</f>
        <v>3. Operación</v>
      </c>
      <c r="D936" s="42" t="str">
        <f ca="1">IFERROR(__xludf.DUMMYFUNCTION("""COMPUTED_VALUE"""),"Guadalajara en Paz")</f>
        <v>Guadalajara en Paz</v>
      </c>
      <c r="E936" s="42" t="str">
        <f ca="1">IFERROR(__xludf.DUMMYFUNCTION("""COMPUTED_VALUE"""),"Atención Odontológica")</f>
        <v>Atención Odontológica</v>
      </c>
      <c r="F936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36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36" s="42" t="str">
        <f ca="1">IFERROR(__xludf.DUMMYFUNCTION("""COMPUTED_VALUE"""),"AMM Septiembre")</f>
        <v>AMM Septiembre</v>
      </c>
      <c r="I936" s="42" t="str">
        <f ca="1">IFERROR(__xludf.DUMMYFUNCTION("""COMPUTED_VALUE"""),"Septiembre")</f>
        <v>Septiembre</v>
      </c>
      <c r="J936" s="42" t="str">
        <f ca="1">IFERROR(__xludf.DUMMYFUNCTION("""COMPUTED_VALUE"""),"AMM")</f>
        <v>AMM</v>
      </c>
      <c r="K936" s="98">
        <f ca="1">IFERROR(__xludf.DUMMYFUNCTION("""COMPUTED_VALUE"""),167)</f>
        <v>167</v>
      </c>
      <c r="L936" s="42" t="str">
        <f ca="1">IFERROR(__xludf.DUMMYFUNCTION("""COMPUTED_VALUE"""),"TRIMESTRE 3")</f>
        <v>TRIMESTRE 3</v>
      </c>
      <c r="M936" s="42" t="str">
        <f ca="1">IFERROR(__xludf.DUMMYFUNCTION("""COMPUTED_VALUE"""),"ADULTA MAYOR MUJER")</f>
        <v>ADULTA MAYOR MUJER</v>
      </c>
    </row>
    <row r="937" spans="1:13">
      <c r="A937" s="42" t="str">
        <f ca="1">IFERROR(__xludf.DUMMYFUNCTION("""COMPUTED_VALUE"""),"2.1.1.8")</f>
        <v>2.1.1.8</v>
      </c>
      <c r="B937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37" s="42" t="str">
        <f ca="1">IFERROR(__xludf.DUMMYFUNCTION("""COMPUTED_VALUE"""),"3. Operación")</f>
        <v>3. Operación</v>
      </c>
      <c r="D937" s="42" t="str">
        <f ca="1">IFERROR(__xludf.DUMMYFUNCTION("""COMPUTED_VALUE"""),"Guadalajara en Paz")</f>
        <v>Guadalajara en Paz</v>
      </c>
      <c r="E937" s="42" t="str">
        <f ca="1">IFERROR(__xludf.DUMMYFUNCTION("""COMPUTED_VALUE"""),"Atención Odontológica")</f>
        <v>Atención Odontológica</v>
      </c>
      <c r="F937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37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37" s="42" t="str">
        <f ca="1">IFERROR(__xludf.DUMMYFUNCTION("""COMPUTED_VALUE"""),"AMH Septiembre")</f>
        <v>AMH Septiembre</v>
      </c>
      <c r="I937" s="42" t="str">
        <f ca="1">IFERROR(__xludf.DUMMYFUNCTION("""COMPUTED_VALUE"""),"Septiembre")</f>
        <v>Septiembre</v>
      </c>
      <c r="J937" s="42" t="str">
        <f ca="1">IFERROR(__xludf.DUMMYFUNCTION("""COMPUTED_VALUE"""),"AMH")</f>
        <v>AMH</v>
      </c>
      <c r="K937" s="98">
        <f ca="1">IFERROR(__xludf.DUMMYFUNCTION("""COMPUTED_VALUE"""),103)</f>
        <v>103</v>
      </c>
      <c r="L937" s="42" t="str">
        <f ca="1">IFERROR(__xludf.DUMMYFUNCTION("""COMPUTED_VALUE"""),"TRIMESTRE 3")</f>
        <v>TRIMESTRE 3</v>
      </c>
      <c r="M937" s="42" t="str">
        <f ca="1">IFERROR(__xludf.DUMMYFUNCTION("""COMPUTED_VALUE"""),"ADULTO MAYOR HOMBRE")</f>
        <v>ADULTO MAYOR HOMBRE</v>
      </c>
    </row>
    <row r="938" spans="1:13">
      <c r="A938" s="42" t="str">
        <f ca="1">IFERROR(__xludf.DUMMYFUNCTION("""COMPUTED_VALUE"""),"2.1.1.8")</f>
        <v>2.1.1.8</v>
      </c>
      <c r="B938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38" s="42" t="str">
        <f ca="1">IFERROR(__xludf.DUMMYFUNCTION("""COMPUTED_VALUE"""),"3. Operación")</f>
        <v>3. Operación</v>
      </c>
      <c r="D938" s="42" t="str">
        <f ca="1">IFERROR(__xludf.DUMMYFUNCTION("""COMPUTED_VALUE"""),"Guadalajara en Paz")</f>
        <v>Guadalajara en Paz</v>
      </c>
      <c r="E938" s="42" t="str">
        <f ca="1">IFERROR(__xludf.DUMMYFUNCTION("""COMPUTED_VALUE"""),"Atención Odontológica")</f>
        <v>Atención Odontológica</v>
      </c>
      <c r="F938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38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38" s="42" t="str">
        <f ca="1">IFERROR(__xludf.DUMMYFUNCTION("""COMPUTED_VALUE"""),"NAS Octubre")</f>
        <v>NAS Octubre</v>
      </c>
      <c r="I938" s="42" t="str">
        <f ca="1">IFERROR(__xludf.DUMMYFUNCTION("""COMPUTED_VALUE"""),"Octubre")</f>
        <v>Octubre</v>
      </c>
      <c r="J938" s="42" t="str">
        <f ca="1">IFERROR(__xludf.DUMMYFUNCTION("""COMPUTED_VALUE"""),"NAS")</f>
        <v>NAS</v>
      </c>
      <c r="K938" s="98"/>
      <c r="L938" s="42" t="str">
        <f ca="1">IFERROR(__xludf.DUMMYFUNCTION("""COMPUTED_VALUE"""),"TRIMESTRE 4")</f>
        <v>TRIMESTRE 4</v>
      </c>
      <c r="M938" s="42" t="str">
        <f ca="1">IFERROR(__xludf.DUMMYFUNCTION("""COMPUTED_VALUE"""),"NIÑAS")</f>
        <v>NIÑAS</v>
      </c>
    </row>
    <row r="939" spans="1:13">
      <c r="A939" s="42" t="str">
        <f ca="1">IFERROR(__xludf.DUMMYFUNCTION("""COMPUTED_VALUE"""),"2.1.1.8")</f>
        <v>2.1.1.8</v>
      </c>
      <c r="B939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39" s="42" t="str">
        <f ca="1">IFERROR(__xludf.DUMMYFUNCTION("""COMPUTED_VALUE"""),"3. Operación")</f>
        <v>3. Operación</v>
      </c>
      <c r="D939" s="42" t="str">
        <f ca="1">IFERROR(__xludf.DUMMYFUNCTION("""COMPUTED_VALUE"""),"Guadalajara en Paz")</f>
        <v>Guadalajara en Paz</v>
      </c>
      <c r="E939" s="42" t="str">
        <f ca="1">IFERROR(__xludf.DUMMYFUNCTION("""COMPUTED_VALUE"""),"Atención Odontológica")</f>
        <v>Atención Odontológica</v>
      </c>
      <c r="F939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39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39" s="42" t="str">
        <f ca="1">IFERROR(__xludf.DUMMYFUNCTION("""COMPUTED_VALUE"""),"NOS Octubre")</f>
        <v>NOS Octubre</v>
      </c>
      <c r="I939" s="42" t="str">
        <f ca="1">IFERROR(__xludf.DUMMYFUNCTION("""COMPUTED_VALUE"""),"Octubre")</f>
        <v>Octubre</v>
      </c>
      <c r="J939" s="42" t="str">
        <f ca="1">IFERROR(__xludf.DUMMYFUNCTION("""COMPUTED_VALUE"""),"NOS")</f>
        <v>NOS</v>
      </c>
      <c r="K939" s="98"/>
      <c r="L939" s="42" t="str">
        <f ca="1">IFERROR(__xludf.DUMMYFUNCTION("""COMPUTED_VALUE"""),"TRIMESTRE 4")</f>
        <v>TRIMESTRE 4</v>
      </c>
      <c r="M939" s="42" t="str">
        <f ca="1">IFERROR(__xludf.DUMMYFUNCTION("""COMPUTED_VALUE"""),"NIÑOS")</f>
        <v>NIÑOS</v>
      </c>
    </row>
    <row r="940" spans="1:13">
      <c r="A940" s="42" t="str">
        <f ca="1">IFERROR(__xludf.DUMMYFUNCTION("""COMPUTED_VALUE"""),"2.1.1.8")</f>
        <v>2.1.1.8</v>
      </c>
      <c r="B940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40" s="42" t="str">
        <f ca="1">IFERROR(__xludf.DUMMYFUNCTION("""COMPUTED_VALUE"""),"3. Operación")</f>
        <v>3. Operación</v>
      </c>
      <c r="D940" s="42" t="str">
        <f ca="1">IFERROR(__xludf.DUMMYFUNCTION("""COMPUTED_VALUE"""),"Guadalajara en Paz")</f>
        <v>Guadalajara en Paz</v>
      </c>
      <c r="E940" s="42" t="str">
        <f ca="1">IFERROR(__xludf.DUMMYFUNCTION("""COMPUTED_VALUE"""),"Atención Odontológica")</f>
        <v>Atención Odontológica</v>
      </c>
      <c r="F940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40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40" s="42" t="str">
        <f ca="1">IFERROR(__xludf.DUMMYFUNCTION("""COMPUTED_VALUE"""),"AM OCTUBRE")</f>
        <v>AM OCTUBRE</v>
      </c>
      <c r="I940" s="42" t="str">
        <f ca="1">IFERROR(__xludf.DUMMYFUNCTION("""COMPUTED_VALUE"""),"Octubre")</f>
        <v>Octubre</v>
      </c>
      <c r="J940" s="42" t="str">
        <f ca="1">IFERROR(__xludf.DUMMYFUNCTION("""COMPUTED_VALUE"""),"AM")</f>
        <v>AM</v>
      </c>
      <c r="K940" s="98"/>
      <c r="L940" s="42" t="str">
        <f ca="1">IFERROR(__xludf.DUMMYFUNCTION("""COMPUTED_VALUE"""),"TRIMESTRE 4")</f>
        <v>TRIMESTRE 4</v>
      </c>
      <c r="M940" s="42" t="str">
        <f ca="1">IFERROR(__xludf.DUMMYFUNCTION("""COMPUTED_VALUE"""),"ADOLESCENTES MUJERES")</f>
        <v>ADOLESCENTES MUJERES</v>
      </c>
    </row>
    <row r="941" spans="1:13">
      <c r="A941" s="42" t="str">
        <f ca="1">IFERROR(__xludf.DUMMYFUNCTION("""COMPUTED_VALUE"""),"2.1.1.8")</f>
        <v>2.1.1.8</v>
      </c>
      <c r="B941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41" s="42" t="str">
        <f ca="1">IFERROR(__xludf.DUMMYFUNCTION("""COMPUTED_VALUE"""),"3. Operación")</f>
        <v>3. Operación</v>
      </c>
      <c r="D941" s="42" t="str">
        <f ca="1">IFERROR(__xludf.DUMMYFUNCTION("""COMPUTED_VALUE"""),"Guadalajara en Paz")</f>
        <v>Guadalajara en Paz</v>
      </c>
      <c r="E941" s="42" t="str">
        <f ca="1">IFERROR(__xludf.DUMMYFUNCTION("""COMPUTED_VALUE"""),"Atención Odontológica")</f>
        <v>Atención Odontológica</v>
      </c>
      <c r="F941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41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41" s="42" t="str">
        <f ca="1">IFERROR(__xludf.DUMMYFUNCTION("""COMPUTED_VALUE"""),"AH OCTUBRE")</f>
        <v>AH OCTUBRE</v>
      </c>
      <c r="I941" s="42" t="str">
        <f ca="1">IFERROR(__xludf.DUMMYFUNCTION("""COMPUTED_VALUE"""),"Octubre")</f>
        <v>Octubre</v>
      </c>
      <c r="J941" s="42" t="str">
        <f ca="1">IFERROR(__xludf.DUMMYFUNCTION("""COMPUTED_VALUE"""),"AH")</f>
        <v>AH</v>
      </c>
      <c r="K941" s="98"/>
      <c r="L941" s="42" t="str">
        <f ca="1">IFERROR(__xludf.DUMMYFUNCTION("""COMPUTED_VALUE"""),"TRIMESTRE 4")</f>
        <v>TRIMESTRE 4</v>
      </c>
      <c r="M941" s="42" t="str">
        <f ca="1">IFERROR(__xludf.DUMMYFUNCTION("""COMPUTED_VALUE"""),"ADOLESCENTES HOMBRES")</f>
        <v>ADOLESCENTES HOMBRES</v>
      </c>
    </row>
    <row r="942" spans="1:13">
      <c r="A942" s="42" t="str">
        <f ca="1">IFERROR(__xludf.DUMMYFUNCTION("""COMPUTED_VALUE"""),"2.1.1.8")</f>
        <v>2.1.1.8</v>
      </c>
      <c r="B942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42" s="42" t="str">
        <f ca="1">IFERROR(__xludf.DUMMYFUNCTION("""COMPUTED_VALUE"""),"3. Operación")</f>
        <v>3. Operación</v>
      </c>
      <c r="D942" s="42" t="str">
        <f ca="1">IFERROR(__xludf.DUMMYFUNCTION("""COMPUTED_VALUE"""),"Guadalajara en Paz")</f>
        <v>Guadalajara en Paz</v>
      </c>
      <c r="E942" s="42" t="str">
        <f ca="1">IFERROR(__xludf.DUMMYFUNCTION("""COMPUTED_VALUE"""),"Atención Odontológica")</f>
        <v>Atención Odontológica</v>
      </c>
      <c r="F942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42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42" s="42" t="str">
        <f ca="1">IFERROR(__xludf.DUMMYFUNCTION("""COMPUTED_VALUE"""),"MUJ Octubre")</f>
        <v>MUJ Octubre</v>
      </c>
      <c r="I942" s="42" t="str">
        <f ca="1">IFERROR(__xludf.DUMMYFUNCTION("""COMPUTED_VALUE"""),"Octubre")</f>
        <v>Octubre</v>
      </c>
      <c r="J942" s="42" t="str">
        <f ca="1">IFERROR(__xludf.DUMMYFUNCTION("""COMPUTED_VALUE"""),"MUJ")</f>
        <v>MUJ</v>
      </c>
      <c r="K942" s="98"/>
      <c r="L942" s="42" t="str">
        <f ca="1">IFERROR(__xludf.DUMMYFUNCTION("""COMPUTED_VALUE"""),"TRIMESTRE 4")</f>
        <v>TRIMESTRE 4</v>
      </c>
      <c r="M942" s="42" t="str">
        <f ca="1">IFERROR(__xludf.DUMMYFUNCTION("""COMPUTED_VALUE"""),"MUJERES ADULTAS")</f>
        <v>MUJERES ADULTAS</v>
      </c>
    </row>
    <row r="943" spans="1:13">
      <c r="A943" s="42" t="str">
        <f ca="1">IFERROR(__xludf.DUMMYFUNCTION("""COMPUTED_VALUE"""),"2.1.1.8")</f>
        <v>2.1.1.8</v>
      </c>
      <c r="B943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43" s="42" t="str">
        <f ca="1">IFERROR(__xludf.DUMMYFUNCTION("""COMPUTED_VALUE"""),"3. Operación")</f>
        <v>3. Operación</v>
      </c>
      <c r="D943" s="42" t="str">
        <f ca="1">IFERROR(__xludf.DUMMYFUNCTION("""COMPUTED_VALUE"""),"Guadalajara en Paz")</f>
        <v>Guadalajara en Paz</v>
      </c>
      <c r="E943" s="42" t="str">
        <f ca="1">IFERROR(__xludf.DUMMYFUNCTION("""COMPUTED_VALUE"""),"Atención Odontológica")</f>
        <v>Atención Odontológica</v>
      </c>
      <c r="F943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43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43" s="42" t="str">
        <f ca="1">IFERROR(__xludf.DUMMYFUNCTION("""COMPUTED_VALUE"""),"HOM Octubre")</f>
        <v>HOM Octubre</v>
      </c>
      <c r="I943" s="42" t="str">
        <f ca="1">IFERROR(__xludf.DUMMYFUNCTION("""COMPUTED_VALUE"""),"Octubre")</f>
        <v>Octubre</v>
      </c>
      <c r="J943" s="42" t="str">
        <f ca="1">IFERROR(__xludf.DUMMYFUNCTION("""COMPUTED_VALUE"""),"HOM")</f>
        <v>HOM</v>
      </c>
      <c r="K943" s="98"/>
      <c r="L943" s="42" t="str">
        <f ca="1">IFERROR(__xludf.DUMMYFUNCTION("""COMPUTED_VALUE"""),"TRIMESTRE 4")</f>
        <v>TRIMESTRE 4</v>
      </c>
      <c r="M943" s="42" t="str">
        <f ca="1">IFERROR(__xludf.DUMMYFUNCTION("""COMPUTED_VALUE"""),"HOMBRES ADULTOS")</f>
        <v>HOMBRES ADULTOS</v>
      </c>
    </row>
    <row r="944" spans="1:13">
      <c r="A944" s="42" t="str">
        <f ca="1">IFERROR(__xludf.DUMMYFUNCTION("""COMPUTED_VALUE"""),"2.1.1.8")</f>
        <v>2.1.1.8</v>
      </c>
      <c r="B944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44" s="42" t="str">
        <f ca="1">IFERROR(__xludf.DUMMYFUNCTION("""COMPUTED_VALUE"""),"3. Operación")</f>
        <v>3. Operación</v>
      </c>
      <c r="D944" s="42" t="str">
        <f ca="1">IFERROR(__xludf.DUMMYFUNCTION("""COMPUTED_VALUE"""),"Guadalajara en Paz")</f>
        <v>Guadalajara en Paz</v>
      </c>
      <c r="E944" s="42" t="str">
        <f ca="1">IFERROR(__xludf.DUMMYFUNCTION("""COMPUTED_VALUE"""),"Atención Odontológica")</f>
        <v>Atención Odontológica</v>
      </c>
      <c r="F944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44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44" s="42" t="str">
        <f ca="1">IFERROR(__xludf.DUMMYFUNCTION("""COMPUTED_VALUE"""),"AMM Octubre")</f>
        <v>AMM Octubre</v>
      </c>
      <c r="I944" s="42" t="str">
        <f ca="1">IFERROR(__xludf.DUMMYFUNCTION("""COMPUTED_VALUE"""),"Octubre")</f>
        <v>Octubre</v>
      </c>
      <c r="J944" s="42" t="str">
        <f ca="1">IFERROR(__xludf.DUMMYFUNCTION("""COMPUTED_VALUE"""),"AMM")</f>
        <v>AMM</v>
      </c>
      <c r="K944" s="98"/>
      <c r="L944" s="42" t="str">
        <f ca="1">IFERROR(__xludf.DUMMYFUNCTION("""COMPUTED_VALUE"""),"TRIMESTRE 4")</f>
        <v>TRIMESTRE 4</v>
      </c>
      <c r="M944" s="42" t="str">
        <f ca="1">IFERROR(__xludf.DUMMYFUNCTION("""COMPUTED_VALUE"""),"ADULTA MAYOR MUJER")</f>
        <v>ADULTA MAYOR MUJER</v>
      </c>
    </row>
    <row r="945" spans="1:13">
      <c r="A945" s="42" t="str">
        <f ca="1">IFERROR(__xludf.DUMMYFUNCTION("""COMPUTED_VALUE"""),"2.1.1.8")</f>
        <v>2.1.1.8</v>
      </c>
      <c r="B945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45" s="42" t="str">
        <f ca="1">IFERROR(__xludf.DUMMYFUNCTION("""COMPUTED_VALUE"""),"3. Operación")</f>
        <v>3. Operación</v>
      </c>
      <c r="D945" s="42" t="str">
        <f ca="1">IFERROR(__xludf.DUMMYFUNCTION("""COMPUTED_VALUE"""),"Guadalajara en Paz")</f>
        <v>Guadalajara en Paz</v>
      </c>
      <c r="E945" s="42" t="str">
        <f ca="1">IFERROR(__xludf.DUMMYFUNCTION("""COMPUTED_VALUE"""),"Atención Odontológica")</f>
        <v>Atención Odontológica</v>
      </c>
      <c r="F945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45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45" s="42" t="str">
        <f ca="1">IFERROR(__xludf.DUMMYFUNCTION("""COMPUTED_VALUE"""),"AMH Octubre")</f>
        <v>AMH Octubre</v>
      </c>
      <c r="I945" s="42" t="str">
        <f ca="1">IFERROR(__xludf.DUMMYFUNCTION("""COMPUTED_VALUE"""),"Octubre")</f>
        <v>Octubre</v>
      </c>
      <c r="J945" s="42" t="str">
        <f ca="1">IFERROR(__xludf.DUMMYFUNCTION("""COMPUTED_VALUE"""),"AMH")</f>
        <v>AMH</v>
      </c>
      <c r="K945" s="98"/>
      <c r="L945" s="42" t="str">
        <f ca="1">IFERROR(__xludf.DUMMYFUNCTION("""COMPUTED_VALUE"""),"TRIMESTRE 4")</f>
        <v>TRIMESTRE 4</v>
      </c>
      <c r="M945" s="42" t="str">
        <f ca="1">IFERROR(__xludf.DUMMYFUNCTION("""COMPUTED_VALUE"""),"ADULTO MAYOR HOMBRE")</f>
        <v>ADULTO MAYOR HOMBRE</v>
      </c>
    </row>
    <row r="946" spans="1:13">
      <c r="A946" s="42" t="str">
        <f ca="1">IFERROR(__xludf.DUMMYFUNCTION("""COMPUTED_VALUE"""),"2.1.1.8")</f>
        <v>2.1.1.8</v>
      </c>
      <c r="B946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46" s="42" t="str">
        <f ca="1">IFERROR(__xludf.DUMMYFUNCTION("""COMPUTED_VALUE"""),"3. Operación")</f>
        <v>3. Operación</v>
      </c>
      <c r="D946" s="42" t="str">
        <f ca="1">IFERROR(__xludf.DUMMYFUNCTION("""COMPUTED_VALUE"""),"Guadalajara en Paz")</f>
        <v>Guadalajara en Paz</v>
      </c>
      <c r="E946" s="42" t="str">
        <f ca="1">IFERROR(__xludf.DUMMYFUNCTION("""COMPUTED_VALUE"""),"Atención Odontológica")</f>
        <v>Atención Odontológica</v>
      </c>
      <c r="F946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46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46" s="42" t="str">
        <f ca="1">IFERROR(__xludf.DUMMYFUNCTION("""COMPUTED_VALUE"""),"NAS Noviembre")</f>
        <v>NAS Noviembre</v>
      </c>
      <c r="I946" s="42" t="str">
        <f ca="1">IFERROR(__xludf.DUMMYFUNCTION("""COMPUTED_VALUE"""),"Noviembre")</f>
        <v>Noviembre</v>
      </c>
      <c r="J946" s="42" t="str">
        <f ca="1">IFERROR(__xludf.DUMMYFUNCTION("""COMPUTED_VALUE"""),"NAS")</f>
        <v>NAS</v>
      </c>
      <c r="K946" s="98"/>
      <c r="L946" s="42" t="str">
        <f ca="1">IFERROR(__xludf.DUMMYFUNCTION("""COMPUTED_VALUE"""),"TRIMESTRE 4")</f>
        <v>TRIMESTRE 4</v>
      </c>
      <c r="M946" s="42" t="str">
        <f ca="1">IFERROR(__xludf.DUMMYFUNCTION("""COMPUTED_VALUE"""),"NIÑAS")</f>
        <v>NIÑAS</v>
      </c>
    </row>
    <row r="947" spans="1:13">
      <c r="A947" s="42" t="str">
        <f ca="1">IFERROR(__xludf.DUMMYFUNCTION("""COMPUTED_VALUE"""),"2.1.1.8")</f>
        <v>2.1.1.8</v>
      </c>
      <c r="B947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47" s="42" t="str">
        <f ca="1">IFERROR(__xludf.DUMMYFUNCTION("""COMPUTED_VALUE"""),"3. Operación")</f>
        <v>3. Operación</v>
      </c>
      <c r="D947" s="42" t="str">
        <f ca="1">IFERROR(__xludf.DUMMYFUNCTION("""COMPUTED_VALUE"""),"Guadalajara en Paz")</f>
        <v>Guadalajara en Paz</v>
      </c>
      <c r="E947" s="42" t="str">
        <f ca="1">IFERROR(__xludf.DUMMYFUNCTION("""COMPUTED_VALUE"""),"Atención Odontológica")</f>
        <v>Atención Odontológica</v>
      </c>
      <c r="F947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47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47" s="42" t="str">
        <f ca="1">IFERROR(__xludf.DUMMYFUNCTION("""COMPUTED_VALUE"""),"NOS Noviembre")</f>
        <v>NOS Noviembre</v>
      </c>
      <c r="I947" s="42" t="str">
        <f ca="1">IFERROR(__xludf.DUMMYFUNCTION("""COMPUTED_VALUE"""),"Noviembre")</f>
        <v>Noviembre</v>
      </c>
      <c r="J947" s="42" t="str">
        <f ca="1">IFERROR(__xludf.DUMMYFUNCTION("""COMPUTED_VALUE"""),"NOS")</f>
        <v>NOS</v>
      </c>
      <c r="K947" s="98"/>
      <c r="L947" s="42" t="str">
        <f ca="1">IFERROR(__xludf.DUMMYFUNCTION("""COMPUTED_VALUE"""),"TRIMESTRE 4")</f>
        <v>TRIMESTRE 4</v>
      </c>
      <c r="M947" s="42" t="str">
        <f ca="1">IFERROR(__xludf.DUMMYFUNCTION("""COMPUTED_VALUE"""),"NIÑOS")</f>
        <v>NIÑOS</v>
      </c>
    </row>
    <row r="948" spans="1:13">
      <c r="A948" s="42" t="str">
        <f ca="1">IFERROR(__xludf.DUMMYFUNCTION("""COMPUTED_VALUE"""),"2.1.1.8")</f>
        <v>2.1.1.8</v>
      </c>
      <c r="B948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48" s="42" t="str">
        <f ca="1">IFERROR(__xludf.DUMMYFUNCTION("""COMPUTED_VALUE"""),"3. Operación")</f>
        <v>3. Operación</v>
      </c>
      <c r="D948" s="42" t="str">
        <f ca="1">IFERROR(__xludf.DUMMYFUNCTION("""COMPUTED_VALUE"""),"Guadalajara en Paz")</f>
        <v>Guadalajara en Paz</v>
      </c>
      <c r="E948" s="42" t="str">
        <f ca="1">IFERROR(__xludf.DUMMYFUNCTION("""COMPUTED_VALUE"""),"Atención Odontológica")</f>
        <v>Atención Odontológica</v>
      </c>
      <c r="F948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48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48" s="42" t="str">
        <f ca="1">IFERROR(__xludf.DUMMYFUNCTION("""COMPUTED_VALUE"""),"AM NOVIEMBRE")</f>
        <v>AM NOVIEMBRE</v>
      </c>
      <c r="I948" s="42" t="str">
        <f ca="1">IFERROR(__xludf.DUMMYFUNCTION("""COMPUTED_VALUE"""),"Noviembre")</f>
        <v>Noviembre</v>
      </c>
      <c r="J948" s="42" t="str">
        <f ca="1">IFERROR(__xludf.DUMMYFUNCTION("""COMPUTED_VALUE"""),"AM")</f>
        <v>AM</v>
      </c>
      <c r="K948" s="98"/>
      <c r="L948" s="42" t="str">
        <f ca="1">IFERROR(__xludf.DUMMYFUNCTION("""COMPUTED_VALUE"""),"TRIMESTRE 4")</f>
        <v>TRIMESTRE 4</v>
      </c>
      <c r="M948" s="42" t="str">
        <f ca="1">IFERROR(__xludf.DUMMYFUNCTION("""COMPUTED_VALUE"""),"ADOLESCENTES MUJERES")</f>
        <v>ADOLESCENTES MUJERES</v>
      </c>
    </row>
    <row r="949" spans="1:13">
      <c r="A949" s="42" t="str">
        <f ca="1">IFERROR(__xludf.DUMMYFUNCTION("""COMPUTED_VALUE"""),"2.1.1.8")</f>
        <v>2.1.1.8</v>
      </c>
      <c r="B949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49" s="42" t="str">
        <f ca="1">IFERROR(__xludf.DUMMYFUNCTION("""COMPUTED_VALUE"""),"3. Operación")</f>
        <v>3. Operación</v>
      </c>
      <c r="D949" s="42" t="str">
        <f ca="1">IFERROR(__xludf.DUMMYFUNCTION("""COMPUTED_VALUE"""),"Guadalajara en Paz")</f>
        <v>Guadalajara en Paz</v>
      </c>
      <c r="E949" s="42" t="str">
        <f ca="1">IFERROR(__xludf.DUMMYFUNCTION("""COMPUTED_VALUE"""),"Atención Odontológica")</f>
        <v>Atención Odontológica</v>
      </c>
      <c r="F949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49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49" s="42" t="str">
        <f ca="1">IFERROR(__xludf.DUMMYFUNCTION("""COMPUTED_VALUE"""),"AH NOVIEMBRE")</f>
        <v>AH NOVIEMBRE</v>
      </c>
      <c r="I949" s="42" t="str">
        <f ca="1">IFERROR(__xludf.DUMMYFUNCTION("""COMPUTED_VALUE"""),"Noviembre")</f>
        <v>Noviembre</v>
      </c>
      <c r="J949" s="42" t="str">
        <f ca="1">IFERROR(__xludf.DUMMYFUNCTION("""COMPUTED_VALUE"""),"AH")</f>
        <v>AH</v>
      </c>
      <c r="K949" s="98"/>
      <c r="L949" s="42" t="str">
        <f ca="1">IFERROR(__xludf.DUMMYFUNCTION("""COMPUTED_VALUE"""),"TRIMESTRE 4")</f>
        <v>TRIMESTRE 4</v>
      </c>
      <c r="M949" s="42" t="str">
        <f ca="1">IFERROR(__xludf.DUMMYFUNCTION("""COMPUTED_VALUE"""),"ADOLESCENTES HOMBRES")</f>
        <v>ADOLESCENTES HOMBRES</v>
      </c>
    </row>
    <row r="950" spans="1:13">
      <c r="A950" s="42" t="str">
        <f ca="1">IFERROR(__xludf.DUMMYFUNCTION("""COMPUTED_VALUE"""),"2.1.1.8")</f>
        <v>2.1.1.8</v>
      </c>
      <c r="B950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50" s="42" t="str">
        <f ca="1">IFERROR(__xludf.DUMMYFUNCTION("""COMPUTED_VALUE"""),"3. Operación")</f>
        <v>3. Operación</v>
      </c>
      <c r="D950" s="42" t="str">
        <f ca="1">IFERROR(__xludf.DUMMYFUNCTION("""COMPUTED_VALUE"""),"Guadalajara en Paz")</f>
        <v>Guadalajara en Paz</v>
      </c>
      <c r="E950" s="42" t="str">
        <f ca="1">IFERROR(__xludf.DUMMYFUNCTION("""COMPUTED_VALUE"""),"Atención Odontológica")</f>
        <v>Atención Odontológica</v>
      </c>
      <c r="F950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50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50" s="42" t="str">
        <f ca="1">IFERROR(__xludf.DUMMYFUNCTION("""COMPUTED_VALUE"""),"MUJ Noviembre")</f>
        <v>MUJ Noviembre</v>
      </c>
      <c r="I950" s="42" t="str">
        <f ca="1">IFERROR(__xludf.DUMMYFUNCTION("""COMPUTED_VALUE"""),"Noviembre")</f>
        <v>Noviembre</v>
      </c>
      <c r="J950" s="42" t="str">
        <f ca="1">IFERROR(__xludf.DUMMYFUNCTION("""COMPUTED_VALUE"""),"MUJ")</f>
        <v>MUJ</v>
      </c>
      <c r="K950" s="98"/>
      <c r="L950" s="42" t="str">
        <f ca="1">IFERROR(__xludf.DUMMYFUNCTION("""COMPUTED_VALUE"""),"TRIMESTRE 4")</f>
        <v>TRIMESTRE 4</v>
      </c>
      <c r="M950" s="42" t="str">
        <f ca="1">IFERROR(__xludf.DUMMYFUNCTION("""COMPUTED_VALUE"""),"MUJERES ADULTAS")</f>
        <v>MUJERES ADULTAS</v>
      </c>
    </row>
    <row r="951" spans="1:13">
      <c r="A951" s="42" t="str">
        <f ca="1">IFERROR(__xludf.DUMMYFUNCTION("""COMPUTED_VALUE"""),"2.1.1.8")</f>
        <v>2.1.1.8</v>
      </c>
      <c r="B951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51" s="42" t="str">
        <f ca="1">IFERROR(__xludf.DUMMYFUNCTION("""COMPUTED_VALUE"""),"3. Operación")</f>
        <v>3. Operación</v>
      </c>
      <c r="D951" s="42" t="str">
        <f ca="1">IFERROR(__xludf.DUMMYFUNCTION("""COMPUTED_VALUE"""),"Guadalajara en Paz")</f>
        <v>Guadalajara en Paz</v>
      </c>
      <c r="E951" s="42" t="str">
        <f ca="1">IFERROR(__xludf.DUMMYFUNCTION("""COMPUTED_VALUE"""),"Atención Odontológica")</f>
        <v>Atención Odontológica</v>
      </c>
      <c r="F951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51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51" s="42" t="str">
        <f ca="1">IFERROR(__xludf.DUMMYFUNCTION("""COMPUTED_VALUE"""),"HOM Noviembre")</f>
        <v>HOM Noviembre</v>
      </c>
      <c r="I951" s="42" t="str">
        <f ca="1">IFERROR(__xludf.DUMMYFUNCTION("""COMPUTED_VALUE"""),"Noviembre")</f>
        <v>Noviembre</v>
      </c>
      <c r="J951" s="42" t="str">
        <f ca="1">IFERROR(__xludf.DUMMYFUNCTION("""COMPUTED_VALUE"""),"HOM")</f>
        <v>HOM</v>
      </c>
      <c r="K951" s="98"/>
      <c r="L951" s="42" t="str">
        <f ca="1">IFERROR(__xludf.DUMMYFUNCTION("""COMPUTED_VALUE"""),"TRIMESTRE 4")</f>
        <v>TRIMESTRE 4</v>
      </c>
      <c r="M951" s="42" t="str">
        <f ca="1">IFERROR(__xludf.DUMMYFUNCTION("""COMPUTED_VALUE"""),"HOMBRES ADULTOS")</f>
        <v>HOMBRES ADULTOS</v>
      </c>
    </row>
    <row r="952" spans="1:13">
      <c r="A952" s="42" t="str">
        <f ca="1">IFERROR(__xludf.DUMMYFUNCTION("""COMPUTED_VALUE"""),"2.1.1.8")</f>
        <v>2.1.1.8</v>
      </c>
      <c r="B952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52" s="42" t="str">
        <f ca="1">IFERROR(__xludf.DUMMYFUNCTION("""COMPUTED_VALUE"""),"3. Operación")</f>
        <v>3. Operación</v>
      </c>
      <c r="D952" s="42" t="str">
        <f ca="1">IFERROR(__xludf.DUMMYFUNCTION("""COMPUTED_VALUE"""),"Guadalajara en Paz")</f>
        <v>Guadalajara en Paz</v>
      </c>
      <c r="E952" s="42" t="str">
        <f ca="1">IFERROR(__xludf.DUMMYFUNCTION("""COMPUTED_VALUE"""),"Atención Odontológica")</f>
        <v>Atención Odontológica</v>
      </c>
      <c r="F952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52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52" s="42" t="str">
        <f ca="1">IFERROR(__xludf.DUMMYFUNCTION("""COMPUTED_VALUE"""),"AMM Noviembre")</f>
        <v>AMM Noviembre</v>
      </c>
      <c r="I952" s="42" t="str">
        <f ca="1">IFERROR(__xludf.DUMMYFUNCTION("""COMPUTED_VALUE"""),"Noviembre")</f>
        <v>Noviembre</v>
      </c>
      <c r="J952" s="42" t="str">
        <f ca="1">IFERROR(__xludf.DUMMYFUNCTION("""COMPUTED_VALUE"""),"AMM")</f>
        <v>AMM</v>
      </c>
      <c r="K952" s="98"/>
      <c r="L952" s="42" t="str">
        <f ca="1">IFERROR(__xludf.DUMMYFUNCTION("""COMPUTED_VALUE"""),"TRIMESTRE 4")</f>
        <v>TRIMESTRE 4</v>
      </c>
      <c r="M952" s="42" t="str">
        <f ca="1">IFERROR(__xludf.DUMMYFUNCTION("""COMPUTED_VALUE"""),"ADULTA MAYOR MUJER")</f>
        <v>ADULTA MAYOR MUJER</v>
      </c>
    </row>
    <row r="953" spans="1:13">
      <c r="A953" s="42" t="str">
        <f ca="1">IFERROR(__xludf.DUMMYFUNCTION("""COMPUTED_VALUE"""),"2.1.1.8")</f>
        <v>2.1.1.8</v>
      </c>
      <c r="B953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53" s="42" t="str">
        <f ca="1">IFERROR(__xludf.DUMMYFUNCTION("""COMPUTED_VALUE"""),"3. Operación")</f>
        <v>3. Operación</v>
      </c>
      <c r="D953" s="42" t="str">
        <f ca="1">IFERROR(__xludf.DUMMYFUNCTION("""COMPUTED_VALUE"""),"Guadalajara en Paz")</f>
        <v>Guadalajara en Paz</v>
      </c>
      <c r="E953" s="42" t="str">
        <f ca="1">IFERROR(__xludf.DUMMYFUNCTION("""COMPUTED_VALUE"""),"Atención Odontológica")</f>
        <v>Atención Odontológica</v>
      </c>
      <c r="F953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53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53" s="42" t="str">
        <f ca="1">IFERROR(__xludf.DUMMYFUNCTION("""COMPUTED_VALUE"""),"AMH Noviembre")</f>
        <v>AMH Noviembre</v>
      </c>
      <c r="I953" s="42" t="str">
        <f ca="1">IFERROR(__xludf.DUMMYFUNCTION("""COMPUTED_VALUE"""),"Noviembre")</f>
        <v>Noviembre</v>
      </c>
      <c r="J953" s="42" t="str">
        <f ca="1">IFERROR(__xludf.DUMMYFUNCTION("""COMPUTED_VALUE"""),"AMH")</f>
        <v>AMH</v>
      </c>
      <c r="K953" s="98"/>
      <c r="L953" s="42" t="str">
        <f ca="1">IFERROR(__xludf.DUMMYFUNCTION("""COMPUTED_VALUE"""),"TRIMESTRE 4")</f>
        <v>TRIMESTRE 4</v>
      </c>
      <c r="M953" s="42" t="str">
        <f ca="1">IFERROR(__xludf.DUMMYFUNCTION("""COMPUTED_VALUE"""),"ADULTO MAYOR HOMBRE")</f>
        <v>ADULTO MAYOR HOMBRE</v>
      </c>
    </row>
    <row r="954" spans="1:13">
      <c r="A954" s="42" t="str">
        <f ca="1">IFERROR(__xludf.DUMMYFUNCTION("""COMPUTED_VALUE"""),"2.1.1.8")</f>
        <v>2.1.1.8</v>
      </c>
      <c r="B954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54" s="42" t="str">
        <f ca="1">IFERROR(__xludf.DUMMYFUNCTION("""COMPUTED_VALUE"""),"3. Operación")</f>
        <v>3. Operación</v>
      </c>
      <c r="D954" s="42" t="str">
        <f ca="1">IFERROR(__xludf.DUMMYFUNCTION("""COMPUTED_VALUE"""),"Guadalajara en Paz")</f>
        <v>Guadalajara en Paz</v>
      </c>
      <c r="E954" s="42" t="str">
        <f ca="1">IFERROR(__xludf.DUMMYFUNCTION("""COMPUTED_VALUE"""),"Atención Odontológica")</f>
        <v>Atención Odontológica</v>
      </c>
      <c r="F954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54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54" s="42" t="str">
        <f ca="1">IFERROR(__xludf.DUMMYFUNCTION("""COMPUTED_VALUE"""),"NAS Diciembre")</f>
        <v>NAS Diciembre</v>
      </c>
      <c r="I954" s="42" t="str">
        <f ca="1">IFERROR(__xludf.DUMMYFUNCTION("""COMPUTED_VALUE"""),"Diciembre")</f>
        <v>Diciembre</v>
      </c>
      <c r="J954" s="42" t="str">
        <f ca="1">IFERROR(__xludf.DUMMYFUNCTION("""COMPUTED_VALUE"""),"NAS")</f>
        <v>NAS</v>
      </c>
      <c r="K954" s="98"/>
      <c r="L954" s="42" t="str">
        <f ca="1">IFERROR(__xludf.DUMMYFUNCTION("""COMPUTED_VALUE"""),"TRIMESTRE 4")</f>
        <v>TRIMESTRE 4</v>
      </c>
      <c r="M954" s="42" t="str">
        <f ca="1">IFERROR(__xludf.DUMMYFUNCTION("""COMPUTED_VALUE"""),"NIÑAS")</f>
        <v>NIÑAS</v>
      </c>
    </row>
    <row r="955" spans="1:13">
      <c r="A955" s="42" t="str">
        <f ca="1">IFERROR(__xludf.DUMMYFUNCTION("""COMPUTED_VALUE"""),"2.1.1.8")</f>
        <v>2.1.1.8</v>
      </c>
      <c r="B955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55" s="42" t="str">
        <f ca="1">IFERROR(__xludf.DUMMYFUNCTION("""COMPUTED_VALUE"""),"3. Operación")</f>
        <v>3. Operación</v>
      </c>
      <c r="D955" s="42" t="str">
        <f ca="1">IFERROR(__xludf.DUMMYFUNCTION("""COMPUTED_VALUE"""),"Guadalajara en Paz")</f>
        <v>Guadalajara en Paz</v>
      </c>
      <c r="E955" s="42" t="str">
        <f ca="1">IFERROR(__xludf.DUMMYFUNCTION("""COMPUTED_VALUE"""),"Atención Odontológica")</f>
        <v>Atención Odontológica</v>
      </c>
      <c r="F955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55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55" s="42" t="str">
        <f ca="1">IFERROR(__xludf.DUMMYFUNCTION("""COMPUTED_VALUE"""),"NOS Diciembre")</f>
        <v>NOS Diciembre</v>
      </c>
      <c r="I955" s="42" t="str">
        <f ca="1">IFERROR(__xludf.DUMMYFUNCTION("""COMPUTED_VALUE"""),"Diciembre")</f>
        <v>Diciembre</v>
      </c>
      <c r="J955" s="42" t="str">
        <f ca="1">IFERROR(__xludf.DUMMYFUNCTION("""COMPUTED_VALUE"""),"NOS")</f>
        <v>NOS</v>
      </c>
      <c r="K955" s="98"/>
      <c r="L955" s="42" t="str">
        <f ca="1">IFERROR(__xludf.DUMMYFUNCTION("""COMPUTED_VALUE"""),"TRIMESTRE 4")</f>
        <v>TRIMESTRE 4</v>
      </c>
      <c r="M955" s="42" t="str">
        <f ca="1">IFERROR(__xludf.DUMMYFUNCTION("""COMPUTED_VALUE"""),"NIÑOS")</f>
        <v>NIÑOS</v>
      </c>
    </row>
    <row r="956" spans="1:13">
      <c r="A956" s="42" t="str">
        <f ca="1">IFERROR(__xludf.DUMMYFUNCTION("""COMPUTED_VALUE"""),"2.1.1.8")</f>
        <v>2.1.1.8</v>
      </c>
      <c r="B956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56" s="42" t="str">
        <f ca="1">IFERROR(__xludf.DUMMYFUNCTION("""COMPUTED_VALUE"""),"3. Operación")</f>
        <v>3. Operación</v>
      </c>
      <c r="D956" s="42" t="str">
        <f ca="1">IFERROR(__xludf.DUMMYFUNCTION("""COMPUTED_VALUE"""),"Guadalajara en Paz")</f>
        <v>Guadalajara en Paz</v>
      </c>
      <c r="E956" s="42" t="str">
        <f ca="1">IFERROR(__xludf.DUMMYFUNCTION("""COMPUTED_VALUE"""),"Atención Odontológica")</f>
        <v>Atención Odontológica</v>
      </c>
      <c r="F956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56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56" s="42" t="str">
        <f ca="1">IFERROR(__xludf.DUMMYFUNCTION("""COMPUTED_VALUE"""),"AM DICIEMBRE")</f>
        <v>AM DICIEMBRE</v>
      </c>
      <c r="I956" s="42" t="str">
        <f ca="1">IFERROR(__xludf.DUMMYFUNCTION("""COMPUTED_VALUE"""),"Diciembre")</f>
        <v>Diciembre</v>
      </c>
      <c r="J956" s="42" t="str">
        <f ca="1">IFERROR(__xludf.DUMMYFUNCTION("""COMPUTED_VALUE"""),"AM")</f>
        <v>AM</v>
      </c>
      <c r="K956" s="98"/>
      <c r="L956" s="42" t="str">
        <f ca="1">IFERROR(__xludf.DUMMYFUNCTION("""COMPUTED_VALUE"""),"TRIMESTRE 4")</f>
        <v>TRIMESTRE 4</v>
      </c>
      <c r="M956" s="42" t="str">
        <f ca="1">IFERROR(__xludf.DUMMYFUNCTION("""COMPUTED_VALUE"""),"ADOLESCENTES MUJERES")</f>
        <v>ADOLESCENTES MUJERES</v>
      </c>
    </row>
    <row r="957" spans="1:13">
      <c r="A957" s="42" t="str">
        <f ca="1">IFERROR(__xludf.DUMMYFUNCTION("""COMPUTED_VALUE"""),"2.1.1.8")</f>
        <v>2.1.1.8</v>
      </c>
      <c r="B957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57" s="42" t="str">
        <f ca="1">IFERROR(__xludf.DUMMYFUNCTION("""COMPUTED_VALUE"""),"3. Operación")</f>
        <v>3. Operación</v>
      </c>
      <c r="D957" s="42" t="str">
        <f ca="1">IFERROR(__xludf.DUMMYFUNCTION("""COMPUTED_VALUE"""),"Guadalajara en Paz")</f>
        <v>Guadalajara en Paz</v>
      </c>
      <c r="E957" s="42" t="str">
        <f ca="1">IFERROR(__xludf.DUMMYFUNCTION("""COMPUTED_VALUE"""),"Atención Odontológica")</f>
        <v>Atención Odontológica</v>
      </c>
      <c r="F957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57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57" s="42" t="str">
        <f ca="1">IFERROR(__xludf.DUMMYFUNCTION("""COMPUTED_VALUE"""),"AH DICIEMBRE")</f>
        <v>AH DICIEMBRE</v>
      </c>
      <c r="I957" s="42" t="str">
        <f ca="1">IFERROR(__xludf.DUMMYFUNCTION("""COMPUTED_VALUE"""),"Diciembre")</f>
        <v>Diciembre</v>
      </c>
      <c r="J957" s="42" t="str">
        <f ca="1">IFERROR(__xludf.DUMMYFUNCTION("""COMPUTED_VALUE"""),"AH")</f>
        <v>AH</v>
      </c>
      <c r="K957" s="98"/>
      <c r="L957" s="42" t="str">
        <f ca="1">IFERROR(__xludf.DUMMYFUNCTION("""COMPUTED_VALUE"""),"TRIMESTRE 4")</f>
        <v>TRIMESTRE 4</v>
      </c>
      <c r="M957" s="42" t="str">
        <f ca="1">IFERROR(__xludf.DUMMYFUNCTION("""COMPUTED_VALUE"""),"ADOLESCENTES HOMBRES")</f>
        <v>ADOLESCENTES HOMBRES</v>
      </c>
    </row>
    <row r="958" spans="1:13">
      <c r="A958" s="42" t="str">
        <f ca="1">IFERROR(__xludf.DUMMYFUNCTION("""COMPUTED_VALUE"""),"2.1.1.8")</f>
        <v>2.1.1.8</v>
      </c>
      <c r="B958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58" s="42" t="str">
        <f ca="1">IFERROR(__xludf.DUMMYFUNCTION("""COMPUTED_VALUE"""),"3. Operación")</f>
        <v>3. Operación</v>
      </c>
      <c r="D958" s="42" t="str">
        <f ca="1">IFERROR(__xludf.DUMMYFUNCTION("""COMPUTED_VALUE"""),"Guadalajara en Paz")</f>
        <v>Guadalajara en Paz</v>
      </c>
      <c r="E958" s="42" t="str">
        <f ca="1">IFERROR(__xludf.DUMMYFUNCTION("""COMPUTED_VALUE"""),"Atención Odontológica")</f>
        <v>Atención Odontológica</v>
      </c>
      <c r="F958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58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58" s="42" t="str">
        <f ca="1">IFERROR(__xludf.DUMMYFUNCTION("""COMPUTED_VALUE"""),"MUJ Diciembre")</f>
        <v>MUJ Diciembre</v>
      </c>
      <c r="I958" s="42" t="str">
        <f ca="1">IFERROR(__xludf.DUMMYFUNCTION("""COMPUTED_VALUE"""),"Diciembre")</f>
        <v>Diciembre</v>
      </c>
      <c r="J958" s="42" t="str">
        <f ca="1">IFERROR(__xludf.DUMMYFUNCTION("""COMPUTED_VALUE"""),"MUJ")</f>
        <v>MUJ</v>
      </c>
      <c r="K958" s="98"/>
      <c r="L958" s="42" t="str">
        <f ca="1">IFERROR(__xludf.DUMMYFUNCTION("""COMPUTED_VALUE"""),"TRIMESTRE 4")</f>
        <v>TRIMESTRE 4</v>
      </c>
      <c r="M958" s="42" t="str">
        <f ca="1">IFERROR(__xludf.DUMMYFUNCTION("""COMPUTED_VALUE"""),"MUJERES ADULTAS")</f>
        <v>MUJERES ADULTAS</v>
      </c>
    </row>
    <row r="959" spans="1:13">
      <c r="A959" s="42" t="str">
        <f ca="1">IFERROR(__xludf.DUMMYFUNCTION("""COMPUTED_VALUE"""),"2.1.1.8")</f>
        <v>2.1.1.8</v>
      </c>
      <c r="B959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59" s="42" t="str">
        <f ca="1">IFERROR(__xludf.DUMMYFUNCTION("""COMPUTED_VALUE"""),"3. Operación")</f>
        <v>3. Operación</v>
      </c>
      <c r="D959" s="42" t="str">
        <f ca="1">IFERROR(__xludf.DUMMYFUNCTION("""COMPUTED_VALUE"""),"Guadalajara en Paz")</f>
        <v>Guadalajara en Paz</v>
      </c>
      <c r="E959" s="42" t="str">
        <f ca="1">IFERROR(__xludf.DUMMYFUNCTION("""COMPUTED_VALUE"""),"Atención Odontológica")</f>
        <v>Atención Odontológica</v>
      </c>
      <c r="F959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59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59" s="42" t="str">
        <f ca="1">IFERROR(__xludf.DUMMYFUNCTION("""COMPUTED_VALUE"""),"HOM Diciembre")</f>
        <v>HOM Diciembre</v>
      </c>
      <c r="I959" s="42" t="str">
        <f ca="1">IFERROR(__xludf.DUMMYFUNCTION("""COMPUTED_VALUE"""),"Diciembre")</f>
        <v>Diciembre</v>
      </c>
      <c r="J959" s="42" t="str">
        <f ca="1">IFERROR(__xludf.DUMMYFUNCTION("""COMPUTED_VALUE"""),"HOM")</f>
        <v>HOM</v>
      </c>
      <c r="K959" s="98"/>
      <c r="L959" s="42" t="str">
        <f ca="1">IFERROR(__xludf.DUMMYFUNCTION("""COMPUTED_VALUE"""),"TRIMESTRE 4")</f>
        <v>TRIMESTRE 4</v>
      </c>
      <c r="M959" s="42" t="str">
        <f ca="1">IFERROR(__xludf.DUMMYFUNCTION("""COMPUTED_VALUE"""),"HOMBRES ADULTOS")</f>
        <v>HOMBRES ADULTOS</v>
      </c>
    </row>
    <row r="960" spans="1:13">
      <c r="A960" s="42" t="str">
        <f ca="1">IFERROR(__xludf.DUMMYFUNCTION("""COMPUTED_VALUE"""),"2.1.1.8")</f>
        <v>2.1.1.8</v>
      </c>
      <c r="B960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60" s="42" t="str">
        <f ca="1">IFERROR(__xludf.DUMMYFUNCTION("""COMPUTED_VALUE"""),"3. Operación")</f>
        <v>3. Operación</v>
      </c>
      <c r="D960" s="42" t="str">
        <f ca="1">IFERROR(__xludf.DUMMYFUNCTION("""COMPUTED_VALUE"""),"Guadalajara en Paz")</f>
        <v>Guadalajara en Paz</v>
      </c>
      <c r="E960" s="42" t="str">
        <f ca="1">IFERROR(__xludf.DUMMYFUNCTION("""COMPUTED_VALUE"""),"Atención Odontológica")</f>
        <v>Atención Odontológica</v>
      </c>
      <c r="F960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60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60" s="42" t="str">
        <f ca="1">IFERROR(__xludf.DUMMYFUNCTION("""COMPUTED_VALUE"""),"AMM Diciembre")</f>
        <v>AMM Diciembre</v>
      </c>
      <c r="I960" s="42" t="str">
        <f ca="1">IFERROR(__xludf.DUMMYFUNCTION("""COMPUTED_VALUE"""),"Diciembre")</f>
        <v>Diciembre</v>
      </c>
      <c r="J960" s="42" t="str">
        <f ca="1">IFERROR(__xludf.DUMMYFUNCTION("""COMPUTED_VALUE"""),"AMM")</f>
        <v>AMM</v>
      </c>
      <c r="K960" s="98"/>
      <c r="L960" s="42" t="str">
        <f ca="1">IFERROR(__xludf.DUMMYFUNCTION("""COMPUTED_VALUE"""),"TRIMESTRE 4")</f>
        <v>TRIMESTRE 4</v>
      </c>
      <c r="M960" s="42" t="str">
        <f ca="1">IFERROR(__xludf.DUMMYFUNCTION("""COMPUTED_VALUE"""),"ADULTA MAYOR MUJER")</f>
        <v>ADULTA MAYOR MUJER</v>
      </c>
    </row>
    <row r="961" spans="1:13">
      <c r="A961" s="42" t="str">
        <f ca="1">IFERROR(__xludf.DUMMYFUNCTION("""COMPUTED_VALUE"""),"2.1.1.8")</f>
        <v>2.1.1.8</v>
      </c>
      <c r="B961" s="42" t="str">
        <f ca="1">IFERROR(__xludf.DUMMYFUNCTION("""COMPUTED_VALUE"""),"Atención Odontológica/Jefatura del Departamento de Salud Bucal/Dirección del Área de Salud y Bienestar/Coord.3. Operación")</f>
        <v>Atención Odontológica/Jefatura del Departamento de Salud Bucal/Dirección del Área de Salud y Bienestar/Coord.3. Operación</v>
      </c>
      <c r="C961" s="42" t="str">
        <f ca="1">IFERROR(__xludf.DUMMYFUNCTION("""COMPUTED_VALUE"""),"3. Operación")</f>
        <v>3. Operación</v>
      </c>
      <c r="D961" s="42" t="str">
        <f ca="1">IFERROR(__xludf.DUMMYFUNCTION("""COMPUTED_VALUE"""),"Guadalajara en Paz")</f>
        <v>Guadalajara en Paz</v>
      </c>
      <c r="E961" s="42" t="str">
        <f ca="1">IFERROR(__xludf.DUMMYFUNCTION("""COMPUTED_VALUE"""),"Atención Odontológica")</f>
        <v>Atención Odontológica</v>
      </c>
      <c r="F961" s="42" t="str">
        <f ca="1">IFERROR(__xludf.DUMMYFUNCTION("""COMPUTED_VALUE"""),"A8C1 Prácticas de autocuidado, prevención y atención a la salud bucal y maxilofacial a través de los servicios otorgados")</f>
        <v>A8C1 Prácticas de autocuidado, prevención y atención a la salud bucal y maxilofacial a través de los servicios otorgados</v>
      </c>
      <c r="G961" s="42" t="str">
        <f ca="1">IFERROR(__xludf.DUMMYFUNCTION("""COMPUTED_VALUE"""),"Porcentaje de atención  de servicios odontológicos y maxilofaciales a la población objetivo, en 2023")</f>
        <v>Porcentaje de atención  de servicios odontológicos y maxilofaciales a la población objetivo, en 2023</v>
      </c>
      <c r="H961" s="42" t="str">
        <f ca="1">IFERROR(__xludf.DUMMYFUNCTION("""COMPUTED_VALUE"""),"AMH Diciembre")</f>
        <v>AMH Diciembre</v>
      </c>
      <c r="I961" s="42" t="str">
        <f ca="1">IFERROR(__xludf.DUMMYFUNCTION("""COMPUTED_VALUE"""),"Diciembre")</f>
        <v>Diciembre</v>
      </c>
      <c r="J961" s="42" t="str">
        <f ca="1">IFERROR(__xludf.DUMMYFUNCTION("""COMPUTED_VALUE"""),"AMH")</f>
        <v>AMH</v>
      </c>
      <c r="K961" s="98"/>
      <c r="L961" s="42" t="str">
        <f ca="1">IFERROR(__xludf.DUMMYFUNCTION("""COMPUTED_VALUE"""),"TRIMESTRE 4")</f>
        <v>TRIMESTRE 4</v>
      </c>
      <c r="M961" s="42" t="str">
        <f ca="1">IFERROR(__xludf.DUMMYFUNCTION("""COMPUTED_VALUE"""),"ADULTO MAYOR HOMBRE")</f>
        <v>ADULTO MAYOR HOMBRE</v>
      </c>
    </row>
    <row r="962" spans="1:13">
      <c r="A962" s="42" t="str">
        <f ca="1">IFERROR(__xludf.DUMMYFUNCTION("""COMPUTED_VALUE"""),"2.1.1.9")</f>
        <v>2.1.1.9</v>
      </c>
      <c r="B962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962" s="42" t="str">
        <f ca="1">IFERROR(__xludf.DUMMYFUNCTION("""COMPUTED_VALUE"""),"3. Operación")</f>
        <v>3. Operación</v>
      </c>
      <c r="D962" s="42" t="str">
        <f ca="1">IFERROR(__xludf.DUMMYFUNCTION("""COMPUTED_VALUE"""),"Guadalajara en Paz")</f>
        <v>Guadalajara en Paz</v>
      </c>
      <c r="E962" s="42" t="str">
        <f ca="1">IFERROR(__xludf.DUMMYFUNCTION("""COMPUTED_VALUE"""),"Atención Psicológica")</f>
        <v>Atención Psicológica</v>
      </c>
      <c r="F962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962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962" s="42" t="str">
        <f ca="1">IFERROR(__xludf.DUMMYFUNCTION("""COMPUTED_VALUE"""),"NAS enero")</f>
        <v>NAS enero</v>
      </c>
      <c r="I962" s="42" t="str">
        <f ca="1">IFERROR(__xludf.DUMMYFUNCTION("""COMPUTED_VALUE"""),"Enero")</f>
        <v>Enero</v>
      </c>
      <c r="J962" s="42" t="str">
        <f ca="1">IFERROR(__xludf.DUMMYFUNCTION("""COMPUTED_VALUE"""),"NAS")</f>
        <v>NAS</v>
      </c>
      <c r="K962" s="98">
        <f ca="1">IFERROR(__xludf.DUMMYFUNCTION("""COMPUTED_VALUE"""),79)</f>
        <v>79</v>
      </c>
      <c r="L962" s="42" t="str">
        <f ca="1">IFERROR(__xludf.DUMMYFUNCTION("""COMPUTED_VALUE"""),"TRIMESTRE 1")</f>
        <v>TRIMESTRE 1</v>
      </c>
      <c r="M962" s="42" t="str">
        <f ca="1">IFERROR(__xludf.DUMMYFUNCTION("""COMPUTED_VALUE"""),"NIÑAS")</f>
        <v>NIÑAS</v>
      </c>
    </row>
    <row r="963" spans="1:13">
      <c r="A963" s="42" t="str">
        <f ca="1">IFERROR(__xludf.DUMMYFUNCTION("""COMPUTED_VALUE"""),"2.1.1.9")</f>
        <v>2.1.1.9</v>
      </c>
      <c r="B963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963" s="42" t="str">
        <f ca="1">IFERROR(__xludf.DUMMYFUNCTION("""COMPUTED_VALUE"""),"3. Operación")</f>
        <v>3. Operación</v>
      </c>
      <c r="D963" s="42" t="str">
        <f ca="1">IFERROR(__xludf.DUMMYFUNCTION("""COMPUTED_VALUE"""),"Guadalajara en Paz")</f>
        <v>Guadalajara en Paz</v>
      </c>
      <c r="E963" s="42" t="str">
        <f ca="1">IFERROR(__xludf.DUMMYFUNCTION("""COMPUTED_VALUE"""),"Atención Psicológica")</f>
        <v>Atención Psicológica</v>
      </c>
      <c r="F963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963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963" s="42" t="str">
        <f ca="1">IFERROR(__xludf.DUMMYFUNCTION("""COMPUTED_VALUE"""),"NOS enero")</f>
        <v>NOS enero</v>
      </c>
      <c r="I963" s="42" t="str">
        <f ca="1">IFERROR(__xludf.DUMMYFUNCTION("""COMPUTED_VALUE"""),"Enero")</f>
        <v>Enero</v>
      </c>
      <c r="J963" s="42" t="str">
        <f ca="1">IFERROR(__xludf.DUMMYFUNCTION("""COMPUTED_VALUE"""),"NOS")</f>
        <v>NOS</v>
      </c>
      <c r="K963" s="98">
        <f ca="1">IFERROR(__xludf.DUMMYFUNCTION("""COMPUTED_VALUE"""),85)</f>
        <v>85</v>
      </c>
      <c r="L963" s="42" t="str">
        <f ca="1">IFERROR(__xludf.DUMMYFUNCTION("""COMPUTED_VALUE"""),"TRIMESTRE 1")</f>
        <v>TRIMESTRE 1</v>
      </c>
      <c r="M963" s="42" t="str">
        <f ca="1">IFERROR(__xludf.DUMMYFUNCTION("""COMPUTED_VALUE"""),"NIÑOS")</f>
        <v>NIÑOS</v>
      </c>
    </row>
    <row r="964" spans="1:13">
      <c r="A964" s="42" t="str">
        <f ca="1">IFERROR(__xludf.DUMMYFUNCTION("""COMPUTED_VALUE"""),"2.1.1.9")</f>
        <v>2.1.1.9</v>
      </c>
      <c r="B964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964" s="42" t="str">
        <f ca="1">IFERROR(__xludf.DUMMYFUNCTION("""COMPUTED_VALUE"""),"3. Operación")</f>
        <v>3. Operación</v>
      </c>
      <c r="D964" s="42" t="str">
        <f ca="1">IFERROR(__xludf.DUMMYFUNCTION("""COMPUTED_VALUE"""),"Guadalajara en Paz")</f>
        <v>Guadalajara en Paz</v>
      </c>
      <c r="E964" s="42" t="str">
        <f ca="1">IFERROR(__xludf.DUMMYFUNCTION("""COMPUTED_VALUE"""),"Atención Psicológica")</f>
        <v>Atención Psicológica</v>
      </c>
      <c r="F964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964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964" s="42" t="str">
        <f ca="1">IFERROR(__xludf.DUMMYFUNCTION("""COMPUTED_VALUE"""),"AM enero")</f>
        <v>AM enero</v>
      </c>
      <c r="I964" s="42" t="str">
        <f ca="1">IFERROR(__xludf.DUMMYFUNCTION("""COMPUTED_VALUE"""),"Enero")</f>
        <v>Enero</v>
      </c>
      <c r="J964" s="42" t="str">
        <f ca="1">IFERROR(__xludf.DUMMYFUNCTION("""COMPUTED_VALUE"""),"AM")</f>
        <v>AM</v>
      </c>
      <c r="K964" s="98">
        <f ca="1">IFERROR(__xludf.DUMMYFUNCTION("""COMPUTED_VALUE"""),77)</f>
        <v>77</v>
      </c>
      <c r="L964" s="42" t="str">
        <f ca="1">IFERROR(__xludf.DUMMYFUNCTION("""COMPUTED_VALUE"""),"TRIMESTRE 1")</f>
        <v>TRIMESTRE 1</v>
      </c>
      <c r="M964" s="42" t="str">
        <f ca="1">IFERROR(__xludf.DUMMYFUNCTION("""COMPUTED_VALUE"""),"ADOLESCENTES MUJERES")</f>
        <v>ADOLESCENTES MUJERES</v>
      </c>
    </row>
    <row r="965" spans="1:13">
      <c r="A965" s="42" t="str">
        <f ca="1">IFERROR(__xludf.DUMMYFUNCTION("""COMPUTED_VALUE"""),"2.1.1.9")</f>
        <v>2.1.1.9</v>
      </c>
      <c r="B965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965" s="42" t="str">
        <f ca="1">IFERROR(__xludf.DUMMYFUNCTION("""COMPUTED_VALUE"""),"3. Operación")</f>
        <v>3. Operación</v>
      </c>
      <c r="D965" s="42" t="str">
        <f ca="1">IFERROR(__xludf.DUMMYFUNCTION("""COMPUTED_VALUE"""),"Guadalajara en Paz")</f>
        <v>Guadalajara en Paz</v>
      </c>
      <c r="E965" s="42" t="str">
        <f ca="1">IFERROR(__xludf.DUMMYFUNCTION("""COMPUTED_VALUE"""),"Atención Psicológica")</f>
        <v>Atención Psicológica</v>
      </c>
      <c r="F965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965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965" s="42" t="str">
        <f ca="1">IFERROR(__xludf.DUMMYFUNCTION("""COMPUTED_VALUE"""),"AH enero")</f>
        <v>AH enero</v>
      </c>
      <c r="I965" s="42" t="str">
        <f ca="1">IFERROR(__xludf.DUMMYFUNCTION("""COMPUTED_VALUE"""),"Enero")</f>
        <v>Enero</v>
      </c>
      <c r="J965" s="42" t="str">
        <f ca="1">IFERROR(__xludf.DUMMYFUNCTION("""COMPUTED_VALUE"""),"AH")</f>
        <v>AH</v>
      </c>
      <c r="K965" s="98">
        <f ca="1">IFERROR(__xludf.DUMMYFUNCTION("""COMPUTED_VALUE"""),37)</f>
        <v>37</v>
      </c>
      <c r="L965" s="42" t="str">
        <f ca="1">IFERROR(__xludf.DUMMYFUNCTION("""COMPUTED_VALUE"""),"TRIMESTRE 1")</f>
        <v>TRIMESTRE 1</v>
      </c>
      <c r="M965" s="42" t="str">
        <f ca="1">IFERROR(__xludf.DUMMYFUNCTION("""COMPUTED_VALUE"""),"ADOLESCENTES HOMBRES")</f>
        <v>ADOLESCENTES HOMBRES</v>
      </c>
    </row>
    <row r="966" spans="1:13">
      <c r="A966" s="42" t="str">
        <f ca="1">IFERROR(__xludf.DUMMYFUNCTION("""COMPUTED_VALUE"""),"2.1.1.9")</f>
        <v>2.1.1.9</v>
      </c>
      <c r="B966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966" s="42" t="str">
        <f ca="1">IFERROR(__xludf.DUMMYFUNCTION("""COMPUTED_VALUE"""),"3. Operación")</f>
        <v>3. Operación</v>
      </c>
      <c r="D966" s="42" t="str">
        <f ca="1">IFERROR(__xludf.DUMMYFUNCTION("""COMPUTED_VALUE"""),"Guadalajara en Paz")</f>
        <v>Guadalajara en Paz</v>
      </c>
      <c r="E966" s="42" t="str">
        <f ca="1">IFERROR(__xludf.DUMMYFUNCTION("""COMPUTED_VALUE"""),"Atención Psicológica")</f>
        <v>Atención Psicológica</v>
      </c>
      <c r="F966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966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966" s="42" t="str">
        <f ca="1">IFERROR(__xludf.DUMMYFUNCTION("""COMPUTED_VALUE"""),"MUJ enero")</f>
        <v>MUJ enero</v>
      </c>
      <c r="I966" s="42" t="str">
        <f ca="1">IFERROR(__xludf.DUMMYFUNCTION("""COMPUTED_VALUE"""),"Enero")</f>
        <v>Enero</v>
      </c>
      <c r="J966" s="42" t="str">
        <f ca="1">IFERROR(__xludf.DUMMYFUNCTION("""COMPUTED_VALUE"""),"MUJ")</f>
        <v>MUJ</v>
      </c>
      <c r="K966" s="98">
        <f ca="1">IFERROR(__xludf.DUMMYFUNCTION("""COMPUTED_VALUE"""),248)</f>
        <v>248</v>
      </c>
      <c r="L966" s="42" t="str">
        <f ca="1">IFERROR(__xludf.DUMMYFUNCTION("""COMPUTED_VALUE"""),"TRIMESTRE 1")</f>
        <v>TRIMESTRE 1</v>
      </c>
      <c r="M966" s="42" t="str">
        <f ca="1">IFERROR(__xludf.DUMMYFUNCTION("""COMPUTED_VALUE"""),"MUJERES ADULTAS")</f>
        <v>MUJERES ADULTAS</v>
      </c>
    </row>
    <row r="967" spans="1:13">
      <c r="A967" s="42" t="str">
        <f ca="1">IFERROR(__xludf.DUMMYFUNCTION("""COMPUTED_VALUE"""),"2.1.1.9")</f>
        <v>2.1.1.9</v>
      </c>
      <c r="B967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967" s="42" t="str">
        <f ca="1">IFERROR(__xludf.DUMMYFUNCTION("""COMPUTED_VALUE"""),"3. Operación")</f>
        <v>3. Operación</v>
      </c>
      <c r="D967" s="42" t="str">
        <f ca="1">IFERROR(__xludf.DUMMYFUNCTION("""COMPUTED_VALUE"""),"Guadalajara en Paz")</f>
        <v>Guadalajara en Paz</v>
      </c>
      <c r="E967" s="42" t="str">
        <f ca="1">IFERROR(__xludf.DUMMYFUNCTION("""COMPUTED_VALUE"""),"Atención Psicológica")</f>
        <v>Atención Psicológica</v>
      </c>
      <c r="F967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967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967" s="42" t="str">
        <f ca="1">IFERROR(__xludf.DUMMYFUNCTION("""COMPUTED_VALUE"""),"HOM enero")</f>
        <v>HOM enero</v>
      </c>
      <c r="I967" s="42" t="str">
        <f ca="1">IFERROR(__xludf.DUMMYFUNCTION("""COMPUTED_VALUE"""),"Enero")</f>
        <v>Enero</v>
      </c>
      <c r="J967" s="42" t="str">
        <f ca="1">IFERROR(__xludf.DUMMYFUNCTION("""COMPUTED_VALUE"""),"HOM")</f>
        <v>HOM</v>
      </c>
      <c r="K967" s="98">
        <f ca="1">IFERROR(__xludf.DUMMYFUNCTION("""COMPUTED_VALUE"""),73)</f>
        <v>73</v>
      </c>
      <c r="L967" s="42" t="str">
        <f ca="1">IFERROR(__xludf.DUMMYFUNCTION("""COMPUTED_VALUE"""),"TRIMESTRE 1")</f>
        <v>TRIMESTRE 1</v>
      </c>
      <c r="M967" s="42" t="str">
        <f ca="1">IFERROR(__xludf.DUMMYFUNCTION("""COMPUTED_VALUE"""),"HOMBRES ADULTOS")</f>
        <v>HOMBRES ADULTOS</v>
      </c>
    </row>
    <row r="968" spans="1:13">
      <c r="A968" s="42" t="str">
        <f ca="1">IFERROR(__xludf.DUMMYFUNCTION("""COMPUTED_VALUE"""),"2.1.1.9")</f>
        <v>2.1.1.9</v>
      </c>
      <c r="B968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968" s="42" t="str">
        <f ca="1">IFERROR(__xludf.DUMMYFUNCTION("""COMPUTED_VALUE"""),"3. Operación")</f>
        <v>3. Operación</v>
      </c>
      <c r="D968" s="42" t="str">
        <f ca="1">IFERROR(__xludf.DUMMYFUNCTION("""COMPUTED_VALUE"""),"Guadalajara en Paz")</f>
        <v>Guadalajara en Paz</v>
      </c>
      <c r="E968" s="42" t="str">
        <f ca="1">IFERROR(__xludf.DUMMYFUNCTION("""COMPUTED_VALUE"""),"Atención Psicológica")</f>
        <v>Atención Psicológica</v>
      </c>
      <c r="F968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968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968" s="42" t="str">
        <f ca="1">IFERROR(__xludf.DUMMYFUNCTION("""COMPUTED_VALUE"""),"AMM enero")</f>
        <v>AMM enero</v>
      </c>
      <c r="I968" s="42" t="str">
        <f ca="1">IFERROR(__xludf.DUMMYFUNCTION("""COMPUTED_VALUE"""),"Enero")</f>
        <v>Enero</v>
      </c>
      <c r="J968" s="42" t="str">
        <f ca="1">IFERROR(__xludf.DUMMYFUNCTION("""COMPUTED_VALUE"""),"AMM")</f>
        <v>AMM</v>
      </c>
      <c r="K968" s="98">
        <f ca="1">IFERROR(__xludf.DUMMYFUNCTION("""COMPUTED_VALUE"""),48)</f>
        <v>48</v>
      </c>
      <c r="L968" s="42" t="str">
        <f ca="1">IFERROR(__xludf.DUMMYFUNCTION("""COMPUTED_VALUE"""),"TRIMESTRE 1")</f>
        <v>TRIMESTRE 1</v>
      </c>
      <c r="M968" s="42" t="str">
        <f ca="1">IFERROR(__xludf.DUMMYFUNCTION("""COMPUTED_VALUE"""),"ADULTA MAYOR MUJER")</f>
        <v>ADULTA MAYOR MUJER</v>
      </c>
    </row>
    <row r="969" spans="1:13">
      <c r="A969" s="42" t="str">
        <f ca="1">IFERROR(__xludf.DUMMYFUNCTION("""COMPUTED_VALUE"""),"2.1.1.9")</f>
        <v>2.1.1.9</v>
      </c>
      <c r="B969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969" s="42" t="str">
        <f ca="1">IFERROR(__xludf.DUMMYFUNCTION("""COMPUTED_VALUE"""),"3. Operación")</f>
        <v>3. Operación</v>
      </c>
      <c r="D969" s="42" t="str">
        <f ca="1">IFERROR(__xludf.DUMMYFUNCTION("""COMPUTED_VALUE"""),"Guadalajara en Paz")</f>
        <v>Guadalajara en Paz</v>
      </c>
      <c r="E969" s="42" t="str">
        <f ca="1">IFERROR(__xludf.DUMMYFUNCTION("""COMPUTED_VALUE"""),"Atención Psicológica")</f>
        <v>Atención Psicológica</v>
      </c>
      <c r="F969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969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969" s="42" t="str">
        <f ca="1">IFERROR(__xludf.DUMMYFUNCTION("""COMPUTED_VALUE"""),"AMH enero")</f>
        <v>AMH enero</v>
      </c>
      <c r="I969" s="42" t="str">
        <f ca="1">IFERROR(__xludf.DUMMYFUNCTION("""COMPUTED_VALUE"""),"Enero")</f>
        <v>Enero</v>
      </c>
      <c r="J969" s="42" t="str">
        <f ca="1">IFERROR(__xludf.DUMMYFUNCTION("""COMPUTED_VALUE"""),"AMH")</f>
        <v>AMH</v>
      </c>
      <c r="K969" s="98">
        <f ca="1">IFERROR(__xludf.DUMMYFUNCTION("""COMPUTED_VALUE"""),7)</f>
        <v>7</v>
      </c>
      <c r="L969" s="42" t="str">
        <f ca="1">IFERROR(__xludf.DUMMYFUNCTION("""COMPUTED_VALUE"""),"TRIMESTRE 1")</f>
        <v>TRIMESTRE 1</v>
      </c>
      <c r="M969" s="42" t="str">
        <f ca="1">IFERROR(__xludf.DUMMYFUNCTION("""COMPUTED_VALUE"""),"ADULTO MAYOR HOMBRE")</f>
        <v>ADULTO MAYOR HOMBRE</v>
      </c>
    </row>
    <row r="970" spans="1:13">
      <c r="A970" s="42" t="str">
        <f ca="1">IFERROR(__xludf.DUMMYFUNCTION("""COMPUTED_VALUE"""),"2.1.1.10")</f>
        <v>2.1.1.10</v>
      </c>
      <c r="B970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970" s="42" t="str">
        <f ca="1">IFERROR(__xludf.DUMMYFUNCTION("""COMPUTED_VALUE"""),"3. Operación")</f>
        <v>3. Operación</v>
      </c>
      <c r="D970" s="42" t="str">
        <f ca="1">IFERROR(__xludf.DUMMYFUNCTION("""COMPUTED_VALUE"""),"Guadalajara en Paz")</f>
        <v>Guadalajara en Paz</v>
      </c>
      <c r="E970" s="42" t="str">
        <f ca="1">IFERROR(__xludf.DUMMYFUNCTION("""COMPUTED_VALUE"""),"Atención Psicológica")</f>
        <v>Atención Psicológica</v>
      </c>
      <c r="F970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970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970" s="42" t="str">
        <f ca="1">IFERROR(__xludf.DUMMYFUNCTION("""COMPUTED_VALUE"""),"NAS enero")</f>
        <v>NAS enero</v>
      </c>
      <c r="I970" s="42" t="str">
        <f ca="1">IFERROR(__xludf.DUMMYFUNCTION("""COMPUTED_VALUE"""),"Enero")</f>
        <v>Enero</v>
      </c>
      <c r="J970" s="42" t="str">
        <f ca="1">IFERROR(__xludf.DUMMYFUNCTION("""COMPUTED_VALUE"""),"NAS")</f>
        <v>NAS</v>
      </c>
      <c r="K970" s="98">
        <f ca="1">IFERROR(__xludf.DUMMYFUNCTION("""COMPUTED_VALUE"""),148)</f>
        <v>148</v>
      </c>
      <c r="L970" s="42" t="str">
        <f ca="1">IFERROR(__xludf.DUMMYFUNCTION("""COMPUTED_VALUE"""),"TRIMESTRE 1")</f>
        <v>TRIMESTRE 1</v>
      </c>
      <c r="M970" s="42" t="str">
        <f ca="1">IFERROR(__xludf.DUMMYFUNCTION("""COMPUTED_VALUE"""),"NIÑAS")</f>
        <v>NIÑAS</v>
      </c>
    </row>
    <row r="971" spans="1:13">
      <c r="A971" s="42" t="str">
        <f ca="1">IFERROR(__xludf.DUMMYFUNCTION("""COMPUTED_VALUE"""),"2.1.1.10")</f>
        <v>2.1.1.10</v>
      </c>
      <c r="B971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971" s="42" t="str">
        <f ca="1">IFERROR(__xludf.DUMMYFUNCTION("""COMPUTED_VALUE"""),"3. Operación")</f>
        <v>3. Operación</v>
      </c>
      <c r="D971" s="42" t="str">
        <f ca="1">IFERROR(__xludf.DUMMYFUNCTION("""COMPUTED_VALUE"""),"Guadalajara en Paz")</f>
        <v>Guadalajara en Paz</v>
      </c>
      <c r="E971" s="42" t="str">
        <f ca="1">IFERROR(__xludf.DUMMYFUNCTION("""COMPUTED_VALUE"""),"Atención Psicológica")</f>
        <v>Atención Psicológica</v>
      </c>
      <c r="F971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971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971" s="42" t="str">
        <f ca="1">IFERROR(__xludf.DUMMYFUNCTION("""COMPUTED_VALUE"""),"NOS enero")</f>
        <v>NOS enero</v>
      </c>
      <c r="I971" s="42" t="str">
        <f ca="1">IFERROR(__xludf.DUMMYFUNCTION("""COMPUTED_VALUE"""),"Enero")</f>
        <v>Enero</v>
      </c>
      <c r="J971" s="42" t="str">
        <f ca="1">IFERROR(__xludf.DUMMYFUNCTION("""COMPUTED_VALUE"""),"NOS")</f>
        <v>NOS</v>
      </c>
      <c r="K971" s="98">
        <f ca="1">IFERROR(__xludf.DUMMYFUNCTION("""COMPUTED_VALUE"""),159)</f>
        <v>159</v>
      </c>
      <c r="L971" s="42" t="str">
        <f ca="1">IFERROR(__xludf.DUMMYFUNCTION("""COMPUTED_VALUE"""),"TRIMESTRE 1")</f>
        <v>TRIMESTRE 1</v>
      </c>
      <c r="M971" s="42" t="str">
        <f ca="1">IFERROR(__xludf.DUMMYFUNCTION("""COMPUTED_VALUE"""),"NIÑOS")</f>
        <v>NIÑOS</v>
      </c>
    </row>
    <row r="972" spans="1:13">
      <c r="A972" s="42" t="str">
        <f ca="1">IFERROR(__xludf.DUMMYFUNCTION("""COMPUTED_VALUE"""),"2.1.1.10")</f>
        <v>2.1.1.10</v>
      </c>
      <c r="B972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972" s="42" t="str">
        <f ca="1">IFERROR(__xludf.DUMMYFUNCTION("""COMPUTED_VALUE"""),"3. Operación")</f>
        <v>3. Operación</v>
      </c>
      <c r="D972" s="42" t="str">
        <f ca="1">IFERROR(__xludf.DUMMYFUNCTION("""COMPUTED_VALUE"""),"Guadalajara en Paz")</f>
        <v>Guadalajara en Paz</v>
      </c>
      <c r="E972" s="42" t="str">
        <f ca="1">IFERROR(__xludf.DUMMYFUNCTION("""COMPUTED_VALUE"""),"Atención Psicológica")</f>
        <v>Atención Psicológica</v>
      </c>
      <c r="F972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972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972" s="42" t="str">
        <f ca="1">IFERROR(__xludf.DUMMYFUNCTION("""COMPUTED_VALUE"""),"AM enero")</f>
        <v>AM enero</v>
      </c>
      <c r="I972" s="42" t="str">
        <f ca="1">IFERROR(__xludf.DUMMYFUNCTION("""COMPUTED_VALUE"""),"Enero")</f>
        <v>Enero</v>
      </c>
      <c r="J972" s="42" t="str">
        <f ca="1">IFERROR(__xludf.DUMMYFUNCTION("""COMPUTED_VALUE"""),"AM")</f>
        <v>AM</v>
      </c>
      <c r="K972" s="98">
        <f ca="1">IFERROR(__xludf.DUMMYFUNCTION("""COMPUTED_VALUE"""),155)</f>
        <v>155</v>
      </c>
      <c r="L972" s="42" t="str">
        <f ca="1">IFERROR(__xludf.DUMMYFUNCTION("""COMPUTED_VALUE"""),"TRIMESTRE 1")</f>
        <v>TRIMESTRE 1</v>
      </c>
      <c r="M972" s="42" t="str">
        <f ca="1">IFERROR(__xludf.DUMMYFUNCTION("""COMPUTED_VALUE"""),"ADOLESCENTES MUJERES")</f>
        <v>ADOLESCENTES MUJERES</v>
      </c>
    </row>
    <row r="973" spans="1:13">
      <c r="A973" s="42" t="str">
        <f ca="1">IFERROR(__xludf.DUMMYFUNCTION("""COMPUTED_VALUE"""),"2.1.1.10")</f>
        <v>2.1.1.10</v>
      </c>
      <c r="B973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973" s="42" t="str">
        <f ca="1">IFERROR(__xludf.DUMMYFUNCTION("""COMPUTED_VALUE"""),"3. Operación")</f>
        <v>3. Operación</v>
      </c>
      <c r="D973" s="42" t="str">
        <f ca="1">IFERROR(__xludf.DUMMYFUNCTION("""COMPUTED_VALUE"""),"Guadalajara en Paz")</f>
        <v>Guadalajara en Paz</v>
      </c>
      <c r="E973" s="42" t="str">
        <f ca="1">IFERROR(__xludf.DUMMYFUNCTION("""COMPUTED_VALUE"""),"Atención Psicológica")</f>
        <v>Atención Psicológica</v>
      </c>
      <c r="F973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973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973" s="42" t="str">
        <f ca="1">IFERROR(__xludf.DUMMYFUNCTION("""COMPUTED_VALUE"""),"AH enero")</f>
        <v>AH enero</v>
      </c>
      <c r="I973" s="42" t="str">
        <f ca="1">IFERROR(__xludf.DUMMYFUNCTION("""COMPUTED_VALUE"""),"Enero")</f>
        <v>Enero</v>
      </c>
      <c r="J973" s="42" t="str">
        <f ca="1">IFERROR(__xludf.DUMMYFUNCTION("""COMPUTED_VALUE"""),"AH")</f>
        <v>AH</v>
      </c>
      <c r="K973" s="98">
        <f ca="1">IFERROR(__xludf.DUMMYFUNCTION("""COMPUTED_VALUE"""),85)</f>
        <v>85</v>
      </c>
      <c r="L973" s="42" t="str">
        <f ca="1">IFERROR(__xludf.DUMMYFUNCTION("""COMPUTED_VALUE"""),"TRIMESTRE 1")</f>
        <v>TRIMESTRE 1</v>
      </c>
      <c r="M973" s="42" t="str">
        <f ca="1">IFERROR(__xludf.DUMMYFUNCTION("""COMPUTED_VALUE"""),"ADOLESCENTES HOMBRES")</f>
        <v>ADOLESCENTES HOMBRES</v>
      </c>
    </row>
    <row r="974" spans="1:13">
      <c r="A974" s="42" t="str">
        <f ca="1">IFERROR(__xludf.DUMMYFUNCTION("""COMPUTED_VALUE"""),"2.1.1.10")</f>
        <v>2.1.1.10</v>
      </c>
      <c r="B974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974" s="42" t="str">
        <f ca="1">IFERROR(__xludf.DUMMYFUNCTION("""COMPUTED_VALUE"""),"3. Operación")</f>
        <v>3. Operación</v>
      </c>
      <c r="D974" s="42" t="str">
        <f ca="1">IFERROR(__xludf.DUMMYFUNCTION("""COMPUTED_VALUE"""),"Guadalajara en Paz")</f>
        <v>Guadalajara en Paz</v>
      </c>
      <c r="E974" s="42" t="str">
        <f ca="1">IFERROR(__xludf.DUMMYFUNCTION("""COMPUTED_VALUE"""),"Atención Psicológica")</f>
        <v>Atención Psicológica</v>
      </c>
      <c r="F974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974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974" s="42" t="str">
        <f ca="1">IFERROR(__xludf.DUMMYFUNCTION("""COMPUTED_VALUE"""),"MUJ enero")</f>
        <v>MUJ enero</v>
      </c>
      <c r="I974" s="42" t="str">
        <f ca="1">IFERROR(__xludf.DUMMYFUNCTION("""COMPUTED_VALUE"""),"Enero")</f>
        <v>Enero</v>
      </c>
      <c r="J974" s="42" t="str">
        <f ca="1">IFERROR(__xludf.DUMMYFUNCTION("""COMPUTED_VALUE"""),"MUJ")</f>
        <v>MUJ</v>
      </c>
      <c r="K974" s="98">
        <f ca="1">IFERROR(__xludf.DUMMYFUNCTION("""COMPUTED_VALUE"""),510)</f>
        <v>510</v>
      </c>
      <c r="L974" s="42" t="str">
        <f ca="1">IFERROR(__xludf.DUMMYFUNCTION("""COMPUTED_VALUE"""),"TRIMESTRE 1")</f>
        <v>TRIMESTRE 1</v>
      </c>
      <c r="M974" s="42" t="str">
        <f ca="1">IFERROR(__xludf.DUMMYFUNCTION("""COMPUTED_VALUE"""),"MUJERES ADULTAS")</f>
        <v>MUJERES ADULTAS</v>
      </c>
    </row>
    <row r="975" spans="1:13">
      <c r="A975" s="42" t="str">
        <f ca="1">IFERROR(__xludf.DUMMYFUNCTION("""COMPUTED_VALUE"""),"2.1.1.10")</f>
        <v>2.1.1.10</v>
      </c>
      <c r="B975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975" s="42" t="str">
        <f ca="1">IFERROR(__xludf.DUMMYFUNCTION("""COMPUTED_VALUE"""),"3. Operación")</f>
        <v>3. Operación</v>
      </c>
      <c r="D975" s="42" t="str">
        <f ca="1">IFERROR(__xludf.DUMMYFUNCTION("""COMPUTED_VALUE"""),"Guadalajara en Paz")</f>
        <v>Guadalajara en Paz</v>
      </c>
      <c r="E975" s="42" t="str">
        <f ca="1">IFERROR(__xludf.DUMMYFUNCTION("""COMPUTED_VALUE"""),"Atención Psicológica")</f>
        <v>Atención Psicológica</v>
      </c>
      <c r="F975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975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975" s="42" t="str">
        <f ca="1">IFERROR(__xludf.DUMMYFUNCTION("""COMPUTED_VALUE"""),"HOM enero")</f>
        <v>HOM enero</v>
      </c>
      <c r="I975" s="42" t="str">
        <f ca="1">IFERROR(__xludf.DUMMYFUNCTION("""COMPUTED_VALUE"""),"Enero")</f>
        <v>Enero</v>
      </c>
      <c r="J975" s="42" t="str">
        <f ca="1">IFERROR(__xludf.DUMMYFUNCTION("""COMPUTED_VALUE"""),"HOM")</f>
        <v>HOM</v>
      </c>
      <c r="K975" s="98">
        <f ca="1">IFERROR(__xludf.DUMMYFUNCTION("""COMPUTED_VALUE"""),149)</f>
        <v>149</v>
      </c>
      <c r="L975" s="42" t="str">
        <f ca="1">IFERROR(__xludf.DUMMYFUNCTION("""COMPUTED_VALUE"""),"TRIMESTRE 1")</f>
        <v>TRIMESTRE 1</v>
      </c>
      <c r="M975" s="42" t="str">
        <f ca="1">IFERROR(__xludf.DUMMYFUNCTION("""COMPUTED_VALUE"""),"HOMBRES ADULTOS")</f>
        <v>HOMBRES ADULTOS</v>
      </c>
    </row>
    <row r="976" spans="1:13">
      <c r="A976" s="42" t="str">
        <f ca="1">IFERROR(__xludf.DUMMYFUNCTION("""COMPUTED_VALUE"""),"2.1.1.10")</f>
        <v>2.1.1.10</v>
      </c>
      <c r="B976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976" s="42" t="str">
        <f ca="1">IFERROR(__xludf.DUMMYFUNCTION("""COMPUTED_VALUE"""),"3. Operación")</f>
        <v>3. Operación</v>
      </c>
      <c r="D976" s="42" t="str">
        <f ca="1">IFERROR(__xludf.DUMMYFUNCTION("""COMPUTED_VALUE"""),"Guadalajara en Paz")</f>
        <v>Guadalajara en Paz</v>
      </c>
      <c r="E976" s="42" t="str">
        <f ca="1">IFERROR(__xludf.DUMMYFUNCTION("""COMPUTED_VALUE"""),"Atención Psicológica")</f>
        <v>Atención Psicológica</v>
      </c>
      <c r="F976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976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976" s="42" t="str">
        <f ca="1">IFERROR(__xludf.DUMMYFUNCTION("""COMPUTED_VALUE"""),"AMM enero")</f>
        <v>AMM enero</v>
      </c>
      <c r="I976" s="42" t="str">
        <f ca="1">IFERROR(__xludf.DUMMYFUNCTION("""COMPUTED_VALUE"""),"Enero")</f>
        <v>Enero</v>
      </c>
      <c r="J976" s="42" t="str">
        <f ca="1">IFERROR(__xludf.DUMMYFUNCTION("""COMPUTED_VALUE"""),"AMM")</f>
        <v>AMM</v>
      </c>
      <c r="K976" s="98">
        <f ca="1">IFERROR(__xludf.DUMMYFUNCTION("""COMPUTED_VALUE"""),111)</f>
        <v>111</v>
      </c>
      <c r="L976" s="42" t="str">
        <f ca="1">IFERROR(__xludf.DUMMYFUNCTION("""COMPUTED_VALUE"""),"TRIMESTRE 1")</f>
        <v>TRIMESTRE 1</v>
      </c>
      <c r="M976" s="42" t="str">
        <f ca="1">IFERROR(__xludf.DUMMYFUNCTION("""COMPUTED_VALUE"""),"ADULTA MAYOR MUJER")</f>
        <v>ADULTA MAYOR MUJER</v>
      </c>
    </row>
    <row r="977" spans="1:13">
      <c r="A977" s="42" t="str">
        <f ca="1">IFERROR(__xludf.DUMMYFUNCTION("""COMPUTED_VALUE"""),"2.1.1.10")</f>
        <v>2.1.1.10</v>
      </c>
      <c r="B977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977" s="42" t="str">
        <f ca="1">IFERROR(__xludf.DUMMYFUNCTION("""COMPUTED_VALUE"""),"3. Operación")</f>
        <v>3. Operación</v>
      </c>
      <c r="D977" s="42" t="str">
        <f ca="1">IFERROR(__xludf.DUMMYFUNCTION("""COMPUTED_VALUE"""),"Guadalajara en Paz")</f>
        <v>Guadalajara en Paz</v>
      </c>
      <c r="E977" s="42" t="str">
        <f ca="1">IFERROR(__xludf.DUMMYFUNCTION("""COMPUTED_VALUE"""),"Atención Psicológica")</f>
        <v>Atención Psicológica</v>
      </c>
      <c r="F977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977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977" s="42" t="str">
        <f ca="1">IFERROR(__xludf.DUMMYFUNCTION("""COMPUTED_VALUE"""),"AMH enero")</f>
        <v>AMH enero</v>
      </c>
      <c r="I977" s="42" t="str">
        <f ca="1">IFERROR(__xludf.DUMMYFUNCTION("""COMPUTED_VALUE"""),"Enero")</f>
        <v>Enero</v>
      </c>
      <c r="J977" s="42" t="str">
        <f ca="1">IFERROR(__xludf.DUMMYFUNCTION("""COMPUTED_VALUE"""),"AMH")</f>
        <v>AMH</v>
      </c>
      <c r="K977" s="98">
        <f ca="1">IFERROR(__xludf.DUMMYFUNCTION("""COMPUTED_VALUE"""),19)</f>
        <v>19</v>
      </c>
      <c r="L977" s="42" t="str">
        <f ca="1">IFERROR(__xludf.DUMMYFUNCTION("""COMPUTED_VALUE"""),"TRIMESTRE 1")</f>
        <v>TRIMESTRE 1</v>
      </c>
      <c r="M977" s="42" t="str">
        <f ca="1">IFERROR(__xludf.DUMMYFUNCTION("""COMPUTED_VALUE"""),"ADULTO MAYOR HOMBRE")</f>
        <v>ADULTO MAYOR HOMBRE</v>
      </c>
    </row>
    <row r="978" spans="1:13">
      <c r="A978" s="42" t="str">
        <f ca="1">IFERROR(__xludf.DUMMYFUNCTION("""COMPUTED_VALUE"""),"2.1.1.9")</f>
        <v>2.1.1.9</v>
      </c>
      <c r="B978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978" s="42" t="str">
        <f ca="1">IFERROR(__xludf.DUMMYFUNCTION("""COMPUTED_VALUE"""),"3. Operación")</f>
        <v>3. Operación</v>
      </c>
      <c r="D978" s="42" t="str">
        <f ca="1">IFERROR(__xludf.DUMMYFUNCTION("""COMPUTED_VALUE"""),"Guadalajara en Paz")</f>
        <v>Guadalajara en Paz</v>
      </c>
      <c r="E978" s="42" t="str">
        <f ca="1">IFERROR(__xludf.DUMMYFUNCTION("""COMPUTED_VALUE"""),"Atención Psicológica")</f>
        <v>Atención Psicológica</v>
      </c>
      <c r="F978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978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978" s="42" t="str">
        <f ca="1">IFERROR(__xludf.DUMMYFUNCTION("""COMPUTED_VALUE"""),"NAS Febrero")</f>
        <v>NAS Febrero</v>
      </c>
      <c r="I978" s="42" t="str">
        <f ca="1">IFERROR(__xludf.DUMMYFUNCTION("""COMPUTED_VALUE"""),"Febrero")</f>
        <v>Febrero</v>
      </c>
      <c r="J978" s="42" t="str">
        <f ca="1">IFERROR(__xludf.DUMMYFUNCTION("""COMPUTED_VALUE"""),"NAS")</f>
        <v>NAS</v>
      </c>
      <c r="K978" s="98">
        <f ca="1">IFERROR(__xludf.DUMMYFUNCTION("""COMPUTED_VALUE"""),90)</f>
        <v>90</v>
      </c>
      <c r="L978" s="42" t="str">
        <f ca="1">IFERROR(__xludf.DUMMYFUNCTION("""COMPUTED_VALUE"""),"TRIMESTRE 1")</f>
        <v>TRIMESTRE 1</v>
      </c>
      <c r="M978" s="42" t="str">
        <f ca="1">IFERROR(__xludf.DUMMYFUNCTION("""COMPUTED_VALUE"""),"NIÑAS")</f>
        <v>NIÑAS</v>
      </c>
    </row>
    <row r="979" spans="1:13">
      <c r="A979" s="42" t="str">
        <f ca="1">IFERROR(__xludf.DUMMYFUNCTION("""COMPUTED_VALUE"""),"2.1.1.9")</f>
        <v>2.1.1.9</v>
      </c>
      <c r="B979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979" s="42" t="str">
        <f ca="1">IFERROR(__xludf.DUMMYFUNCTION("""COMPUTED_VALUE"""),"3. Operación")</f>
        <v>3. Operación</v>
      </c>
      <c r="D979" s="42" t="str">
        <f ca="1">IFERROR(__xludf.DUMMYFUNCTION("""COMPUTED_VALUE"""),"Guadalajara en Paz")</f>
        <v>Guadalajara en Paz</v>
      </c>
      <c r="E979" s="42" t="str">
        <f ca="1">IFERROR(__xludf.DUMMYFUNCTION("""COMPUTED_VALUE"""),"Atención Psicológica")</f>
        <v>Atención Psicológica</v>
      </c>
      <c r="F979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979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979" s="42" t="str">
        <f ca="1">IFERROR(__xludf.DUMMYFUNCTION("""COMPUTED_VALUE"""),"NOS Febrero")</f>
        <v>NOS Febrero</v>
      </c>
      <c r="I979" s="42" t="str">
        <f ca="1">IFERROR(__xludf.DUMMYFUNCTION("""COMPUTED_VALUE"""),"Febrero")</f>
        <v>Febrero</v>
      </c>
      <c r="J979" s="42" t="str">
        <f ca="1">IFERROR(__xludf.DUMMYFUNCTION("""COMPUTED_VALUE"""),"NOS")</f>
        <v>NOS</v>
      </c>
      <c r="K979" s="98">
        <f ca="1">IFERROR(__xludf.DUMMYFUNCTION("""COMPUTED_VALUE"""),129)</f>
        <v>129</v>
      </c>
      <c r="L979" s="42" t="str">
        <f ca="1">IFERROR(__xludf.DUMMYFUNCTION("""COMPUTED_VALUE"""),"TRIMESTRE 1")</f>
        <v>TRIMESTRE 1</v>
      </c>
      <c r="M979" s="42" t="str">
        <f ca="1">IFERROR(__xludf.DUMMYFUNCTION("""COMPUTED_VALUE"""),"NIÑOS")</f>
        <v>NIÑOS</v>
      </c>
    </row>
    <row r="980" spans="1:13">
      <c r="A980" s="42" t="str">
        <f ca="1">IFERROR(__xludf.DUMMYFUNCTION("""COMPUTED_VALUE"""),"2.1.1.9")</f>
        <v>2.1.1.9</v>
      </c>
      <c r="B980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980" s="42" t="str">
        <f ca="1">IFERROR(__xludf.DUMMYFUNCTION("""COMPUTED_VALUE"""),"3. Operación")</f>
        <v>3. Operación</v>
      </c>
      <c r="D980" s="42" t="str">
        <f ca="1">IFERROR(__xludf.DUMMYFUNCTION("""COMPUTED_VALUE"""),"Guadalajara en Paz")</f>
        <v>Guadalajara en Paz</v>
      </c>
      <c r="E980" s="42" t="str">
        <f ca="1">IFERROR(__xludf.DUMMYFUNCTION("""COMPUTED_VALUE"""),"Atención Psicológica")</f>
        <v>Atención Psicológica</v>
      </c>
      <c r="F980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980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980" s="42" t="str">
        <f ca="1">IFERROR(__xludf.DUMMYFUNCTION("""COMPUTED_VALUE"""),"AM FEBRERO")</f>
        <v>AM FEBRERO</v>
      </c>
      <c r="I980" s="42" t="str">
        <f ca="1">IFERROR(__xludf.DUMMYFUNCTION("""COMPUTED_VALUE"""),"Febrero")</f>
        <v>Febrero</v>
      </c>
      <c r="J980" s="42" t="str">
        <f ca="1">IFERROR(__xludf.DUMMYFUNCTION("""COMPUTED_VALUE"""),"AM")</f>
        <v>AM</v>
      </c>
      <c r="K980" s="98">
        <f ca="1">IFERROR(__xludf.DUMMYFUNCTION("""COMPUTED_VALUE"""),94)</f>
        <v>94</v>
      </c>
      <c r="L980" s="42" t="str">
        <f ca="1">IFERROR(__xludf.DUMMYFUNCTION("""COMPUTED_VALUE"""),"TRIMESTRE 1")</f>
        <v>TRIMESTRE 1</v>
      </c>
      <c r="M980" s="42" t="str">
        <f ca="1">IFERROR(__xludf.DUMMYFUNCTION("""COMPUTED_VALUE"""),"ADOLESCENTES MUJERES")</f>
        <v>ADOLESCENTES MUJERES</v>
      </c>
    </row>
    <row r="981" spans="1:13">
      <c r="A981" s="42" t="str">
        <f ca="1">IFERROR(__xludf.DUMMYFUNCTION("""COMPUTED_VALUE"""),"2.1.1.9")</f>
        <v>2.1.1.9</v>
      </c>
      <c r="B981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981" s="42" t="str">
        <f ca="1">IFERROR(__xludf.DUMMYFUNCTION("""COMPUTED_VALUE"""),"3. Operación")</f>
        <v>3. Operación</v>
      </c>
      <c r="D981" s="42" t="str">
        <f ca="1">IFERROR(__xludf.DUMMYFUNCTION("""COMPUTED_VALUE"""),"Guadalajara en Paz")</f>
        <v>Guadalajara en Paz</v>
      </c>
      <c r="E981" s="42" t="str">
        <f ca="1">IFERROR(__xludf.DUMMYFUNCTION("""COMPUTED_VALUE"""),"Atención Psicológica")</f>
        <v>Atención Psicológica</v>
      </c>
      <c r="F981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981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981" s="42" t="str">
        <f ca="1">IFERROR(__xludf.DUMMYFUNCTION("""COMPUTED_VALUE"""),"AH FEBRERO")</f>
        <v>AH FEBRERO</v>
      </c>
      <c r="I981" s="42" t="str">
        <f ca="1">IFERROR(__xludf.DUMMYFUNCTION("""COMPUTED_VALUE"""),"Febrero")</f>
        <v>Febrero</v>
      </c>
      <c r="J981" s="42" t="str">
        <f ca="1">IFERROR(__xludf.DUMMYFUNCTION("""COMPUTED_VALUE"""),"AH")</f>
        <v>AH</v>
      </c>
      <c r="K981" s="98">
        <f ca="1">IFERROR(__xludf.DUMMYFUNCTION("""COMPUTED_VALUE"""),62)</f>
        <v>62</v>
      </c>
      <c r="L981" s="42" t="str">
        <f ca="1">IFERROR(__xludf.DUMMYFUNCTION("""COMPUTED_VALUE"""),"TRIMESTRE 1")</f>
        <v>TRIMESTRE 1</v>
      </c>
      <c r="M981" s="42" t="str">
        <f ca="1">IFERROR(__xludf.DUMMYFUNCTION("""COMPUTED_VALUE"""),"ADOLESCENTES HOMBRES")</f>
        <v>ADOLESCENTES HOMBRES</v>
      </c>
    </row>
    <row r="982" spans="1:13">
      <c r="A982" s="42" t="str">
        <f ca="1">IFERROR(__xludf.DUMMYFUNCTION("""COMPUTED_VALUE"""),"2.1.1.9")</f>
        <v>2.1.1.9</v>
      </c>
      <c r="B982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982" s="42" t="str">
        <f ca="1">IFERROR(__xludf.DUMMYFUNCTION("""COMPUTED_VALUE"""),"3. Operación")</f>
        <v>3. Operación</v>
      </c>
      <c r="D982" s="42" t="str">
        <f ca="1">IFERROR(__xludf.DUMMYFUNCTION("""COMPUTED_VALUE"""),"Guadalajara en Paz")</f>
        <v>Guadalajara en Paz</v>
      </c>
      <c r="E982" s="42" t="str">
        <f ca="1">IFERROR(__xludf.DUMMYFUNCTION("""COMPUTED_VALUE"""),"Atención Psicológica")</f>
        <v>Atención Psicológica</v>
      </c>
      <c r="F982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982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982" s="42" t="str">
        <f ca="1">IFERROR(__xludf.DUMMYFUNCTION("""COMPUTED_VALUE"""),"MUJ Febrero")</f>
        <v>MUJ Febrero</v>
      </c>
      <c r="I982" s="42" t="str">
        <f ca="1">IFERROR(__xludf.DUMMYFUNCTION("""COMPUTED_VALUE"""),"Febrero")</f>
        <v>Febrero</v>
      </c>
      <c r="J982" s="42" t="str">
        <f ca="1">IFERROR(__xludf.DUMMYFUNCTION("""COMPUTED_VALUE"""),"MUJ")</f>
        <v>MUJ</v>
      </c>
      <c r="K982" s="98">
        <f ca="1">IFERROR(__xludf.DUMMYFUNCTION("""COMPUTED_VALUE"""),350)</f>
        <v>350</v>
      </c>
      <c r="L982" s="42" t="str">
        <f ca="1">IFERROR(__xludf.DUMMYFUNCTION("""COMPUTED_VALUE"""),"TRIMESTRE 1")</f>
        <v>TRIMESTRE 1</v>
      </c>
      <c r="M982" s="42" t="str">
        <f ca="1">IFERROR(__xludf.DUMMYFUNCTION("""COMPUTED_VALUE"""),"MUJERES ADULTAS")</f>
        <v>MUJERES ADULTAS</v>
      </c>
    </row>
    <row r="983" spans="1:13">
      <c r="A983" s="42" t="str">
        <f ca="1">IFERROR(__xludf.DUMMYFUNCTION("""COMPUTED_VALUE"""),"2.1.1.9")</f>
        <v>2.1.1.9</v>
      </c>
      <c r="B983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983" s="42" t="str">
        <f ca="1">IFERROR(__xludf.DUMMYFUNCTION("""COMPUTED_VALUE"""),"3. Operación")</f>
        <v>3. Operación</v>
      </c>
      <c r="D983" s="42" t="str">
        <f ca="1">IFERROR(__xludf.DUMMYFUNCTION("""COMPUTED_VALUE"""),"Guadalajara en Paz")</f>
        <v>Guadalajara en Paz</v>
      </c>
      <c r="E983" s="42" t="str">
        <f ca="1">IFERROR(__xludf.DUMMYFUNCTION("""COMPUTED_VALUE"""),"Atención Psicológica")</f>
        <v>Atención Psicológica</v>
      </c>
      <c r="F983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983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983" s="42" t="str">
        <f ca="1">IFERROR(__xludf.DUMMYFUNCTION("""COMPUTED_VALUE"""),"HOM Febrero")</f>
        <v>HOM Febrero</v>
      </c>
      <c r="I983" s="42" t="str">
        <f ca="1">IFERROR(__xludf.DUMMYFUNCTION("""COMPUTED_VALUE"""),"Febrero")</f>
        <v>Febrero</v>
      </c>
      <c r="J983" s="42" t="str">
        <f ca="1">IFERROR(__xludf.DUMMYFUNCTION("""COMPUTED_VALUE"""),"HOM")</f>
        <v>HOM</v>
      </c>
      <c r="K983" s="98">
        <f ca="1">IFERROR(__xludf.DUMMYFUNCTION("""COMPUTED_VALUE"""),122)</f>
        <v>122</v>
      </c>
      <c r="L983" s="42" t="str">
        <f ca="1">IFERROR(__xludf.DUMMYFUNCTION("""COMPUTED_VALUE"""),"TRIMESTRE 1")</f>
        <v>TRIMESTRE 1</v>
      </c>
      <c r="M983" s="42" t="str">
        <f ca="1">IFERROR(__xludf.DUMMYFUNCTION("""COMPUTED_VALUE"""),"HOMBRES ADULTOS")</f>
        <v>HOMBRES ADULTOS</v>
      </c>
    </row>
    <row r="984" spans="1:13">
      <c r="A984" s="42" t="str">
        <f ca="1">IFERROR(__xludf.DUMMYFUNCTION("""COMPUTED_VALUE"""),"2.1.1.9")</f>
        <v>2.1.1.9</v>
      </c>
      <c r="B984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984" s="42" t="str">
        <f ca="1">IFERROR(__xludf.DUMMYFUNCTION("""COMPUTED_VALUE"""),"3. Operación")</f>
        <v>3. Operación</v>
      </c>
      <c r="D984" s="42" t="str">
        <f ca="1">IFERROR(__xludf.DUMMYFUNCTION("""COMPUTED_VALUE"""),"Guadalajara en Paz")</f>
        <v>Guadalajara en Paz</v>
      </c>
      <c r="E984" s="42" t="str">
        <f ca="1">IFERROR(__xludf.DUMMYFUNCTION("""COMPUTED_VALUE"""),"Atención Psicológica")</f>
        <v>Atención Psicológica</v>
      </c>
      <c r="F984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984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984" s="42" t="str">
        <f ca="1">IFERROR(__xludf.DUMMYFUNCTION("""COMPUTED_VALUE"""),"AMM Febrero")</f>
        <v>AMM Febrero</v>
      </c>
      <c r="I984" s="42" t="str">
        <f ca="1">IFERROR(__xludf.DUMMYFUNCTION("""COMPUTED_VALUE"""),"Febrero")</f>
        <v>Febrero</v>
      </c>
      <c r="J984" s="42" t="str">
        <f ca="1">IFERROR(__xludf.DUMMYFUNCTION("""COMPUTED_VALUE"""),"AMM")</f>
        <v>AMM</v>
      </c>
      <c r="K984" s="98">
        <f ca="1">IFERROR(__xludf.DUMMYFUNCTION("""COMPUTED_VALUE"""),55)</f>
        <v>55</v>
      </c>
      <c r="L984" s="42" t="str">
        <f ca="1">IFERROR(__xludf.DUMMYFUNCTION("""COMPUTED_VALUE"""),"TRIMESTRE 1")</f>
        <v>TRIMESTRE 1</v>
      </c>
      <c r="M984" s="42" t="str">
        <f ca="1">IFERROR(__xludf.DUMMYFUNCTION("""COMPUTED_VALUE"""),"ADULTA MAYOR MUJER")</f>
        <v>ADULTA MAYOR MUJER</v>
      </c>
    </row>
    <row r="985" spans="1:13">
      <c r="A985" s="42" t="str">
        <f ca="1">IFERROR(__xludf.DUMMYFUNCTION("""COMPUTED_VALUE"""),"2.1.1.9")</f>
        <v>2.1.1.9</v>
      </c>
      <c r="B985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985" s="42" t="str">
        <f ca="1">IFERROR(__xludf.DUMMYFUNCTION("""COMPUTED_VALUE"""),"3. Operación")</f>
        <v>3. Operación</v>
      </c>
      <c r="D985" s="42" t="str">
        <f ca="1">IFERROR(__xludf.DUMMYFUNCTION("""COMPUTED_VALUE"""),"Guadalajara en Paz")</f>
        <v>Guadalajara en Paz</v>
      </c>
      <c r="E985" s="42" t="str">
        <f ca="1">IFERROR(__xludf.DUMMYFUNCTION("""COMPUTED_VALUE"""),"Atención Psicológica")</f>
        <v>Atención Psicológica</v>
      </c>
      <c r="F985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985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985" s="42" t="str">
        <f ca="1">IFERROR(__xludf.DUMMYFUNCTION("""COMPUTED_VALUE"""),"AMH Febrero")</f>
        <v>AMH Febrero</v>
      </c>
      <c r="I985" s="42" t="str">
        <f ca="1">IFERROR(__xludf.DUMMYFUNCTION("""COMPUTED_VALUE"""),"Febrero")</f>
        <v>Febrero</v>
      </c>
      <c r="J985" s="42" t="str">
        <f ca="1">IFERROR(__xludf.DUMMYFUNCTION("""COMPUTED_VALUE"""),"AMH")</f>
        <v>AMH</v>
      </c>
      <c r="K985" s="98">
        <f ca="1">IFERROR(__xludf.DUMMYFUNCTION("""COMPUTED_VALUE"""),12)</f>
        <v>12</v>
      </c>
      <c r="L985" s="42" t="str">
        <f ca="1">IFERROR(__xludf.DUMMYFUNCTION("""COMPUTED_VALUE"""),"TRIMESTRE 1")</f>
        <v>TRIMESTRE 1</v>
      </c>
      <c r="M985" s="42" t="str">
        <f ca="1">IFERROR(__xludf.DUMMYFUNCTION("""COMPUTED_VALUE"""),"ADULTO MAYOR HOMBRE")</f>
        <v>ADULTO MAYOR HOMBRE</v>
      </c>
    </row>
    <row r="986" spans="1:13">
      <c r="A986" s="42" t="str">
        <f ca="1">IFERROR(__xludf.DUMMYFUNCTION("""COMPUTED_VALUE"""),"2.1.1.10")</f>
        <v>2.1.1.10</v>
      </c>
      <c r="B986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986" s="42" t="str">
        <f ca="1">IFERROR(__xludf.DUMMYFUNCTION("""COMPUTED_VALUE"""),"3. Operación")</f>
        <v>3. Operación</v>
      </c>
      <c r="D986" s="42" t="str">
        <f ca="1">IFERROR(__xludf.DUMMYFUNCTION("""COMPUTED_VALUE"""),"Guadalajara en Paz")</f>
        <v>Guadalajara en Paz</v>
      </c>
      <c r="E986" s="42" t="str">
        <f ca="1">IFERROR(__xludf.DUMMYFUNCTION("""COMPUTED_VALUE"""),"Atención Psicológica")</f>
        <v>Atención Psicológica</v>
      </c>
      <c r="F986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986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986" s="42" t="str">
        <f ca="1">IFERROR(__xludf.DUMMYFUNCTION("""COMPUTED_VALUE"""),"NAS Febrero")</f>
        <v>NAS Febrero</v>
      </c>
      <c r="I986" s="42" t="str">
        <f ca="1">IFERROR(__xludf.DUMMYFUNCTION("""COMPUTED_VALUE"""),"Febrero")</f>
        <v>Febrero</v>
      </c>
      <c r="J986" s="42" t="str">
        <f ca="1">IFERROR(__xludf.DUMMYFUNCTION("""COMPUTED_VALUE"""),"NAS")</f>
        <v>NAS</v>
      </c>
      <c r="K986" s="98">
        <f ca="1">IFERROR(__xludf.DUMMYFUNCTION("""COMPUTED_VALUE"""),156)</f>
        <v>156</v>
      </c>
      <c r="L986" s="42" t="str">
        <f ca="1">IFERROR(__xludf.DUMMYFUNCTION("""COMPUTED_VALUE"""),"TRIMESTRE 1")</f>
        <v>TRIMESTRE 1</v>
      </c>
      <c r="M986" s="42" t="str">
        <f ca="1">IFERROR(__xludf.DUMMYFUNCTION("""COMPUTED_VALUE"""),"NIÑAS")</f>
        <v>NIÑAS</v>
      </c>
    </row>
    <row r="987" spans="1:13">
      <c r="A987" s="42" t="str">
        <f ca="1">IFERROR(__xludf.DUMMYFUNCTION("""COMPUTED_VALUE"""),"2.1.1.10")</f>
        <v>2.1.1.10</v>
      </c>
      <c r="B987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987" s="42" t="str">
        <f ca="1">IFERROR(__xludf.DUMMYFUNCTION("""COMPUTED_VALUE"""),"3. Operación")</f>
        <v>3. Operación</v>
      </c>
      <c r="D987" s="42" t="str">
        <f ca="1">IFERROR(__xludf.DUMMYFUNCTION("""COMPUTED_VALUE"""),"Guadalajara en Paz")</f>
        <v>Guadalajara en Paz</v>
      </c>
      <c r="E987" s="42" t="str">
        <f ca="1">IFERROR(__xludf.DUMMYFUNCTION("""COMPUTED_VALUE"""),"Atención Psicológica")</f>
        <v>Atención Psicológica</v>
      </c>
      <c r="F987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987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987" s="42" t="str">
        <f ca="1">IFERROR(__xludf.DUMMYFUNCTION("""COMPUTED_VALUE"""),"NOS Febrero")</f>
        <v>NOS Febrero</v>
      </c>
      <c r="I987" s="42" t="str">
        <f ca="1">IFERROR(__xludf.DUMMYFUNCTION("""COMPUTED_VALUE"""),"Febrero")</f>
        <v>Febrero</v>
      </c>
      <c r="J987" s="42" t="str">
        <f ca="1">IFERROR(__xludf.DUMMYFUNCTION("""COMPUTED_VALUE"""),"NOS")</f>
        <v>NOS</v>
      </c>
      <c r="K987" s="98">
        <f ca="1">IFERROR(__xludf.DUMMYFUNCTION("""COMPUTED_VALUE"""),203)</f>
        <v>203</v>
      </c>
      <c r="L987" s="42" t="str">
        <f ca="1">IFERROR(__xludf.DUMMYFUNCTION("""COMPUTED_VALUE"""),"TRIMESTRE 1")</f>
        <v>TRIMESTRE 1</v>
      </c>
      <c r="M987" s="42" t="str">
        <f ca="1">IFERROR(__xludf.DUMMYFUNCTION("""COMPUTED_VALUE"""),"NIÑOS")</f>
        <v>NIÑOS</v>
      </c>
    </row>
    <row r="988" spans="1:13">
      <c r="A988" s="42" t="str">
        <f ca="1">IFERROR(__xludf.DUMMYFUNCTION("""COMPUTED_VALUE"""),"2.1.1.10")</f>
        <v>2.1.1.10</v>
      </c>
      <c r="B988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988" s="42" t="str">
        <f ca="1">IFERROR(__xludf.DUMMYFUNCTION("""COMPUTED_VALUE"""),"3. Operación")</f>
        <v>3. Operación</v>
      </c>
      <c r="D988" s="42" t="str">
        <f ca="1">IFERROR(__xludf.DUMMYFUNCTION("""COMPUTED_VALUE"""),"Guadalajara en Paz")</f>
        <v>Guadalajara en Paz</v>
      </c>
      <c r="E988" s="42" t="str">
        <f ca="1">IFERROR(__xludf.DUMMYFUNCTION("""COMPUTED_VALUE"""),"Atención Psicológica")</f>
        <v>Atención Psicológica</v>
      </c>
      <c r="F988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988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988" s="42" t="str">
        <f ca="1">IFERROR(__xludf.DUMMYFUNCTION("""COMPUTED_VALUE"""),"AM FEBRERO")</f>
        <v>AM FEBRERO</v>
      </c>
      <c r="I988" s="42" t="str">
        <f ca="1">IFERROR(__xludf.DUMMYFUNCTION("""COMPUTED_VALUE"""),"Febrero")</f>
        <v>Febrero</v>
      </c>
      <c r="J988" s="42" t="str">
        <f ca="1">IFERROR(__xludf.DUMMYFUNCTION("""COMPUTED_VALUE"""),"AM")</f>
        <v>AM</v>
      </c>
      <c r="K988" s="98">
        <f ca="1">IFERROR(__xludf.DUMMYFUNCTION("""COMPUTED_VALUE"""),189)</f>
        <v>189</v>
      </c>
      <c r="L988" s="42" t="str">
        <f ca="1">IFERROR(__xludf.DUMMYFUNCTION("""COMPUTED_VALUE"""),"TRIMESTRE 1")</f>
        <v>TRIMESTRE 1</v>
      </c>
      <c r="M988" s="42" t="str">
        <f ca="1">IFERROR(__xludf.DUMMYFUNCTION("""COMPUTED_VALUE"""),"ADOLESCENTES MUJERES")</f>
        <v>ADOLESCENTES MUJERES</v>
      </c>
    </row>
    <row r="989" spans="1:13">
      <c r="A989" s="42" t="str">
        <f ca="1">IFERROR(__xludf.DUMMYFUNCTION("""COMPUTED_VALUE"""),"2.1.1.10")</f>
        <v>2.1.1.10</v>
      </c>
      <c r="B989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989" s="42" t="str">
        <f ca="1">IFERROR(__xludf.DUMMYFUNCTION("""COMPUTED_VALUE"""),"3. Operación")</f>
        <v>3. Operación</v>
      </c>
      <c r="D989" s="42" t="str">
        <f ca="1">IFERROR(__xludf.DUMMYFUNCTION("""COMPUTED_VALUE"""),"Guadalajara en Paz")</f>
        <v>Guadalajara en Paz</v>
      </c>
      <c r="E989" s="42" t="str">
        <f ca="1">IFERROR(__xludf.DUMMYFUNCTION("""COMPUTED_VALUE"""),"Atención Psicológica")</f>
        <v>Atención Psicológica</v>
      </c>
      <c r="F989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989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989" s="42" t="str">
        <f ca="1">IFERROR(__xludf.DUMMYFUNCTION("""COMPUTED_VALUE"""),"AH FEBRERO")</f>
        <v>AH FEBRERO</v>
      </c>
      <c r="I989" s="42" t="str">
        <f ca="1">IFERROR(__xludf.DUMMYFUNCTION("""COMPUTED_VALUE"""),"Febrero")</f>
        <v>Febrero</v>
      </c>
      <c r="J989" s="42" t="str">
        <f ca="1">IFERROR(__xludf.DUMMYFUNCTION("""COMPUTED_VALUE"""),"AH")</f>
        <v>AH</v>
      </c>
      <c r="K989" s="98">
        <f ca="1">IFERROR(__xludf.DUMMYFUNCTION("""COMPUTED_VALUE"""),119)</f>
        <v>119</v>
      </c>
      <c r="L989" s="42" t="str">
        <f ca="1">IFERROR(__xludf.DUMMYFUNCTION("""COMPUTED_VALUE"""),"TRIMESTRE 1")</f>
        <v>TRIMESTRE 1</v>
      </c>
      <c r="M989" s="42" t="str">
        <f ca="1">IFERROR(__xludf.DUMMYFUNCTION("""COMPUTED_VALUE"""),"ADOLESCENTES HOMBRES")</f>
        <v>ADOLESCENTES HOMBRES</v>
      </c>
    </row>
    <row r="990" spans="1:13">
      <c r="A990" s="42" t="str">
        <f ca="1">IFERROR(__xludf.DUMMYFUNCTION("""COMPUTED_VALUE"""),"2.1.1.10")</f>
        <v>2.1.1.10</v>
      </c>
      <c r="B990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990" s="42" t="str">
        <f ca="1">IFERROR(__xludf.DUMMYFUNCTION("""COMPUTED_VALUE"""),"3. Operación")</f>
        <v>3. Operación</v>
      </c>
      <c r="D990" s="42" t="str">
        <f ca="1">IFERROR(__xludf.DUMMYFUNCTION("""COMPUTED_VALUE"""),"Guadalajara en Paz")</f>
        <v>Guadalajara en Paz</v>
      </c>
      <c r="E990" s="42" t="str">
        <f ca="1">IFERROR(__xludf.DUMMYFUNCTION("""COMPUTED_VALUE"""),"Atención Psicológica")</f>
        <v>Atención Psicológica</v>
      </c>
      <c r="F990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990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990" s="42" t="str">
        <f ca="1">IFERROR(__xludf.DUMMYFUNCTION("""COMPUTED_VALUE"""),"MUJ Febrero")</f>
        <v>MUJ Febrero</v>
      </c>
      <c r="I990" s="42" t="str">
        <f ca="1">IFERROR(__xludf.DUMMYFUNCTION("""COMPUTED_VALUE"""),"Febrero")</f>
        <v>Febrero</v>
      </c>
      <c r="J990" s="42" t="str">
        <f ca="1">IFERROR(__xludf.DUMMYFUNCTION("""COMPUTED_VALUE"""),"MUJ")</f>
        <v>MUJ</v>
      </c>
      <c r="K990" s="98">
        <f ca="1">IFERROR(__xludf.DUMMYFUNCTION("""COMPUTED_VALUE"""),627)</f>
        <v>627</v>
      </c>
      <c r="L990" s="42" t="str">
        <f ca="1">IFERROR(__xludf.DUMMYFUNCTION("""COMPUTED_VALUE"""),"TRIMESTRE 1")</f>
        <v>TRIMESTRE 1</v>
      </c>
      <c r="M990" s="42" t="str">
        <f ca="1">IFERROR(__xludf.DUMMYFUNCTION("""COMPUTED_VALUE"""),"MUJERES ADULTAS")</f>
        <v>MUJERES ADULTAS</v>
      </c>
    </row>
    <row r="991" spans="1:13">
      <c r="A991" s="42" t="str">
        <f ca="1">IFERROR(__xludf.DUMMYFUNCTION("""COMPUTED_VALUE"""),"2.1.1.10")</f>
        <v>2.1.1.10</v>
      </c>
      <c r="B991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991" s="42" t="str">
        <f ca="1">IFERROR(__xludf.DUMMYFUNCTION("""COMPUTED_VALUE"""),"3. Operación")</f>
        <v>3. Operación</v>
      </c>
      <c r="D991" s="42" t="str">
        <f ca="1">IFERROR(__xludf.DUMMYFUNCTION("""COMPUTED_VALUE"""),"Guadalajara en Paz")</f>
        <v>Guadalajara en Paz</v>
      </c>
      <c r="E991" s="42" t="str">
        <f ca="1">IFERROR(__xludf.DUMMYFUNCTION("""COMPUTED_VALUE"""),"Atención Psicológica")</f>
        <v>Atención Psicológica</v>
      </c>
      <c r="F991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991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991" s="42" t="str">
        <f ca="1">IFERROR(__xludf.DUMMYFUNCTION("""COMPUTED_VALUE"""),"HOM Febrero")</f>
        <v>HOM Febrero</v>
      </c>
      <c r="I991" s="42" t="str">
        <f ca="1">IFERROR(__xludf.DUMMYFUNCTION("""COMPUTED_VALUE"""),"Febrero")</f>
        <v>Febrero</v>
      </c>
      <c r="J991" s="42" t="str">
        <f ca="1">IFERROR(__xludf.DUMMYFUNCTION("""COMPUTED_VALUE"""),"HOM")</f>
        <v>HOM</v>
      </c>
      <c r="K991" s="98">
        <f ca="1">IFERROR(__xludf.DUMMYFUNCTION("""COMPUTED_VALUE"""),206)</f>
        <v>206</v>
      </c>
      <c r="L991" s="42" t="str">
        <f ca="1">IFERROR(__xludf.DUMMYFUNCTION("""COMPUTED_VALUE"""),"TRIMESTRE 1")</f>
        <v>TRIMESTRE 1</v>
      </c>
      <c r="M991" s="42" t="str">
        <f ca="1">IFERROR(__xludf.DUMMYFUNCTION("""COMPUTED_VALUE"""),"HOMBRES ADULTOS")</f>
        <v>HOMBRES ADULTOS</v>
      </c>
    </row>
    <row r="992" spans="1:13">
      <c r="A992" s="42" t="str">
        <f ca="1">IFERROR(__xludf.DUMMYFUNCTION("""COMPUTED_VALUE"""),"2.1.1.10")</f>
        <v>2.1.1.10</v>
      </c>
      <c r="B992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992" s="42" t="str">
        <f ca="1">IFERROR(__xludf.DUMMYFUNCTION("""COMPUTED_VALUE"""),"3. Operación")</f>
        <v>3. Operación</v>
      </c>
      <c r="D992" s="42" t="str">
        <f ca="1">IFERROR(__xludf.DUMMYFUNCTION("""COMPUTED_VALUE"""),"Guadalajara en Paz")</f>
        <v>Guadalajara en Paz</v>
      </c>
      <c r="E992" s="42" t="str">
        <f ca="1">IFERROR(__xludf.DUMMYFUNCTION("""COMPUTED_VALUE"""),"Atención Psicológica")</f>
        <v>Atención Psicológica</v>
      </c>
      <c r="F992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992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992" s="42" t="str">
        <f ca="1">IFERROR(__xludf.DUMMYFUNCTION("""COMPUTED_VALUE"""),"AMM Febrero")</f>
        <v>AMM Febrero</v>
      </c>
      <c r="I992" s="42" t="str">
        <f ca="1">IFERROR(__xludf.DUMMYFUNCTION("""COMPUTED_VALUE"""),"Febrero")</f>
        <v>Febrero</v>
      </c>
      <c r="J992" s="42" t="str">
        <f ca="1">IFERROR(__xludf.DUMMYFUNCTION("""COMPUTED_VALUE"""),"AMM")</f>
        <v>AMM</v>
      </c>
      <c r="K992" s="98">
        <f ca="1">IFERROR(__xludf.DUMMYFUNCTION("""COMPUTED_VALUE"""),115)</f>
        <v>115</v>
      </c>
      <c r="L992" s="42" t="str">
        <f ca="1">IFERROR(__xludf.DUMMYFUNCTION("""COMPUTED_VALUE"""),"TRIMESTRE 1")</f>
        <v>TRIMESTRE 1</v>
      </c>
      <c r="M992" s="42" t="str">
        <f ca="1">IFERROR(__xludf.DUMMYFUNCTION("""COMPUTED_VALUE"""),"ADULTA MAYOR MUJER")</f>
        <v>ADULTA MAYOR MUJER</v>
      </c>
    </row>
    <row r="993" spans="1:13">
      <c r="A993" s="42" t="str">
        <f ca="1">IFERROR(__xludf.DUMMYFUNCTION("""COMPUTED_VALUE"""),"2.1.1.10")</f>
        <v>2.1.1.10</v>
      </c>
      <c r="B993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993" s="42" t="str">
        <f ca="1">IFERROR(__xludf.DUMMYFUNCTION("""COMPUTED_VALUE"""),"3. Operación")</f>
        <v>3. Operación</v>
      </c>
      <c r="D993" s="42" t="str">
        <f ca="1">IFERROR(__xludf.DUMMYFUNCTION("""COMPUTED_VALUE"""),"Guadalajara en Paz")</f>
        <v>Guadalajara en Paz</v>
      </c>
      <c r="E993" s="42" t="str">
        <f ca="1">IFERROR(__xludf.DUMMYFUNCTION("""COMPUTED_VALUE"""),"Atención Psicológica")</f>
        <v>Atención Psicológica</v>
      </c>
      <c r="F993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993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993" s="42" t="str">
        <f ca="1">IFERROR(__xludf.DUMMYFUNCTION("""COMPUTED_VALUE"""),"AMH Febrero")</f>
        <v>AMH Febrero</v>
      </c>
      <c r="I993" s="42" t="str">
        <f ca="1">IFERROR(__xludf.DUMMYFUNCTION("""COMPUTED_VALUE"""),"Febrero")</f>
        <v>Febrero</v>
      </c>
      <c r="J993" s="42" t="str">
        <f ca="1">IFERROR(__xludf.DUMMYFUNCTION("""COMPUTED_VALUE"""),"AMH")</f>
        <v>AMH</v>
      </c>
      <c r="K993" s="98">
        <f ca="1">IFERROR(__xludf.DUMMYFUNCTION("""COMPUTED_VALUE"""),20)</f>
        <v>20</v>
      </c>
      <c r="L993" s="42" t="str">
        <f ca="1">IFERROR(__xludf.DUMMYFUNCTION("""COMPUTED_VALUE"""),"TRIMESTRE 1")</f>
        <v>TRIMESTRE 1</v>
      </c>
      <c r="M993" s="42" t="str">
        <f ca="1">IFERROR(__xludf.DUMMYFUNCTION("""COMPUTED_VALUE"""),"ADULTO MAYOR HOMBRE")</f>
        <v>ADULTO MAYOR HOMBRE</v>
      </c>
    </row>
    <row r="994" spans="1:13">
      <c r="A994" s="42" t="str">
        <f ca="1">IFERROR(__xludf.DUMMYFUNCTION("""COMPUTED_VALUE"""),"2.1.1.9")</f>
        <v>2.1.1.9</v>
      </c>
      <c r="B994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994" s="42" t="str">
        <f ca="1">IFERROR(__xludf.DUMMYFUNCTION("""COMPUTED_VALUE"""),"3. Operación")</f>
        <v>3. Operación</v>
      </c>
      <c r="D994" s="42" t="str">
        <f ca="1">IFERROR(__xludf.DUMMYFUNCTION("""COMPUTED_VALUE"""),"Guadalajara en Paz")</f>
        <v>Guadalajara en Paz</v>
      </c>
      <c r="E994" s="42" t="str">
        <f ca="1">IFERROR(__xludf.DUMMYFUNCTION("""COMPUTED_VALUE"""),"Atención Psicológica")</f>
        <v>Atención Psicológica</v>
      </c>
      <c r="F994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994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994" s="42" t="str">
        <f ca="1">IFERROR(__xludf.DUMMYFUNCTION("""COMPUTED_VALUE"""),"NAS Marzo")</f>
        <v>NAS Marzo</v>
      </c>
      <c r="I994" s="42" t="str">
        <f ca="1">IFERROR(__xludf.DUMMYFUNCTION("""COMPUTED_VALUE"""),"Marzo")</f>
        <v>Marzo</v>
      </c>
      <c r="J994" s="42" t="str">
        <f ca="1">IFERROR(__xludf.DUMMYFUNCTION("""COMPUTED_VALUE"""),"NAS")</f>
        <v>NAS</v>
      </c>
      <c r="K994" s="98">
        <f ca="1">IFERROR(__xludf.DUMMYFUNCTION("""COMPUTED_VALUE"""),76)</f>
        <v>76</v>
      </c>
      <c r="L994" s="42" t="str">
        <f ca="1">IFERROR(__xludf.DUMMYFUNCTION("""COMPUTED_VALUE"""),"TRIMESTRE 1")</f>
        <v>TRIMESTRE 1</v>
      </c>
      <c r="M994" s="42" t="str">
        <f ca="1">IFERROR(__xludf.DUMMYFUNCTION("""COMPUTED_VALUE"""),"NIÑAS")</f>
        <v>NIÑAS</v>
      </c>
    </row>
    <row r="995" spans="1:13">
      <c r="A995" s="42" t="str">
        <f ca="1">IFERROR(__xludf.DUMMYFUNCTION("""COMPUTED_VALUE"""),"2.1.1.9")</f>
        <v>2.1.1.9</v>
      </c>
      <c r="B995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995" s="42" t="str">
        <f ca="1">IFERROR(__xludf.DUMMYFUNCTION("""COMPUTED_VALUE"""),"3. Operación")</f>
        <v>3. Operación</v>
      </c>
      <c r="D995" s="42" t="str">
        <f ca="1">IFERROR(__xludf.DUMMYFUNCTION("""COMPUTED_VALUE"""),"Guadalajara en Paz")</f>
        <v>Guadalajara en Paz</v>
      </c>
      <c r="E995" s="42" t="str">
        <f ca="1">IFERROR(__xludf.DUMMYFUNCTION("""COMPUTED_VALUE"""),"Atención Psicológica")</f>
        <v>Atención Psicológica</v>
      </c>
      <c r="F995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995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995" s="42" t="str">
        <f ca="1">IFERROR(__xludf.DUMMYFUNCTION("""COMPUTED_VALUE"""),"NOS Marzo")</f>
        <v>NOS Marzo</v>
      </c>
      <c r="I995" s="42" t="str">
        <f ca="1">IFERROR(__xludf.DUMMYFUNCTION("""COMPUTED_VALUE"""),"Marzo")</f>
        <v>Marzo</v>
      </c>
      <c r="J995" s="42" t="str">
        <f ca="1">IFERROR(__xludf.DUMMYFUNCTION("""COMPUTED_VALUE"""),"NOS")</f>
        <v>NOS</v>
      </c>
      <c r="K995" s="98">
        <f ca="1">IFERROR(__xludf.DUMMYFUNCTION("""COMPUTED_VALUE"""),118)</f>
        <v>118</v>
      </c>
      <c r="L995" s="42" t="str">
        <f ca="1">IFERROR(__xludf.DUMMYFUNCTION("""COMPUTED_VALUE"""),"TRIMESTRE 1")</f>
        <v>TRIMESTRE 1</v>
      </c>
      <c r="M995" s="42" t="str">
        <f ca="1">IFERROR(__xludf.DUMMYFUNCTION("""COMPUTED_VALUE"""),"NIÑOS")</f>
        <v>NIÑOS</v>
      </c>
    </row>
    <row r="996" spans="1:13">
      <c r="A996" s="42" t="str">
        <f ca="1">IFERROR(__xludf.DUMMYFUNCTION("""COMPUTED_VALUE"""),"2.1.1.9")</f>
        <v>2.1.1.9</v>
      </c>
      <c r="B996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996" s="42" t="str">
        <f ca="1">IFERROR(__xludf.DUMMYFUNCTION("""COMPUTED_VALUE"""),"3. Operación")</f>
        <v>3. Operación</v>
      </c>
      <c r="D996" s="42" t="str">
        <f ca="1">IFERROR(__xludf.DUMMYFUNCTION("""COMPUTED_VALUE"""),"Guadalajara en Paz")</f>
        <v>Guadalajara en Paz</v>
      </c>
      <c r="E996" s="42" t="str">
        <f ca="1">IFERROR(__xludf.DUMMYFUNCTION("""COMPUTED_VALUE"""),"Atención Psicológica")</f>
        <v>Atención Psicológica</v>
      </c>
      <c r="F996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996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996" s="42" t="str">
        <f ca="1">IFERROR(__xludf.DUMMYFUNCTION("""COMPUTED_VALUE"""),"AM MARZO")</f>
        <v>AM MARZO</v>
      </c>
      <c r="I996" s="42" t="str">
        <f ca="1">IFERROR(__xludf.DUMMYFUNCTION("""COMPUTED_VALUE"""),"Marzo")</f>
        <v>Marzo</v>
      </c>
      <c r="J996" s="42" t="str">
        <f ca="1">IFERROR(__xludf.DUMMYFUNCTION("""COMPUTED_VALUE"""),"AM")</f>
        <v>AM</v>
      </c>
      <c r="K996" s="98">
        <f ca="1">IFERROR(__xludf.DUMMYFUNCTION("""COMPUTED_VALUE"""),79)</f>
        <v>79</v>
      </c>
      <c r="L996" s="42" t="str">
        <f ca="1">IFERROR(__xludf.DUMMYFUNCTION("""COMPUTED_VALUE"""),"TRIMESTRE 1")</f>
        <v>TRIMESTRE 1</v>
      </c>
      <c r="M996" s="42" t="str">
        <f ca="1">IFERROR(__xludf.DUMMYFUNCTION("""COMPUTED_VALUE"""),"ADOLESCENTES MUJERES")</f>
        <v>ADOLESCENTES MUJERES</v>
      </c>
    </row>
    <row r="997" spans="1:13">
      <c r="A997" s="42" t="str">
        <f ca="1">IFERROR(__xludf.DUMMYFUNCTION("""COMPUTED_VALUE"""),"2.1.1.9")</f>
        <v>2.1.1.9</v>
      </c>
      <c r="B997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997" s="42" t="str">
        <f ca="1">IFERROR(__xludf.DUMMYFUNCTION("""COMPUTED_VALUE"""),"3. Operación")</f>
        <v>3. Operación</v>
      </c>
      <c r="D997" s="42" t="str">
        <f ca="1">IFERROR(__xludf.DUMMYFUNCTION("""COMPUTED_VALUE"""),"Guadalajara en Paz")</f>
        <v>Guadalajara en Paz</v>
      </c>
      <c r="E997" s="42" t="str">
        <f ca="1">IFERROR(__xludf.DUMMYFUNCTION("""COMPUTED_VALUE"""),"Atención Psicológica")</f>
        <v>Atención Psicológica</v>
      </c>
      <c r="F997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997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997" s="42" t="str">
        <f ca="1">IFERROR(__xludf.DUMMYFUNCTION("""COMPUTED_VALUE"""),"AH MARZO")</f>
        <v>AH MARZO</v>
      </c>
      <c r="I997" s="42" t="str">
        <f ca="1">IFERROR(__xludf.DUMMYFUNCTION("""COMPUTED_VALUE"""),"Marzo")</f>
        <v>Marzo</v>
      </c>
      <c r="J997" s="42" t="str">
        <f ca="1">IFERROR(__xludf.DUMMYFUNCTION("""COMPUTED_VALUE"""),"AH")</f>
        <v>AH</v>
      </c>
      <c r="K997" s="98">
        <f ca="1">IFERROR(__xludf.DUMMYFUNCTION("""COMPUTED_VALUE"""),41)</f>
        <v>41</v>
      </c>
      <c r="L997" s="42" t="str">
        <f ca="1">IFERROR(__xludf.DUMMYFUNCTION("""COMPUTED_VALUE"""),"TRIMESTRE 1")</f>
        <v>TRIMESTRE 1</v>
      </c>
      <c r="M997" s="42" t="str">
        <f ca="1">IFERROR(__xludf.DUMMYFUNCTION("""COMPUTED_VALUE"""),"ADOLESCENTES HOMBRES")</f>
        <v>ADOLESCENTES HOMBRES</v>
      </c>
    </row>
    <row r="998" spans="1:13">
      <c r="A998" s="42" t="str">
        <f ca="1">IFERROR(__xludf.DUMMYFUNCTION("""COMPUTED_VALUE"""),"2.1.1.9")</f>
        <v>2.1.1.9</v>
      </c>
      <c r="B998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998" s="42" t="str">
        <f ca="1">IFERROR(__xludf.DUMMYFUNCTION("""COMPUTED_VALUE"""),"3. Operación")</f>
        <v>3. Operación</v>
      </c>
      <c r="D998" s="42" t="str">
        <f ca="1">IFERROR(__xludf.DUMMYFUNCTION("""COMPUTED_VALUE"""),"Guadalajara en Paz")</f>
        <v>Guadalajara en Paz</v>
      </c>
      <c r="E998" s="42" t="str">
        <f ca="1">IFERROR(__xludf.DUMMYFUNCTION("""COMPUTED_VALUE"""),"Atención Psicológica")</f>
        <v>Atención Psicológica</v>
      </c>
      <c r="F998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998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998" s="42" t="str">
        <f ca="1">IFERROR(__xludf.DUMMYFUNCTION("""COMPUTED_VALUE"""),"MUJ Marzo")</f>
        <v>MUJ Marzo</v>
      </c>
      <c r="I998" s="42" t="str">
        <f ca="1">IFERROR(__xludf.DUMMYFUNCTION("""COMPUTED_VALUE"""),"Marzo")</f>
        <v>Marzo</v>
      </c>
      <c r="J998" s="42" t="str">
        <f ca="1">IFERROR(__xludf.DUMMYFUNCTION("""COMPUTED_VALUE"""),"MUJ")</f>
        <v>MUJ</v>
      </c>
      <c r="K998" s="98">
        <f ca="1">IFERROR(__xludf.DUMMYFUNCTION("""COMPUTED_VALUE"""),272)</f>
        <v>272</v>
      </c>
      <c r="L998" s="42" t="str">
        <f ca="1">IFERROR(__xludf.DUMMYFUNCTION("""COMPUTED_VALUE"""),"TRIMESTRE 1")</f>
        <v>TRIMESTRE 1</v>
      </c>
      <c r="M998" s="42" t="str">
        <f ca="1">IFERROR(__xludf.DUMMYFUNCTION("""COMPUTED_VALUE"""),"MUJERES ADULTAS")</f>
        <v>MUJERES ADULTAS</v>
      </c>
    </row>
    <row r="999" spans="1:13">
      <c r="A999" s="42" t="str">
        <f ca="1">IFERROR(__xludf.DUMMYFUNCTION("""COMPUTED_VALUE"""),"2.1.1.9")</f>
        <v>2.1.1.9</v>
      </c>
      <c r="B999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999" s="42" t="str">
        <f ca="1">IFERROR(__xludf.DUMMYFUNCTION("""COMPUTED_VALUE"""),"3. Operación")</f>
        <v>3. Operación</v>
      </c>
      <c r="D999" s="42" t="str">
        <f ca="1">IFERROR(__xludf.DUMMYFUNCTION("""COMPUTED_VALUE"""),"Guadalajara en Paz")</f>
        <v>Guadalajara en Paz</v>
      </c>
      <c r="E999" s="42" t="str">
        <f ca="1">IFERROR(__xludf.DUMMYFUNCTION("""COMPUTED_VALUE"""),"Atención Psicológica")</f>
        <v>Atención Psicológica</v>
      </c>
      <c r="F999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999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999" s="42" t="str">
        <f ca="1">IFERROR(__xludf.DUMMYFUNCTION("""COMPUTED_VALUE"""),"HOM Marzo")</f>
        <v>HOM Marzo</v>
      </c>
      <c r="I999" s="42" t="str">
        <f ca="1">IFERROR(__xludf.DUMMYFUNCTION("""COMPUTED_VALUE"""),"Marzo")</f>
        <v>Marzo</v>
      </c>
      <c r="J999" s="42" t="str">
        <f ca="1">IFERROR(__xludf.DUMMYFUNCTION("""COMPUTED_VALUE"""),"HOM")</f>
        <v>HOM</v>
      </c>
      <c r="K999" s="98">
        <f ca="1">IFERROR(__xludf.DUMMYFUNCTION("""COMPUTED_VALUE"""),77)</f>
        <v>77</v>
      </c>
      <c r="L999" s="42" t="str">
        <f ca="1">IFERROR(__xludf.DUMMYFUNCTION("""COMPUTED_VALUE"""),"TRIMESTRE 1")</f>
        <v>TRIMESTRE 1</v>
      </c>
      <c r="M999" s="42" t="str">
        <f ca="1">IFERROR(__xludf.DUMMYFUNCTION("""COMPUTED_VALUE"""),"HOMBRES ADULTOS")</f>
        <v>HOMBRES ADULTOS</v>
      </c>
    </row>
    <row r="1000" spans="1:13">
      <c r="A1000" s="42" t="str">
        <f ca="1">IFERROR(__xludf.DUMMYFUNCTION("""COMPUTED_VALUE"""),"2.1.1.9")</f>
        <v>2.1.1.9</v>
      </c>
      <c r="B1000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00" s="42" t="str">
        <f ca="1">IFERROR(__xludf.DUMMYFUNCTION("""COMPUTED_VALUE"""),"3. Operación")</f>
        <v>3. Operación</v>
      </c>
      <c r="D1000" s="42" t="str">
        <f ca="1">IFERROR(__xludf.DUMMYFUNCTION("""COMPUTED_VALUE"""),"Guadalajara en Paz")</f>
        <v>Guadalajara en Paz</v>
      </c>
      <c r="E1000" s="42" t="str">
        <f ca="1">IFERROR(__xludf.DUMMYFUNCTION("""COMPUTED_VALUE"""),"Atención Psicológica")</f>
        <v>Atención Psicológica</v>
      </c>
      <c r="F1000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000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000" s="42" t="str">
        <f ca="1">IFERROR(__xludf.DUMMYFUNCTION("""COMPUTED_VALUE"""),"AMM Marzo")</f>
        <v>AMM Marzo</v>
      </c>
      <c r="I1000" s="42" t="str">
        <f ca="1">IFERROR(__xludf.DUMMYFUNCTION("""COMPUTED_VALUE"""),"Marzo")</f>
        <v>Marzo</v>
      </c>
      <c r="J1000" s="42" t="str">
        <f ca="1">IFERROR(__xludf.DUMMYFUNCTION("""COMPUTED_VALUE"""),"AMM")</f>
        <v>AMM</v>
      </c>
      <c r="K1000" s="98">
        <f ca="1">IFERROR(__xludf.DUMMYFUNCTION("""COMPUTED_VALUE"""),48)</f>
        <v>48</v>
      </c>
      <c r="L1000" s="42" t="str">
        <f ca="1">IFERROR(__xludf.DUMMYFUNCTION("""COMPUTED_VALUE"""),"TRIMESTRE 1")</f>
        <v>TRIMESTRE 1</v>
      </c>
      <c r="M1000" s="42" t="str">
        <f ca="1">IFERROR(__xludf.DUMMYFUNCTION("""COMPUTED_VALUE"""),"ADULTA MAYOR MUJER")</f>
        <v>ADULTA MAYOR MUJER</v>
      </c>
    </row>
    <row r="1001" spans="1:13">
      <c r="A1001" s="42" t="str">
        <f ca="1">IFERROR(__xludf.DUMMYFUNCTION("""COMPUTED_VALUE"""),"2.1.1.9")</f>
        <v>2.1.1.9</v>
      </c>
      <c r="B1001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01" s="42" t="str">
        <f ca="1">IFERROR(__xludf.DUMMYFUNCTION("""COMPUTED_VALUE"""),"3. Operación")</f>
        <v>3. Operación</v>
      </c>
      <c r="D1001" s="42" t="str">
        <f ca="1">IFERROR(__xludf.DUMMYFUNCTION("""COMPUTED_VALUE"""),"Guadalajara en Paz")</f>
        <v>Guadalajara en Paz</v>
      </c>
      <c r="E1001" s="42" t="str">
        <f ca="1">IFERROR(__xludf.DUMMYFUNCTION("""COMPUTED_VALUE"""),"Atención Psicológica")</f>
        <v>Atención Psicológica</v>
      </c>
      <c r="F1001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001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001" s="42" t="str">
        <f ca="1">IFERROR(__xludf.DUMMYFUNCTION("""COMPUTED_VALUE"""),"AMH Marzo")</f>
        <v>AMH Marzo</v>
      </c>
      <c r="I1001" s="42" t="str">
        <f ca="1">IFERROR(__xludf.DUMMYFUNCTION("""COMPUTED_VALUE"""),"Marzo")</f>
        <v>Marzo</v>
      </c>
      <c r="J1001" s="42" t="str">
        <f ca="1">IFERROR(__xludf.DUMMYFUNCTION("""COMPUTED_VALUE"""),"AMH")</f>
        <v>AMH</v>
      </c>
      <c r="K1001" s="98">
        <f ca="1">IFERROR(__xludf.DUMMYFUNCTION("""COMPUTED_VALUE"""),13)</f>
        <v>13</v>
      </c>
      <c r="L1001" s="42" t="str">
        <f ca="1">IFERROR(__xludf.DUMMYFUNCTION("""COMPUTED_VALUE"""),"TRIMESTRE 1")</f>
        <v>TRIMESTRE 1</v>
      </c>
      <c r="M1001" s="42" t="str">
        <f ca="1">IFERROR(__xludf.DUMMYFUNCTION("""COMPUTED_VALUE"""),"ADULTO MAYOR HOMBRE")</f>
        <v>ADULTO MAYOR HOMBRE</v>
      </c>
    </row>
    <row r="1002" spans="1:13">
      <c r="A1002" s="42" t="str">
        <f ca="1">IFERROR(__xludf.DUMMYFUNCTION("""COMPUTED_VALUE"""),"2.1.1.10")</f>
        <v>2.1.1.10</v>
      </c>
      <c r="B1002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02" s="42" t="str">
        <f ca="1">IFERROR(__xludf.DUMMYFUNCTION("""COMPUTED_VALUE"""),"3. Operación")</f>
        <v>3. Operación</v>
      </c>
      <c r="D1002" s="42" t="str">
        <f ca="1">IFERROR(__xludf.DUMMYFUNCTION("""COMPUTED_VALUE"""),"Guadalajara en Paz")</f>
        <v>Guadalajara en Paz</v>
      </c>
      <c r="E1002" s="42" t="str">
        <f ca="1">IFERROR(__xludf.DUMMYFUNCTION("""COMPUTED_VALUE"""),"Atención Psicológica")</f>
        <v>Atención Psicológica</v>
      </c>
      <c r="F1002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002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002" s="42" t="str">
        <f ca="1">IFERROR(__xludf.DUMMYFUNCTION("""COMPUTED_VALUE"""),"NAS Marzo")</f>
        <v>NAS Marzo</v>
      </c>
      <c r="I1002" s="42" t="str">
        <f ca="1">IFERROR(__xludf.DUMMYFUNCTION("""COMPUTED_VALUE"""),"Marzo")</f>
        <v>Marzo</v>
      </c>
      <c r="J1002" s="42" t="str">
        <f ca="1">IFERROR(__xludf.DUMMYFUNCTION("""COMPUTED_VALUE"""),"NAS")</f>
        <v>NAS</v>
      </c>
      <c r="K1002" s="98">
        <f ca="1">IFERROR(__xludf.DUMMYFUNCTION("""COMPUTED_VALUE"""),131)</f>
        <v>131</v>
      </c>
      <c r="L1002" s="42" t="str">
        <f ca="1">IFERROR(__xludf.DUMMYFUNCTION("""COMPUTED_VALUE"""),"TRIMESTRE 1")</f>
        <v>TRIMESTRE 1</v>
      </c>
      <c r="M1002" s="42" t="str">
        <f ca="1">IFERROR(__xludf.DUMMYFUNCTION("""COMPUTED_VALUE"""),"NIÑAS")</f>
        <v>NIÑAS</v>
      </c>
    </row>
    <row r="1003" spans="1:13">
      <c r="A1003" s="42" t="str">
        <f ca="1">IFERROR(__xludf.DUMMYFUNCTION("""COMPUTED_VALUE"""),"2.1.1.10")</f>
        <v>2.1.1.10</v>
      </c>
      <c r="B1003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03" s="42" t="str">
        <f ca="1">IFERROR(__xludf.DUMMYFUNCTION("""COMPUTED_VALUE"""),"3. Operación")</f>
        <v>3. Operación</v>
      </c>
      <c r="D1003" s="42" t="str">
        <f ca="1">IFERROR(__xludf.DUMMYFUNCTION("""COMPUTED_VALUE"""),"Guadalajara en Paz")</f>
        <v>Guadalajara en Paz</v>
      </c>
      <c r="E1003" s="42" t="str">
        <f ca="1">IFERROR(__xludf.DUMMYFUNCTION("""COMPUTED_VALUE"""),"Atención Psicológica")</f>
        <v>Atención Psicológica</v>
      </c>
      <c r="F1003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003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003" s="42" t="str">
        <f ca="1">IFERROR(__xludf.DUMMYFUNCTION("""COMPUTED_VALUE"""),"NOS Marzo")</f>
        <v>NOS Marzo</v>
      </c>
      <c r="I1003" s="42" t="str">
        <f ca="1">IFERROR(__xludf.DUMMYFUNCTION("""COMPUTED_VALUE"""),"Marzo")</f>
        <v>Marzo</v>
      </c>
      <c r="J1003" s="42" t="str">
        <f ca="1">IFERROR(__xludf.DUMMYFUNCTION("""COMPUTED_VALUE"""),"NOS")</f>
        <v>NOS</v>
      </c>
      <c r="K1003" s="98">
        <f ca="1">IFERROR(__xludf.DUMMYFUNCTION("""COMPUTED_VALUE"""),197)</f>
        <v>197</v>
      </c>
      <c r="L1003" s="42" t="str">
        <f ca="1">IFERROR(__xludf.DUMMYFUNCTION("""COMPUTED_VALUE"""),"TRIMESTRE 1")</f>
        <v>TRIMESTRE 1</v>
      </c>
      <c r="M1003" s="42" t="str">
        <f ca="1">IFERROR(__xludf.DUMMYFUNCTION("""COMPUTED_VALUE"""),"NIÑOS")</f>
        <v>NIÑOS</v>
      </c>
    </row>
    <row r="1004" spans="1:13">
      <c r="A1004" s="42" t="str">
        <f ca="1">IFERROR(__xludf.DUMMYFUNCTION("""COMPUTED_VALUE"""),"2.1.1.10")</f>
        <v>2.1.1.10</v>
      </c>
      <c r="B1004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04" s="42" t="str">
        <f ca="1">IFERROR(__xludf.DUMMYFUNCTION("""COMPUTED_VALUE"""),"3. Operación")</f>
        <v>3. Operación</v>
      </c>
      <c r="D1004" s="42" t="str">
        <f ca="1">IFERROR(__xludf.DUMMYFUNCTION("""COMPUTED_VALUE"""),"Guadalajara en Paz")</f>
        <v>Guadalajara en Paz</v>
      </c>
      <c r="E1004" s="42" t="str">
        <f ca="1">IFERROR(__xludf.DUMMYFUNCTION("""COMPUTED_VALUE"""),"Atención Psicológica")</f>
        <v>Atención Psicológica</v>
      </c>
      <c r="F1004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004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004" s="42" t="str">
        <f ca="1">IFERROR(__xludf.DUMMYFUNCTION("""COMPUTED_VALUE"""),"AM MARZO")</f>
        <v>AM MARZO</v>
      </c>
      <c r="I1004" s="42" t="str">
        <f ca="1">IFERROR(__xludf.DUMMYFUNCTION("""COMPUTED_VALUE"""),"Marzo")</f>
        <v>Marzo</v>
      </c>
      <c r="J1004" s="42" t="str">
        <f ca="1">IFERROR(__xludf.DUMMYFUNCTION("""COMPUTED_VALUE"""),"AM")</f>
        <v>AM</v>
      </c>
      <c r="K1004" s="98">
        <f ca="1">IFERROR(__xludf.DUMMYFUNCTION("""COMPUTED_VALUE"""),116)</f>
        <v>116</v>
      </c>
      <c r="L1004" s="42" t="str">
        <f ca="1">IFERROR(__xludf.DUMMYFUNCTION("""COMPUTED_VALUE"""),"TRIMESTRE 1")</f>
        <v>TRIMESTRE 1</v>
      </c>
      <c r="M1004" s="42" t="str">
        <f ca="1">IFERROR(__xludf.DUMMYFUNCTION("""COMPUTED_VALUE"""),"ADOLESCENTES MUJERES")</f>
        <v>ADOLESCENTES MUJERES</v>
      </c>
    </row>
    <row r="1005" spans="1:13">
      <c r="A1005" s="42" t="str">
        <f ca="1">IFERROR(__xludf.DUMMYFUNCTION("""COMPUTED_VALUE"""),"2.1.1.10")</f>
        <v>2.1.1.10</v>
      </c>
      <c r="B1005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05" s="42" t="str">
        <f ca="1">IFERROR(__xludf.DUMMYFUNCTION("""COMPUTED_VALUE"""),"3. Operación")</f>
        <v>3. Operación</v>
      </c>
      <c r="D1005" s="42" t="str">
        <f ca="1">IFERROR(__xludf.DUMMYFUNCTION("""COMPUTED_VALUE"""),"Guadalajara en Paz")</f>
        <v>Guadalajara en Paz</v>
      </c>
      <c r="E1005" s="42" t="str">
        <f ca="1">IFERROR(__xludf.DUMMYFUNCTION("""COMPUTED_VALUE"""),"Atención Psicológica")</f>
        <v>Atención Psicológica</v>
      </c>
      <c r="F1005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005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005" s="42" t="str">
        <f ca="1">IFERROR(__xludf.DUMMYFUNCTION("""COMPUTED_VALUE"""),"AH MARZO")</f>
        <v>AH MARZO</v>
      </c>
      <c r="I1005" s="42" t="str">
        <f ca="1">IFERROR(__xludf.DUMMYFUNCTION("""COMPUTED_VALUE"""),"Marzo")</f>
        <v>Marzo</v>
      </c>
      <c r="J1005" s="42" t="str">
        <f ca="1">IFERROR(__xludf.DUMMYFUNCTION("""COMPUTED_VALUE"""),"AH")</f>
        <v>AH</v>
      </c>
      <c r="K1005" s="98">
        <f ca="1">IFERROR(__xludf.DUMMYFUNCTION("""COMPUTED_VALUE"""),58)</f>
        <v>58</v>
      </c>
      <c r="L1005" s="42" t="str">
        <f ca="1">IFERROR(__xludf.DUMMYFUNCTION("""COMPUTED_VALUE"""),"TRIMESTRE 1")</f>
        <v>TRIMESTRE 1</v>
      </c>
      <c r="M1005" s="42" t="str">
        <f ca="1">IFERROR(__xludf.DUMMYFUNCTION("""COMPUTED_VALUE"""),"ADOLESCENTES HOMBRES")</f>
        <v>ADOLESCENTES HOMBRES</v>
      </c>
    </row>
    <row r="1006" spans="1:13">
      <c r="A1006" s="42" t="str">
        <f ca="1">IFERROR(__xludf.DUMMYFUNCTION("""COMPUTED_VALUE"""),"2.1.1.10")</f>
        <v>2.1.1.10</v>
      </c>
      <c r="B1006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06" s="42" t="str">
        <f ca="1">IFERROR(__xludf.DUMMYFUNCTION("""COMPUTED_VALUE"""),"3. Operación")</f>
        <v>3. Operación</v>
      </c>
      <c r="D1006" s="42" t="str">
        <f ca="1">IFERROR(__xludf.DUMMYFUNCTION("""COMPUTED_VALUE"""),"Guadalajara en Paz")</f>
        <v>Guadalajara en Paz</v>
      </c>
      <c r="E1006" s="42" t="str">
        <f ca="1">IFERROR(__xludf.DUMMYFUNCTION("""COMPUTED_VALUE"""),"Atención Psicológica")</f>
        <v>Atención Psicológica</v>
      </c>
      <c r="F1006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006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006" s="42" t="str">
        <f ca="1">IFERROR(__xludf.DUMMYFUNCTION("""COMPUTED_VALUE"""),"MUJ Marzo")</f>
        <v>MUJ Marzo</v>
      </c>
      <c r="I1006" s="42" t="str">
        <f ca="1">IFERROR(__xludf.DUMMYFUNCTION("""COMPUTED_VALUE"""),"Marzo")</f>
        <v>Marzo</v>
      </c>
      <c r="J1006" s="42" t="str">
        <f ca="1">IFERROR(__xludf.DUMMYFUNCTION("""COMPUTED_VALUE"""),"MUJ")</f>
        <v>MUJ</v>
      </c>
      <c r="K1006" s="98">
        <f ca="1">IFERROR(__xludf.DUMMYFUNCTION("""COMPUTED_VALUE"""),442)</f>
        <v>442</v>
      </c>
      <c r="L1006" s="42" t="str">
        <f ca="1">IFERROR(__xludf.DUMMYFUNCTION("""COMPUTED_VALUE"""),"TRIMESTRE 1")</f>
        <v>TRIMESTRE 1</v>
      </c>
      <c r="M1006" s="42" t="str">
        <f ca="1">IFERROR(__xludf.DUMMYFUNCTION("""COMPUTED_VALUE"""),"MUJERES ADULTAS")</f>
        <v>MUJERES ADULTAS</v>
      </c>
    </row>
    <row r="1007" spans="1:13">
      <c r="A1007" s="42" t="str">
        <f ca="1">IFERROR(__xludf.DUMMYFUNCTION("""COMPUTED_VALUE"""),"2.1.1.10")</f>
        <v>2.1.1.10</v>
      </c>
      <c r="B1007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07" s="42" t="str">
        <f ca="1">IFERROR(__xludf.DUMMYFUNCTION("""COMPUTED_VALUE"""),"3. Operación")</f>
        <v>3. Operación</v>
      </c>
      <c r="D1007" s="42" t="str">
        <f ca="1">IFERROR(__xludf.DUMMYFUNCTION("""COMPUTED_VALUE"""),"Guadalajara en Paz")</f>
        <v>Guadalajara en Paz</v>
      </c>
      <c r="E1007" s="42" t="str">
        <f ca="1">IFERROR(__xludf.DUMMYFUNCTION("""COMPUTED_VALUE"""),"Atención Psicológica")</f>
        <v>Atención Psicológica</v>
      </c>
      <c r="F1007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007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007" s="42" t="str">
        <f ca="1">IFERROR(__xludf.DUMMYFUNCTION("""COMPUTED_VALUE"""),"HOM Marzo")</f>
        <v>HOM Marzo</v>
      </c>
      <c r="I1007" s="42" t="str">
        <f ca="1">IFERROR(__xludf.DUMMYFUNCTION("""COMPUTED_VALUE"""),"Marzo")</f>
        <v>Marzo</v>
      </c>
      <c r="J1007" s="42" t="str">
        <f ca="1">IFERROR(__xludf.DUMMYFUNCTION("""COMPUTED_VALUE"""),"HOM")</f>
        <v>HOM</v>
      </c>
      <c r="K1007" s="98">
        <f ca="1">IFERROR(__xludf.DUMMYFUNCTION("""COMPUTED_VALUE"""),132)</f>
        <v>132</v>
      </c>
      <c r="L1007" s="42" t="str">
        <f ca="1">IFERROR(__xludf.DUMMYFUNCTION("""COMPUTED_VALUE"""),"TRIMESTRE 1")</f>
        <v>TRIMESTRE 1</v>
      </c>
      <c r="M1007" s="42" t="str">
        <f ca="1">IFERROR(__xludf.DUMMYFUNCTION("""COMPUTED_VALUE"""),"HOMBRES ADULTOS")</f>
        <v>HOMBRES ADULTOS</v>
      </c>
    </row>
    <row r="1008" spans="1:13">
      <c r="A1008" s="42" t="str">
        <f ca="1">IFERROR(__xludf.DUMMYFUNCTION("""COMPUTED_VALUE"""),"2.1.1.10")</f>
        <v>2.1.1.10</v>
      </c>
      <c r="B1008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08" s="42" t="str">
        <f ca="1">IFERROR(__xludf.DUMMYFUNCTION("""COMPUTED_VALUE"""),"3. Operación")</f>
        <v>3. Operación</v>
      </c>
      <c r="D1008" s="42" t="str">
        <f ca="1">IFERROR(__xludf.DUMMYFUNCTION("""COMPUTED_VALUE"""),"Guadalajara en Paz")</f>
        <v>Guadalajara en Paz</v>
      </c>
      <c r="E1008" s="42" t="str">
        <f ca="1">IFERROR(__xludf.DUMMYFUNCTION("""COMPUTED_VALUE"""),"Atención Psicológica")</f>
        <v>Atención Psicológica</v>
      </c>
      <c r="F1008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008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008" s="42" t="str">
        <f ca="1">IFERROR(__xludf.DUMMYFUNCTION("""COMPUTED_VALUE"""),"AMM Marzo")</f>
        <v>AMM Marzo</v>
      </c>
      <c r="I1008" s="42" t="str">
        <f ca="1">IFERROR(__xludf.DUMMYFUNCTION("""COMPUTED_VALUE"""),"Marzo")</f>
        <v>Marzo</v>
      </c>
      <c r="J1008" s="42" t="str">
        <f ca="1">IFERROR(__xludf.DUMMYFUNCTION("""COMPUTED_VALUE"""),"AMM")</f>
        <v>AMM</v>
      </c>
      <c r="K1008" s="98">
        <f ca="1">IFERROR(__xludf.DUMMYFUNCTION("""COMPUTED_VALUE"""),72)</f>
        <v>72</v>
      </c>
      <c r="L1008" s="42" t="str">
        <f ca="1">IFERROR(__xludf.DUMMYFUNCTION("""COMPUTED_VALUE"""),"TRIMESTRE 1")</f>
        <v>TRIMESTRE 1</v>
      </c>
      <c r="M1008" s="42" t="str">
        <f ca="1">IFERROR(__xludf.DUMMYFUNCTION("""COMPUTED_VALUE"""),"ADULTA MAYOR MUJER")</f>
        <v>ADULTA MAYOR MUJER</v>
      </c>
    </row>
    <row r="1009" spans="1:13">
      <c r="A1009" s="42" t="str">
        <f ca="1">IFERROR(__xludf.DUMMYFUNCTION("""COMPUTED_VALUE"""),"2.1.1.10")</f>
        <v>2.1.1.10</v>
      </c>
      <c r="B1009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09" s="42" t="str">
        <f ca="1">IFERROR(__xludf.DUMMYFUNCTION("""COMPUTED_VALUE"""),"3. Operación")</f>
        <v>3. Operación</v>
      </c>
      <c r="D1009" s="42" t="str">
        <f ca="1">IFERROR(__xludf.DUMMYFUNCTION("""COMPUTED_VALUE"""),"Guadalajara en Paz")</f>
        <v>Guadalajara en Paz</v>
      </c>
      <c r="E1009" s="42" t="str">
        <f ca="1">IFERROR(__xludf.DUMMYFUNCTION("""COMPUTED_VALUE"""),"Atención Psicológica")</f>
        <v>Atención Psicológica</v>
      </c>
      <c r="F1009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009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009" s="42" t="str">
        <f ca="1">IFERROR(__xludf.DUMMYFUNCTION("""COMPUTED_VALUE"""),"AMH Marzo")</f>
        <v>AMH Marzo</v>
      </c>
      <c r="I1009" s="42" t="str">
        <f ca="1">IFERROR(__xludf.DUMMYFUNCTION("""COMPUTED_VALUE"""),"Marzo")</f>
        <v>Marzo</v>
      </c>
      <c r="J1009" s="42" t="str">
        <f ca="1">IFERROR(__xludf.DUMMYFUNCTION("""COMPUTED_VALUE"""),"AMH")</f>
        <v>AMH</v>
      </c>
      <c r="K1009" s="98">
        <f ca="1">IFERROR(__xludf.DUMMYFUNCTION("""COMPUTED_VALUE"""),30)</f>
        <v>30</v>
      </c>
      <c r="L1009" s="42" t="str">
        <f ca="1">IFERROR(__xludf.DUMMYFUNCTION("""COMPUTED_VALUE"""),"TRIMESTRE 1")</f>
        <v>TRIMESTRE 1</v>
      </c>
      <c r="M1009" s="42" t="str">
        <f ca="1">IFERROR(__xludf.DUMMYFUNCTION("""COMPUTED_VALUE"""),"ADULTO MAYOR HOMBRE")</f>
        <v>ADULTO MAYOR HOMBRE</v>
      </c>
    </row>
    <row r="1010" spans="1:13">
      <c r="A1010" s="42" t="str">
        <f ca="1">IFERROR(__xludf.DUMMYFUNCTION("""COMPUTED_VALUE"""),"2.1.1.9")</f>
        <v>2.1.1.9</v>
      </c>
      <c r="B1010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10" s="42" t="str">
        <f ca="1">IFERROR(__xludf.DUMMYFUNCTION("""COMPUTED_VALUE"""),"3. Operación")</f>
        <v>3. Operación</v>
      </c>
      <c r="D1010" s="42" t="str">
        <f ca="1">IFERROR(__xludf.DUMMYFUNCTION("""COMPUTED_VALUE"""),"Guadalajara en Paz")</f>
        <v>Guadalajara en Paz</v>
      </c>
      <c r="E1010" s="42" t="str">
        <f ca="1">IFERROR(__xludf.DUMMYFUNCTION("""COMPUTED_VALUE"""),"Atención Psicológica")</f>
        <v>Atención Psicológica</v>
      </c>
      <c r="F1010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010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010" s="42" t="str">
        <f ca="1">IFERROR(__xludf.DUMMYFUNCTION("""COMPUTED_VALUE"""),"NAS Abril")</f>
        <v>NAS Abril</v>
      </c>
      <c r="I1010" s="42" t="str">
        <f ca="1">IFERROR(__xludf.DUMMYFUNCTION("""COMPUTED_VALUE"""),"Abril")</f>
        <v>Abril</v>
      </c>
      <c r="J1010" s="42" t="str">
        <f ca="1">IFERROR(__xludf.DUMMYFUNCTION("""COMPUTED_VALUE"""),"NAS")</f>
        <v>NAS</v>
      </c>
      <c r="K1010" s="98">
        <f ca="1">IFERROR(__xludf.DUMMYFUNCTION("""COMPUTED_VALUE"""),71)</f>
        <v>71</v>
      </c>
      <c r="L1010" s="42" t="str">
        <f ca="1">IFERROR(__xludf.DUMMYFUNCTION("""COMPUTED_VALUE"""),"TRIMESTRE 2")</f>
        <v>TRIMESTRE 2</v>
      </c>
      <c r="M1010" s="42" t="str">
        <f ca="1">IFERROR(__xludf.DUMMYFUNCTION("""COMPUTED_VALUE"""),"NIÑAS")</f>
        <v>NIÑAS</v>
      </c>
    </row>
    <row r="1011" spans="1:13">
      <c r="A1011" s="42" t="str">
        <f ca="1">IFERROR(__xludf.DUMMYFUNCTION("""COMPUTED_VALUE"""),"2.1.1.9")</f>
        <v>2.1.1.9</v>
      </c>
      <c r="B1011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11" s="42" t="str">
        <f ca="1">IFERROR(__xludf.DUMMYFUNCTION("""COMPUTED_VALUE"""),"3. Operación")</f>
        <v>3. Operación</v>
      </c>
      <c r="D1011" s="42" t="str">
        <f ca="1">IFERROR(__xludf.DUMMYFUNCTION("""COMPUTED_VALUE"""),"Guadalajara en Paz")</f>
        <v>Guadalajara en Paz</v>
      </c>
      <c r="E1011" s="42" t="str">
        <f ca="1">IFERROR(__xludf.DUMMYFUNCTION("""COMPUTED_VALUE"""),"Atención Psicológica")</f>
        <v>Atención Psicológica</v>
      </c>
      <c r="F1011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011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011" s="42" t="str">
        <f ca="1">IFERROR(__xludf.DUMMYFUNCTION("""COMPUTED_VALUE"""),"NOS Abril")</f>
        <v>NOS Abril</v>
      </c>
      <c r="I1011" s="42" t="str">
        <f ca="1">IFERROR(__xludf.DUMMYFUNCTION("""COMPUTED_VALUE"""),"Abril")</f>
        <v>Abril</v>
      </c>
      <c r="J1011" s="42" t="str">
        <f ca="1">IFERROR(__xludf.DUMMYFUNCTION("""COMPUTED_VALUE"""),"NOS")</f>
        <v>NOS</v>
      </c>
      <c r="K1011" s="98">
        <f ca="1">IFERROR(__xludf.DUMMYFUNCTION("""COMPUTED_VALUE"""),108)</f>
        <v>108</v>
      </c>
      <c r="L1011" s="42" t="str">
        <f ca="1">IFERROR(__xludf.DUMMYFUNCTION("""COMPUTED_VALUE"""),"TRIMESTRE 2")</f>
        <v>TRIMESTRE 2</v>
      </c>
      <c r="M1011" s="42" t="str">
        <f ca="1">IFERROR(__xludf.DUMMYFUNCTION("""COMPUTED_VALUE"""),"NIÑOS")</f>
        <v>NIÑOS</v>
      </c>
    </row>
    <row r="1012" spans="1:13">
      <c r="A1012" s="42" t="str">
        <f ca="1">IFERROR(__xludf.DUMMYFUNCTION("""COMPUTED_VALUE"""),"2.1.1.9")</f>
        <v>2.1.1.9</v>
      </c>
      <c r="B1012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12" s="42" t="str">
        <f ca="1">IFERROR(__xludf.DUMMYFUNCTION("""COMPUTED_VALUE"""),"3. Operación")</f>
        <v>3. Operación</v>
      </c>
      <c r="D1012" s="42" t="str">
        <f ca="1">IFERROR(__xludf.DUMMYFUNCTION("""COMPUTED_VALUE"""),"Guadalajara en Paz")</f>
        <v>Guadalajara en Paz</v>
      </c>
      <c r="E1012" s="42" t="str">
        <f ca="1">IFERROR(__xludf.DUMMYFUNCTION("""COMPUTED_VALUE"""),"Atención Psicológica")</f>
        <v>Atención Psicológica</v>
      </c>
      <c r="F1012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012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012" s="42" t="str">
        <f ca="1">IFERROR(__xludf.DUMMYFUNCTION("""COMPUTED_VALUE"""),"AM ABRIL")</f>
        <v>AM ABRIL</v>
      </c>
      <c r="I1012" s="42" t="str">
        <f ca="1">IFERROR(__xludf.DUMMYFUNCTION("""COMPUTED_VALUE"""),"Abril")</f>
        <v>Abril</v>
      </c>
      <c r="J1012" s="42" t="str">
        <f ca="1">IFERROR(__xludf.DUMMYFUNCTION("""COMPUTED_VALUE"""),"AM")</f>
        <v>AM</v>
      </c>
      <c r="K1012" s="98">
        <f ca="1">IFERROR(__xludf.DUMMYFUNCTION("""COMPUTED_VALUE"""),59)</f>
        <v>59</v>
      </c>
      <c r="L1012" s="42" t="str">
        <f ca="1">IFERROR(__xludf.DUMMYFUNCTION("""COMPUTED_VALUE"""),"TRIMESTRE 2")</f>
        <v>TRIMESTRE 2</v>
      </c>
      <c r="M1012" s="42" t="str">
        <f ca="1">IFERROR(__xludf.DUMMYFUNCTION("""COMPUTED_VALUE"""),"ADOLESCENTES MUJERES")</f>
        <v>ADOLESCENTES MUJERES</v>
      </c>
    </row>
    <row r="1013" spans="1:13">
      <c r="A1013" s="42" t="str">
        <f ca="1">IFERROR(__xludf.DUMMYFUNCTION("""COMPUTED_VALUE"""),"2.1.1.9")</f>
        <v>2.1.1.9</v>
      </c>
      <c r="B1013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13" s="42" t="str">
        <f ca="1">IFERROR(__xludf.DUMMYFUNCTION("""COMPUTED_VALUE"""),"3. Operación")</f>
        <v>3. Operación</v>
      </c>
      <c r="D1013" s="42" t="str">
        <f ca="1">IFERROR(__xludf.DUMMYFUNCTION("""COMPUTED_VALUE"""),"Guadalajara en Paz")</f>
        <v>Guadalajara en Paz</v>
      </c>
      <c r="E1013" s="42" t="str">
        <f ca="1">IFERROR(__xludf.DUMMYFUNCTION("""COMPUTED_VALUE"""),"Atención Psicológica")</f>
        <v>Atención Psicológica</v>
      </c>
      <c r="F1013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013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013" s="42" t="str">
        <f ca="1">IFERROR(__xludf.DUMMYFUNCTION("""COMPUTED_VALUE"""),"AH ABRIL")</f>
        <v>AH ABRIL</v>
      </c>
      <c r="I1013" s="42" t="str">
        <f ca="1">IFERROR(__xludf.DUMMYFUNCTION("""COMPUTED_VALUE"""),"Abril")</f>
        <v>Abril</v>
      </c>
      <c r="J1013" s="42" t="str">
        <f ca="1">IFERROR(__xludf.DUMMYFUNCTION("""COMPUTED_VALUE"""),"AH")</f>
        <v>AH</v>
      </c>
      <c r="K1013" s="98">
        <f ca="1">IFERROR(__xludf.DUMMYFUNCTION("""COMPUTED_VALUE"""),43)</f>
        <v>43</v>
      </c>
      <c r="L1013" s="42" t="str">
        <f ca="1">IFERROR(__xludf.DUMMYFUNCTION("""COMPUTED_VALUE"""),"TRIMESTRE 2")</f>
        <v>TRIMESTRE 2</v>
      </c>
      <c r="M1013" s="42" t="str">
        <f ca="1">IFERROR(__xludf.DUMMYFUNCTION("""COMPUTED_VALUE"""),"ADOLESCENTES HOMBRES")</f>
        <v>ADOLESCENTES HOMBRES</v>
      </c>
    </row>
    <row r="1014" spans="1:13">
      <c r="A1014" s="42" t="str">
        <f ca="1">IFERROR(__xludf.DUMMYFUNCTION("""COMPUTED_VALUE"""),"2.1.1.9")</f>
        <v>2.1.1.9</v>
      </c>
      <c r="B1014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14" s="42" t="str">
        <f ca="1">IFERROR(__xludf.DUMMYFUNCTION("""COMPUTED_VALUE"""),"3. Operación")</f>
        <v>3. Operación</v>
      </c>
      <c r="D1014" s="42" t="str">
        <f ca="1">IFERROR(__xludf.DUMMYFUNCTION("""COMPUTED_VALUE"""),"Guadalajara en Paz")</f>
        <v>Guadalajara en Paz</v>
      </c>
      <c r="E1014" s="42" t="str">
        <f ca="1">IFERROR(__xludf.DUMMYFUNCTION("""COMPUTED_VALUE"""),"Atención Psicológica")</f>
        <v>Atención Psicológica</v>
      </c>
      <c r="F1014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014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014" s="42" t="str">
        <f ca="1">IFERROR(__xludf.DUMMYFUNCTION("""COMPUTED_VALUE"""),"MUJ Abril")</f>
        <v>MUJ Abril</v>
      </c>
      <c r="I1014" s="42" t="str">
        <f ca="1">IFERROR(__xludf.DUMMYFUNCTION("""COMPUTED_VALUE"""),"Abril")</f>
        <v>Abril</v>
      </c>
      <c r="J1014" s="42" t="str">
        <f ca="1">IFERROR(__xludf.DUMMYFUNCTION("""COMPUTED_VALUE"""),"MUJ")</f>
        <v>MUJ</v>
      </c>
      <c r="K1014" s="98">
        <f ca="1">IFERROR(__xludf.DUMMYFUNCTION("""COMPUTED_VALUE"""),246)</f>
        <v>246</v>
      </c>
      <c r="L1014" s="42" t="str">
        <f ca="1">IFERROR(__xludf.DUMMYFUNCTION("""COMPUTED_VALUE"""),"TRIMESTRE 2")</f>
        <v>TRIMESTRE 2</v>
      </c>
      <c r="M1014" s="42" t="str">
        <f ca="1">IFERROR(__xludf.DUMMYFUNCTION("""COMPUTED_VALUE"""),"MUJERES ADULTAS")</f>
        <v>MUJERES ADULTAS</v>
      </c>
    </row>
    <row r="1015" spans="1:13">
      <c r="A1015" s="42" t="str">
        <f ca="1">IFERROR(__xludf.DUMMYFUNCTION("""COMPUTED_VALUE"""),"2.1.1.9")</f>
        <v>2.1.1.9</v>
      </c>
      <c r="B1015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15" s="42" t="str">
        <f ca="1">IFERROR(__xludf.DUMMYFUNCTION("""COMPUTED_VALUE"""),"3. Operación")</f>
        <v>3. Operación</v>
      </c>
      <c r="D1015" s="42" t="str">
        <f ca="1">IFERROR(__xludf.DUMMYFUNCTION("""COMPUTED_VALUE"""),"Guadalajara en Paz")</f>
        <v>Guadalajara en Paz</v>
      </c>
      <c r="E1015" s="42" t="str">
        <f ca="1">IFERROR(__xludf.DUMMYFUNCTION("""COMPUTED_VALUE"""),"Atención Psicológica")</f>
        <v>Atención Psicológica</v>
      </c>
      <c r="F1015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015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015" s="42" t="str">
        <f ca="1">IFERROR(__xludf.DUMMYFUNCTION("""COMPUTED_VALUE"""),"HOM Abril")</f>
        <v>HOM Abril</v>
      </c>
      <c r="I1015" s="42" t="str">
        <f ca="1">IFERROR(__xludf.DUMMYFUNCTION("""COMPUTED_VALUE"""),"Abril")</f>
        <v>Abril</v>
      </c>
      <c r="J1015" s="42" t="str">
        <f ca="1">IFERROR(__xludf.DUMMYFUNCTION("""COMPUTED_VALUE"""),"HOM")</f>
        <v>HOM</v>
      </c>
      <c r="K1015" s="98">
        <f ca="1">IFERROR(__xludf.DUMMYFUNCTION("""COMPUTED_VALUE"""),90)</f>
        <v>90</v>
      </c>
      <c r="L1015" s="42" t="str">
        <f ca="1">IFERROR(__xludf.DUMMYFUNCTION("""COMPUTED_VALUE"""),"TRIMESTRE 2")</f>
        <v>TRIMESTRE 2</v>
      </c>
      <c r="M1015" s="42" t="str">
        <f ca="1">IFERROR(__xludf.DUMMYFUNCTION("""COMPUTED_VALUE"""),"HOMBRES ADULTOS")</f>
        <v>HOMBRES ADULTOS</v>
      </c>
    </row>
    <row r="1016" spans="1:13">
      <c r="A1016" s="42" t="str">
        <f ca="1">IFERROR(__xludf.DUMMYFUNCTION("""COMPUTED_VALUE"""),"2.1.1.9")</f>
        <v>2.1.1.9</v>
      </c>
      <c r="B1016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16" s="42" t="str">
        <f ca="1">IFERROR(__xludf.DUMMYFUNCTION("""COMPUTED_VALUE"""),"3. Operación")</f>
        <v>3. Operación</v>
      </c>
      <c r="D1016" s="42" t="str">
        <f ca="1">IFERROR(__xludf.DUMMYFUNCTION("""COMPUTED_VALUE"""),"Guadalajara en Paz")</f>
        <v>Guadalajara en Paz</v>
      </c>
      <c r="E1016" s="42" t="str">
        <f ca="1">IFERROR(__xludf.DUMMYFUNCTION("""COMPUTED_VALUE"""),"Atención Psicológica")</f>
        <v>Atención Psicológica</v>
      </c>
      <c r="F1016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016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016" s="42" t="str">
        <f ca="1">IFERROR(__xludf.DUMMYFUNCTION("""COMPUTED_VALUE"""),"AMM Abril")</f>
        <v>AMM Abril</v>
      </c>
      <c r="I1016" s="42" t="str">
        <f ca="1">IFERROR(__xludf.DUMMYFUNCTION("""COMPUTED_VALUE"""),"Abril")</f>
        <v>Abril</v>
      </c>
      <c r="J1016" s="42" t="str">
        <f ca="1">IFERROR(__xludf.DUMMYFUNCTION("""COMPUTED_VALUE"""),"AMM")</f>
        <v>AMM</v>
      </c>
      <c r="K1016" s="98">
        <f ca="1">IFERROR(__xludf.DUMMYFUNCTION("""COMPUTED_VALUE"""),51)</f>
        <v>51</v>
      </c>
      <c r="L1016" s="42" t="str">
        <f ca="1">IFERROR(__xludf.DUMMYFUNCTION("""COMPUTED_VALUE"""),"TRIMESTRE 2")</f>
        <v>TRIMESTRE 2</v>
      </c>
      <c r="M1016" s="42" t="str">
        <f ca="1">IFERROR(__xludf.DUMMYFUNCTION("""COMPUTED_VALUE"""),"ADULTA MAYOR MUJER")</f>
        <v>ADULTA MAYOR MUJER</v>
      </c>
    </row>
    <row r="1017" spans="1:13">
      <c r="A1017" s="42" t="str">
        <f ca="1">IFERROR(__xludf.DUMMYFUNCTION("""COMPUTED_VALUE"""),"2.1.1.9")</f>
        <v>2.1.1.9</v>
      </c>
      <c r="B1017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17" s="42" t="str">
        <f ca="1">IFERROR(__xludf.DUMMYFUNCTION("""COMPUTED_VALUE"""),"3. Operación")</f>
        <v>3. Operación</v>
      </c>
      <c r="D1017" s="42" t="str">
        <f ca="1">IFERROR(__xludf.DUMMYFUNCTION("""COMPUTED_VALUE"""),"Guadalajara en Paz")</f>
        <v>Guadalajara en Paz</v>
      </c>
      <c r="E1017" s="42" t="str">
        <f ca="1">IFERROR(__xludf.DUMMYFUNCTION("""COMPUTED_VALUE"""),"Atención Psicológica")</f>
        <v>Atención Psicológica</v>
      </c>
      <c r="F1017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017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017" s="42" t="str">
        <f ca="1">IFERROR(__xludf.DUMMYFUNCTION("""COMPUTED_VALUE"""),"AMH Abril")</f>
        <v>AMH Abril</v>
      </c>
      <c r="I1017" s="42" t="str">
        <f ca="1">IFERROR(__xludf.DUMMYFUNCTION("""COMPUTED_VALUE"""),"Abril")</f>
        <v>Abril</v>
      </c>
      <c r="J1017" s="42" t="str">
        <f ca="1">IFERROR(__xludf.DUMMYFUNCTION("""COMPUTED_VALUE"""),"AMH")</f>
        <v>AMH</v>
      </c>
      <c r="K1017" s="98">
        <f ca="1">IFERROR(__xludf.DUMMYFUNCTION("""COMPUTED_VALUE"""),10)</f>
        <v>10</v>
      </c>
      <c r="L1017" s="42" t="str">
        <f ca="1">IFERROR(__xludf.DUMMYFUNCTION("""COMPUTED_VALUE"""),"TRIMESTRE 2")</f>
        <v>TRIMESTRE 2</v>
      </c>
      <c r="M1017" s="42" t="str">
        <f ca="1">IFERROR(__xludf.DUMMYFUNCTION("""COMPUTED_VALUE"""),"ADULTO MAYOR HOMBRE")</f>
        <v>ADULTO MAYOR HOMBRE</v>
      </c>
    </row>
    <row r="1018" spans="1:13">
      <c r="A1018" s="42" t="str">
        <f ca="1">IFERROR(__xludf.DUMMYFUNCTION("""COMPUTED_VALUE"""),"2.1.1.10")</f>
        <v>2.1.1.10</v>
      </c>
      <c r="B1018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18" s="42" t="str">
        <f ca="1">IFERROR(__xludf.DUMMYFUNCTION("""COMPUTED_VALUE"""),"3. Operación")</f>
        <v>3. Operación</v>
      </c>
      <c r="D1018" s="42" t="str">
        <f ca="1">IFERROR(__xludf.DUMMYFUNCTION("""COMPUTED_VALUE"""),"Guadalajara en Paz")</f>
        <v>Guadalajara en Paz</v>
      </c>
      <c r="E1018" s="42" t="str">
        <f ca="1">IFERROR(__xludf.DUMMYFUNCTION("""COMPUTED_VALUE"""),"Atención Psicológica")</f>
        <v>Atención Psicológica</v>
      </c>
      <c r="F1018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018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018" s="42" t="str">
        <f ca="1">IFERROR(__xludf.DUMMYFUNCTION("""COMPUTED_VALUE"""),"NAS Abril")</f>
        <v>NAS Abril</v>
      </c>
      <c r="I1018" s="42" t="str">
        <f ca="1">IFERROR(__xludf.DUMMYFUNCTION("""COMPUTED_VALUE"""),"Abril")</f>
        <v>Abril</v>
      </c>
      <c r="J1018" s="42" t="str">
        <f ca="1">IFERROR(__xludf.DUMMYFUNCTION("""COMPUTED_VALUE"""),"NAS")</f>
        <v>NAS</v>
      </c>
      <c r="K1018" s="98">
        <f ca="1">IFERROR(__xludf.DUMMYFUNCTION("""COMPUTED_VALUE"""),84)</f>
        <v>84</v>
      </c>
      <c r="L1018" s="42" t="str">
        <f ca="1">IFERROR(__xludf.DUMMYFUNCTION("""COMPUTED_VALUE"""),"TRIMESTRE 2")</f>
        <v>TRIMESTRE 2</v>
      </c>
      <c r="M1018" s="42" t="str">
        <f ca="1">IFERROR(__xludf.DUMMYFUNCTION("""COMPUTED_VALUE"""),"NIÑAS")</f>
        <v>NIÑAS</v>
      </c>
    </row>
    <row r="1019" spans="1:13">
      <c r="A1019" s="42" t="str">
        <f ca="1">IFERROR(__xludf.DUMMYFUNCTION("""COMPUTED_VALUE"""),"2.1.1.10")</f>
        <v>2.1.1.10</v>
      </c>
      <c r="B1019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19" s="42" t="str">
        <f ca="1">IFERROR(__xludf.DUMMYFUNCTION("""COMPUTED_VALUE"""),"3. Operación")</f>
        <v>3. Operación</v>
      </c>
      <c r="D1019" s="42" t="str">
        <f ca="1">IFERROR(__xludf.DUMMYFUNCTION("""COMPUTED_VALUE"""),"Guadalajara en Paz")</f>
        <v>Guadalajara en Paz</v>
      </c>
      <c r="E1019" s="42" t="str">
        <f ca="1">IFERROR(__xludf.DUMMYFUNCTION("""COMPUTED_VALUE"""),"Atención Psicológica")</f>
        <v>Atención Psicológica</v>
      </c>
      <c r="F1019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019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019" s="42" t="str">
        <f ca="1">IFERROR(__xludf.DUMMYFUNCTION("""COMPUTED_VALUE"""),"NOS Abril")</f>
        <v>NOS Abril</v>
      </c>
      <c r="I1019" s="42" t="str">
        <f ca="1">IFERROR(__xludf.DUMMYFUNCTION("""COMPUTED_VALUE"""),"Abril")</f>
        <v>Abril</v>
      </c>
      <c r="J1019" s="42" t="str">
        <f ca="1">IFERROR(__xludf.DUMMYFUNCTION("""COMPUTED_VALUE"""),"NOS")</f>
        <v>NOS</v>
      </c>
      <c r="K1019" s="98">
        <f ca="1">IFERROR(__xludf.DUMMYFUNCTION("""COMPUTED_VALUE"""),134)</f>
        <v>134</v>
      </c>
      <c r="L1019" s="42" t="str">
        <f ca="1">IFERROR(__xludf.DUMMYFUNCTION("""COMPUTED_VALUE"""),"TRIMESTRE 2")</f>
        <v>TRIMESTRE 2</v>
      </c>
      <c r="M1019" s="42" t="str">
        <f ca="1">IFERROR(__xludf.DUMMYFUNCTION("""COMPUTED_VALUE"""),"NIÑOS")</f>
        <v>NIÑOS</v>
      </c>
    </row>
    <row r="1020" spans="1:13">
      <c r="A1020" s="42" t="str">
        <f ca="1">IFERROR(__xludf.DUMMYFUNCTION("""COMPUTED_VALUE"""),"2.1.1.10")</f>
        <v>2.1.1.10</v>
      </c>
      <c r="B1020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20" s="42" t="str">
        <f ca="1">IFERROR(__xludf.DUMMYFUNCTION("""COMPUTED_VALUE"""),"3. Operación")</f>
        <v>3. Operación</v>
      </c>
      <c r="D1020" s="42" t="str">
        <f ca="1">IFERROR(__xludf.DUMMYFUNCTION("""COMPUTED_VALUE"""),"Guadalajara en Paz")</f>
        <v>Guadalajara en Paz</v>
      </c>
      <c r="E1020" s="42" t="str">
        <f ca="1">IFERROR(__xludf.DUMMYFUNCTION("""COMPUTED_VALUE"""),"Atención Psicológica")</f>
        <v>Atención Psicológica</v>
      </c>
      <c r="F1020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020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020" s="42" t="str">
        <f ca="1">IFERROR(__xludf.DUMMYFUNCTION("""COMPUTED_VALUE"""),"AM ABRIL")</f>
        <v>AM ABRIL</v>
      </c>
      <c r="I1020" s="42" t="str">
        <f ca="1">IFERROR(__xludf.DUMMYFUNCTION("""COMPUTED_VALUE"""),"Abril")</f>
        <v>Abril</v>
      </c>
      <c r="J1020" s="42" t="str">
        <f ca="1">IFERROR(__xludf.DUMMYFUNCTION("""COMPUTED_VALUE"""),"AM")</f>
        <v>AM</v>
      </c>
      <c r="K1020" s="98">
        <f ca="1">IFERROR(__xludf.DUMMYFUNCTION("""COMPUTED_VALUE"""),67)</f>
        <v>67</v>
      </c>
      <c r="L1020" s="42" t="str">
        <f ca="1">IFERROR(__xludf.DUMMYFUNCTION("""COMPUTED_VALUE"""),"TRIMESTRE 2")</f>
        <v>TRIMESTRE 2</v>
      </c>
      <c r="M1020" s="42" t="str">
        <f ca="1">IFERROR(__xludf.DUMMYFUNCTION("""COMPUTED_VALUE"""),"ADOLESCENTES MUJERES")</f>
        <v>ADOLESCENTES MUJERES</v>
      </c>
    </row>
    <row r="1021" spans="1:13">
      <c r="A1021" s="42" t="str">
        <f ca="1">IFERROR(__xludf.DUMMYFUNCTION("""COMPUTED_VALUE"""),"2.1.1.10")</f>
        <v>2.1.1.10</v>
      </c>
      <c r="B1021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21" s="42" t="str">
        <f ca="1">IFERROR(__xludf.DUMMYFUNCTION("""COMPUTED_VALUE"""),"3. Operación")</f>
        <v>3. Operación</v>
      </c>
      <c r="D1021" s="42" t="str">
        <f ca="1">IFERROR(__xludf.DUMMYFUNCTION("""COMPUTED_VALUE"""),"Guadalajara en Paz")</f>
        <v>Guadalajara en Paz</v>
      </c>
      <c r="E1021" s="42" t="str">
        <f ca="1">IFERROR(__xludf.DUMMYFUNCTION("""COMPUTED_VALUE"""),"Atención Psicológica")</f>
        <v>Atención Psicológica</v>
      </c>
      <c r="F1021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021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021" s="42" t="str">
        <f ca="1">IFERROR(__xludf.DUMMYFUNCTION("""COMPUTED_VALUE"""),"AH ABRIL")</f>
        <v>AH ABRIL</v>
      </c>
      <c r="I1021" s="42" t="str">
        <f ca="1">IFERROR(__xludf.DUMMYFUNCTION("""COMPUTED_VALUE"""),"Abril")</f>
        <v>Abril</v>
      </c>
      <c r="J1021" s="42" t="str">
        <f ca="1">IFERROR(__xludf.DUMMYFUNCTION("""COMPUTED_VALUE"""),"AH")</f>
        <v>AH</v>
      </c>
      <c r="K1021" s="98">
        <f ca="1">IFERROR(__xludf.DUMMYFUNCTION("""COMPUTED_VALUE"""),47)</f>
        <v>47</v>
      </c>
      <c r="L1021" s="42" t="str">
        <f ca="1">IFERROR(__xludf.DUMMYFUNCTION("""COMPUTED_VALUE"""),"TRIMESTRE 2")</f>
        <v>TRIMESTRE 2</v>
      </c>
      <c r="M1021" s="42" t="str">
        <f ca="1">IFERROR(__xludf.DUMMYFUNCTION("""COMPUTED_VALUE"""),"ADOLESCENTES HOMBRES")</f>
        <v>ADOLESCENTES HOMBRES</v>
      </c>
    </row>
    <row r="1022" spans="1:13">
      <c r="A1022" s="42" t="str">
        <f ca="1">IFERROR(__xludf.DUMMYFUNCTION("""COMPUTED_VALUE"""),"2.1.1.10")</f>
        <v>2.1.1.10</v>
      </c>
      <c r="B1022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22" s="42" t="str">
        <f ca="1">IFERROR(__xludf.DUMMYFUNCTION("""COMPUTED_VALUE"""),"3. Operación")</f>
        <v>3. Operación</v>
      </c>
      <c r="D1022" s="42" t="str">
        <f ca="1">IFERROR(__xludf.DUMMYFUNCTION("""COMPUTED_VALUE"""),"Guadalajara en Paz")</f>
        <v>Guadalajara en Paz</v>
      </c>
      <c r="E1022" s="42" t="str">
        <f ca="1">IFERROR(__xludf.DUMMYFUNCTION("""COMPUTED_VALUE"""),"Atención Psicológica")</f>
        <v>Atención Psicológica</v>
      </c>
      <c r="F1022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022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022" s="42" t="str">
        <f ca="1">IFERROR(__xludf.DUMMYFUNCTION("""COMPUTED_VALUE"""),"MUJ Abril")</f>
        <v>MUJ Abril</v>
      </c>
      <c r="I1022" s="42" t="str">
        <f ca="1">IFERROR(__xludf.DUMMYFUNCTION("""COMPUTED_VALUE"""),"Abril")</f>
        <v>Abril</v>
      </c>
      <c r="J1022" s="42" t="str">
        <f ca="1">IFERROR(__xludf.DUMMYFUNCTION("""COMPUTED_VALUE"""),"MUJ")</f>
        <v>MUJ</v>
      </c>
      <c r="K1022" s="98">
        <f ca="1">IFERROR(__xludf.DUMMYFUNCTION("""COMPUTED_VALUE"""),306)</f>
        <v>306</v>
      </c>
      <c r="L1022" s="42" t="str">
        <f ca="1">IFERROR(__xludf.DUMMYFUNCTION("""COMPUTED_VALUE"""),"TRIMESTRE 2")</f>
        <v>TRIMESTRE 2</v>
      </c>
      <c r="M1022" s="42" t="str">
        <f ca="1">IFERROR(__xludf.DUMMYFUNCTION("""COMPUTED_VALUE"""),"MUJERES ADULTAS")</f>
        <v>MUJERES ADULTAS</v>
      </c>
    </row>
    <row r="1023" spans="1:13">
      <c r="A1023" s="42" t="str">
        <f ca="1">IFERROR(__xludf.DUMMYFUNCTION("""COMPUTED_VALUE"""),"2.1.1.10")</f>
        <v>2.1.1.10</v>
      </c>
      <c r="B1023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23" s="42" t="str">
        <f ca="1">IFERROR(__xludf.DUMMYFUNCTION("""COMPUTED_VALUE"""),"3. Operación")</f>
        <v>3. Operación</v>
      </c>
      <c r="D1023" s="42" t="str">
        <f ca="1">IFERROR(__xludf.DUMMYFUNCTION("""COMPUTED_VALUE"""),"Guadalajara en Paz")</f>
        <v>Guadalajara en Paz</v>
      </c>
      <c r="E1023" s="42" t="str">
        <f ca="1">IFERROR(__xludf.DUMMYFUNCTION("""COMPUTED_VALUE"""),"Atención Psicológica")</f>
        <v>Atención Psicológica</v>
      </c>
      <c r="F1023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023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023" s="42" t="str">
        <f ca="1">IFERROR(__xludf.DUMMYFUNCTION("""COMPUTED_VALUE"""),"HOM Abril")</f>
        <v>HOM Abril</v>
      </c>
      <c r="I1023" s="42" t="str">
        <f ca="1">IFERROR(__xludf.DUMMYFUNCTION("""COMPUTED_VALUE"""),"Abril")</f>
        <v>Abril</v>
      </c>
      <c r="J1023" s="42" t="str">
        <f ca="1">IFERROR(__xludf.DUMMYFUNCTION("""COMPUTED_VALUE"""),"HOM")</f>
        <v>HOM</v>
      </c>
      <c r="K1023" s="98">
        <f ca="1">IFERROR(__xludf.DUMMYFUNCTION("""COMPUTED_VALUE"""),108)</f>
        <v>108</v>
      </c>
      <c r="L1023" s="42" t="str">
        <f ca="1">IFERROR(__xludf.DUMMYFUNCTION("""COMPUTED_VALUE"""),"TRIMESTRE 2")</f>
        <v>TRIMESTRE 2</v>
      </c>
      <c r="M1023" s="42" t="str">
        <f ca="1">IFERROR(__xludf.DUMMYFUNCTION("""COMPUTED_VALUE"""),"HOMBRES ADULTOS")</f>
        <v>HOMBRES ADULTOS</v>
      </c>
    </row>
    <row r="1024" spans="1:13">
      <c r="A1024" s="42" t="str">
        <f ca="1">IFERROR(__xludf.DUMMYFUNCTION("""COMPUTED_VALUE"""),"2.1.1.10")</f>
        <v>2.1.1.10</v>
      </c>
      <c r="B1024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24" s="42" t="str">
        <f ca="1">IFERROR(__xludf.DUMMYFUNCTION("""COMPUTED_VALUE"""),"3. Operación")</f>
        <v>3. Operación</v>
      </c>
      <c r="D1024" s="42" t="str">
        <f ca="1">IFERROR(__xludf.DUMMYFUNCTION("""COMPUTED_VALUE"""),"Guadalajara en Paz")</f>
        <v>Guadalajara en Paz</v>
      </c>
      <c r="E1024" s="42" t="str">
        <f ca="1">IFERROR(__xludf.DUMMYFUNCTION("""COMPUTED_VALUE"""),"Atención Psicológica")</f>
        <v>Atención Psicológica</v>
      </c>
      <c r="F1024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024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024" s="42" t="str">
        <f ca="1">IFERROR(__xludf.DUMMYFUNCTION("""COMPUTED_VALUE"""),"AMM Abril")</f>
        <v>AMM Abril</v>
      </c>
      <c r="I1024" s="42" t="str">
        <f ca="1">IFERROR(__xludf.DUMMYFUNCTION("""COMPUTED_VALUE"""),"Abril")</f>
        <v>Abril</v>
      </c>
      <c r="J1024" s="42" t="str">
        <f ca="1">IFERROR(__xludf.DUMMYFUNCTION("""COMPUTED_VALUE"""),"AMM")</f>
        <v>AMM</v>
      </c>
      <c r="K1024" s="98">
        <f ca="1">IFERROR(__xludf.DUMMYFUNCTION("""COMPUTED_VALUE"""),60)</f>
        <v>60</v>
      </c>
      <c r="L1024" s="42" t="str">
        <f ca="1">IFERROR(__xludf.DUMMYFUNCTION("""COMPUTED_VALUE"""),"TRIMESTRE 2")</f>
        <v>TRIMESTRE 2</v>
      </c>
      <c r="M1024" s="42" t="str">
        <f ca="1">IFERROR(__xludf.DUMMYFUNCTION("""COMPUTED_VALUE"""),"ADULTA MAYOR MUJER")</f>
        <v>ADULTA MAYOR MUJER</v>
      </c>
    </row>
    <row r="1025" spans="1:13">
      <c r="A1025" s="42" t="str">
        <f ca="1">IFERROR(__xludf.DUMMYFUNCTION("""COMPUTED_VALUE"""),"2.1.1.10")</f>
        <v>2.1.1.10</v>
      </c>
      <c r="B1025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25" s="42" t="str">
        <f ca="1">IFERROR(__xludf.DUMMYFUNCTION("""COMPUTED_VALUE"""),"3. Operación")</f>
        <v>3. Operación</v>
      </c>
      <c r="D1025" s="42" t="str">
        <f ca="1">IFERROR(__xludf.DUMMYFUNCTION("""COMPUTED_VALUE"""),"Guadalajara en Paz")</f>
        <v>Guadalajara en Paz</v>
      </c>
      <c r="E1025" s="42" t="str">
        <f ca="1">IFERROR(__xludf.DUMMYFUNCTION("""COMPUTED_VALUE"""),"Atención Psicológica")</f>
        <v>Atención Psicológica</v>
      </c>
      <c r="F1025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025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025" s="42" t="str">
        <f ca="1">IFERROR(__xludf.DUMMYFUNCTION("""COMPUTED_VALUE"""),"AMH Abril")</f>
        <v>AMH Abril</v>
      </c>
      <c r="I1025" s="42" t="str">
        <f ca="1">IFERROR(__xludf.DUMMYFUNCTION("""COMPUTED_VALUE"""),"Abril")</f>
        <v>Abril</v>
      </c>
      <c r="J1025" s="42" t="str">
        <f ca="1">IFERROR(__xludf.DUMMYFUNCTION("""COMPUTED_VALUE"""),"AMH")</f>
        <v>AMH</v>
      </c>
      <c r="K1025" s="98">
        <f ca="1">IFERROR(__xludf.DUMMYFUNCTION("""COMPUTED_VALUE"""),13)</f>
        <v>13</v>
      </c>
      <c r="L1025" s="42" t="str">
        <f ca="1">IFERROR(__xludf.DUMMYFUNCTION("""COMPUTED_VALUE"""),"TRIMESTRE 2")</f>
        <v>TRIMESTRE 2</v>
      </c>
      <c r="M1025" s="42" t="str">
        <f ca="1">IFERROR(__xludf.DUMMYFUNCTION("""COMPUTED_VALUE"""),"ADULTO MAYOR HOMBRE")</f>
        <v>ADULTO MAYOR HOMBRE</v>
      </c>
    </row>
    <row r="1026" spans="1:13">
      <c r="A1026" s="42" t="str">
        <f ca="1">IFERROR(__xludf.DUMMYFUNCTION("""COMPUTED_VALUE"""),"2.1.1.9")</f>
        <v>2.1.1.9</v>
      </c>
      <c r="B1026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26" s="42" t="str">
        <f ca="1">IFERROR(__xludf.DUMMYFUNCTION("""COMPUTED_VALUE"""),"3. Operación")</f>
        <v>3. Operación</v>
      </c>
      <c r="D1026" s="42" t="str">
        <f ca="1">IFERROR(__xludf.DUMMYFUNCTION("""COMPUTED_VALUE"""),"Guadalajara en Paz")</f>
        <v>Guadalajara en Paz</v>
      </c>
      <c r="E1026" s="42" t="str">
        <f ca="1">IFERROR(__xludf.DUMMYFUNCTION("""COMPUTED_VALUE"""),"Atención Psicológica")</f>
        <v>Atención Psicológica</v>
      </c>
      <c r="F1026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026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026" s="42" t="str">
        <f ca="1">IFERROR(__xludf.DUMMYFUNCTION("""COMPUTED_VALUE"""),"NAS Mayo")</f>
        <v>NAS Mayo</v>
      </c>
      <c r="I1026" s="42" t="str">
        <f ca="1">IFERROR(__xludf.DUMMYFUNCTION("""COMPUTED_VALUE"""),"Mayo")</f>
        <v>Mayo</v>
      </c>
      <c r="J1026" s="42" t="str">
        <f ca="1">IFERROR(__xludf.DUMMYFUNCTION("""COMPUTED_VALUE"""),"NAS")</f>
        <v>NAS</v>
      </c>
      <c r="K1026" s="98">
        <f ca="1">IFERROR(__xludf.DUMMYFUNCTION("""COMPUTED_VALUE"""),92)</f>
        <v>92</v>
      </c>
      <c r="L1026" s="42" t="str">
        <f ca="1">IFERROR(__xludf.DUMMYFUNCTION("""COMPUTED_VALUE"""),"TRIMESTRE 2")</f>
        <v>TRIMESTRE 2</v>
      </c>
      <c r="M1026" s="42" t="str">
        <f ca="1">IFERROR(__xludf.DUMMYFUNCTION("""COMPUTED_VALUE"""),"NIÑAS")</f>
        <v>NIÑAS</v>
      </c>
    </row>
    <row r="1027" spans="1:13">
      <c r="A1027" s="42" t="str">
        <f ca="1">IFERROR(__xludf.DUMMYFUNCTION("""COMPUTED_VALUE"""),"2.1.1.9")</f>
        <v>2.1.1.9</v>
      </c>
      <c r="B1027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27" s="42" t="str">
        <f ca="1">IFERROR(__xludf.DUMMYFUNCTION("""COMPUTED_VALUE"""),"3. Operación")</f>
        <v>3. Operación</v>
      </c>
      <c r="D1027" s="42" t="str">
        <f ca="1">IFERROR(__xludf.DUMMYFUNCTION("""COMPUTED_VALUE"""),"Guadalajara en Paz")</f>
        <v>Guadalajara en Paz</v>
      </c>
      <c r="E1027" s="42" t="str">
        <f ca="1">IFERROR(__xludf.DUMMYFUNCTION("""COMPUTED_VALUE"""),"Atención Psicológica")</f>
        <v>Atención Psicológica</v>
      </c>
      <c r="F1027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027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027" s="42" t="str">
        <f ca="1">IFERROR(__xludf.DUMMYFUNCTION("""COMPUTED_VALUE"""),"NOS Mayo")</f>
        <v>NOS Mayo</v>
      </c>
      <c r="I1027" s="42" t="str">
        <f ca="1">IFERROR(__xludf.DUMMYFUNCTION("""COMPUTED_VALUE"""),"Mayo")</f>
        <v>Mayo</v>
      </c>
      <c r="J1027" s="42" t="str">
        <f ca="1">IFERROR(__xludf.DUMMYFUNCTION("""COMPUTED_VALUE"""),"NOS")</f>
        <v>NOS</v>
      </c>
      <c r="K1027" s="98">
        <f ca="1">IFERROR(__xludf.DUMMYFUNCTION("""COMPUTED_VALUE"""),131)</f>
        <v>131</v>
      </c>
      <c r="L1027" s="42" t="str">
        <f ca="1">IFERROR(__xludf.DUMMYFUNCTION("""COMPUTED_VALUE"""),"TRIMESTRE 2")</f>
        <v>TRIMESTRE 2</v>
      </c>
      <c r="M1027" s="42" t="str">
        <f ca="1">IFERROR(__xludf.DUMMYFUNCTION("""COMPUTED_VALUE"""),"NIÑOS")</f>
        <v>NIÑOS</v>
      </c>
    </row>
    <row r="1028" spans="1:13">
      <c r="A1028" s="42" t="str">
        <f ca="1">IFERROR(__xludf.DUMMYFUNCTION("""COMPUTED_VALUE"""),"2.1.1.9")</f>
        <v>2.1.1.9</v>
      </c>
      <c r="B1028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28" s="42" t="str">
        <f ca="1">IFERROR(__xludf.DUMMYFUNCTION("""COMPUTED_VALUE"""),"3. Operación")</f>
        <v>3. Operación</v>
      </c>
      <c r="D1028" s="42" t="str">
        <f ca="1">IFERROR(__xludf.DUMMYFUNCTION("""COMPUTED_VALUE"""),"Guadalajara en Paz")</f>
        <v>Guadalajara en Paz</v>
      </c>
      <c r="E1028" s="42" t="str">
        <f ca="1">IFERROR(__xludf.DUMMYFUNCTION("""COMPUTED_VALUE"""),"Atención Psicológica")</f>
        <v>Atención Psicológica</v>
      </c>
      <c r="F1028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028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028" s="42" t="str">
        <f ca="1">IFERROR(__xludf.DUMMYFUNCTION("""COMPUTED_VALUE"""),"AM MAYO")</f>
        <v>AM MAYO</v>
      </c>
      <c r="I1028" s="42" t="str">
        <f ca="1">IFERROR(__xludf.DUMMYFUNCTION("""COMPUTED_VALUE"""),"Mayo")</f>
        <v>Mayo</v>
      </c>
      <c r="J1028" s="42" t="str">
        <f ca="1">IFERROR(__xludf.DUMMYFUNCTION("""COMPUTED_VALUE"""),"AM")</f>
        <v>AM</v>
      </c>
      <c r="K1028" s="98">
        <f ca="1">IFERROR(__xludf.DUMMYFUNCTION("""COMPUTED_VALUE"""),83)</f>
        <v>83</v>
      </c>
      <c r="L1028" s="42" t="str">
        <f ca="1">IFERROR(__xludf.DUMMYFUNCTION("""COMPUTED_VALUE"""),"TRIMESTRE 2")</f>
        <v>TRIMESTRE 2</v>
      </c>
      <c r="M1028" s="42" t="str">
        <f ca="1">IFERROR(__xludf.DUMMYFUNCTION("""COMPUTED_VALUE"""),"ADOLESCENTES MUJERES")</f>
        <v>ADOLESCENTES MUJERES</v>
      </c>
    </row>
    <row r="1029" spans="1:13">
      <c r="A1029" s="42" t="str">
        <f ca="1">IFERROR(__xludf.DUMMYFUNCTION("""COMPUTED_VALUE"""),"2.1.1.9")</f>
        <v>2.1.1.9</v>
      </c>
      <c r="B1029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29" s="42" t="str">
        <f ca="1">IFERROR(__xludf.DUMMYFUNCTION("""COMPUTED_VALUE"""),"3. Operación")</f>
        <v>3. Operación</v>
      </c>
      <c r="D1029" s="42" t="str">
        <f ca="1">IFERROR(__xludf.DUMMYFUNCTION("""COMPUTED_VALUE"""),"Guadalajara en Paz")</f>
        <v>Guadalajara en Paz</v>
      </c>
      <c r="E1029" s="42" t="str">
        <f ca="1">IFERROR(__xludf.DUMMYFUNCTION("""COMPUTED_VALUE"""),"Atención Psicológica")</f>
        <v>Atención Psicológica</v>
      </c>
      <c r="F1029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029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029" s="42" t="str">
        <f ca="1">IFERROR(__xludf.DUMMYFUNCTION("""COMPUTED_VALUE"""),"AH MAYO")</f>
        <v>AH MAYO</v>
      </c>
      <c r="I1029" s="42" t="str">
        <f ca="1">IFERROR(__xludf.DUMMYFUNCTION("""COMPUTED_VALUE"""),"Mayo")</f>
        <v>Mayo</v>
      </c>
      <c r="J1029" s="42" t="str">
        <f ca="1">IFERROR(__xludf.DUMMYFUNCTION("""COMPUTED_VALUE"""),"AH")</f>
        <v>AH</v>
      </c>
      <c r="K1029" s="98">
        <f ca="1">IFERROR(__xludf.DUMMYFUNCTION("""COMPUTED_VALUE"""),59)</f>
        <v>59</v>
      </c>
      <c r="L1029" s="42" t="str">
        <f ca="1">IFERROR(__xludf.DUMMYFUNCTION("""COMPUTED_VALUE"""),"TRIMESTRE 2")</f>
        <v>TRIMESTRE 2</v>
      </c>
      <c r="M1029" s="42" t="str">
        <f ca="1">IFERROR(__xludf.DUMMYFUNCTION("""COMPUTED_VALUE"""),"ADOLESCENTES HOMBRES")</f>
        <v>ADOLESCENTES HOMBRES</v>
      </c>
    </row>
    <row r="1030" spans="1:13">
      <c r="A1030" s="42" t="str">
        <f ca="1">IFERROR(__xludf.DUMMYFUNCTION("""COMPUTED_VALUE"""),"2.1.1.9")</f>
        <v>2.1.1.9</v>
      </c>
      <c r="B1030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30" s="42" t="str">
        <f ca="1">IFERROR(__xludf.DUMMYFUNCTION("""COMPUTED_VALUE"""),"3. Operación")</f>
        <v>3. Operación</v>
      </c>
      <c r="D1030" s="42" t="str">
        <f ca="1">IFERROR(__xludf.DUMMYFUNCTION("""COMPUTED_VALUE"""),"Guadalajara en Paz")</f>
        <v>Guadalajara en Paz</v>
      </c>
      <c r="E1030" s="42" t="str">
        <f ca="1">IFERROR(__xludf.DUMMYFUNCTION("""COMPUTED_VALUE"""),"Atención Psicológica")</f>
        <v>Atención Psicológica</v>
      </c>
      <c r="F1030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030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030" s="42" t="str">
        <f ca="1">IFERROR(__xludf.DUMMYFUNCTION("""COMPUTED_VALUE"""),"MUJ Mayo")</f>
        <v>MUJ Mayo</v>
      </c>
      <c r="I1030" s="42" t="str">
        <f ca="1">IFERROR(__xludf.DUMMYFUNCTION("""COMPUTED_VALUE"""),"Mayo")</f>
        <v>Mayo</v>
      </c>
      <c r="J1030" s="42" t="str">
        <f ca="1">IFERROR(__xludf.DUMMYFUNCTION("""COMPUTED_VALUE"""),"MUJ")</f>
        <v>MUJ</v>
      </c>
      <c r="K1030" s="98">
        <f ca="1">IFERROR(__xludf.DUMMYFUNCTION("""COMPUTED_VALUE"""),328)</f>
        <v>328</v>
      </c>
      <c r="L1030" s="42" t="str">
        <f ca="1">IFERROR(__xludf.DUMMYFUNCTION("""COMPUTED_VALUE"""),"TRIMESTRE 2")</f>
        <v>TRIMESTRE 2</v>
      </c>
      <c r="M1030" s="42" t="str">
        <f ca="1">IFERROR(__xludf.DUMMYFUNCTION("""COMPUTED_VALUE"""),"MUJERES ADULTAS")</f>
        <v>MUJERES ADULTAS</v>
      </c>
    </row>
    <row r="1031" spans="1:13">
      <c r="A1031" s="42" t="str">
        <f ca="1">IFERROR(__xludf.DUMMYFUNCTION("""COMPUTED_VALUE"""),"2.1.1.9")</f>
        <v>2.1.1.9</v>
      </c>
      <c r="B1031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31" s="42" t="str">
        <f ca="1">IFERROR(__xludf.DUMMYFUNCTION("""COMPUTED_VALUE"""),"3. Operación")</f>
        <v>3. Operación</v>
      </c>
      <c r="D1031" s="42" t="str">
        <f ca="1">IFERROR(__xludf.DUMMYFUNCTION("""COMPUTED_VALUE"""),"Guadalajara en Paz")</f>
        <v>Guadalajara en Paz</v>
      </c>
      <c r="E1031" s="42" t="str">
        <f ca="1">IFERROR(__xludf.DUMMYFUNCTION("""COMPUTED_VALUE"""),"Atención Psicológica")</f>
        <v>Atención Psicológica</v>
      </c>
      <c r="F1031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031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031" s="42" t="str">
        <f ca="1">IFERROR(__xludf.DUMMYFUNCTION("""COMPUTED_VALUE"""),"HOM Mayo")</f>
        <v>HOM Mayo</v>
      </c>
      <c r="I1031" s="42" t="str">
        <f ca="1">IFERROR(__xludf.DUMMYFUNCTION("""COMPUTED_VALUE"""),"Mayo")</f>
        <v>Mayo</v>
      </c>
      <c r="J1031" s="42" t="str">
        <f ca="1">IFERROR(__xludf.DUMMYFUNCTION("""COMPUTED_VALUE"""),"HOM")</f>
        <v>HOM</v>
      </c>
      <c r="K1031" s="98">
        <f ca="1">IFERROR(__xludf.DUMMYFUNCTION("""COMPUTED_VALUE"""),113)</f>
        <v>113</v>
      </c>
      <c r="L1031" s="42" t="str">
        <f ca="1">IFERROR(__xludf.DUMMYFUNCTION("""COMPUTED_VALUE"""),"TRIMESTRE 2")</f>
        <v>TRIMESTRE 2</v>
      </c>
      <c r="M1031" s="42" t="str">
        <f ca="1">IFERROR(__xludf.DUMMYFUNCTION("""COMPUTED_VALUE"""),"HOMBRES ADULTOS")</f>
        <v>HOMBRES ADULTOS</v>
      </c>
    </row>
    <row r="1032" spans="1:13">
      <c r="A1032" s="42" t="str">
        <f ca="1">IFERROR(__xludf.DUMMYFUNCTION("""COMPUTED_VALUE"""),"2.1.1.9")</f>
        <v>2.1.1.9</v>
      </c>
      <c r="B1032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32" s="42" t="str">
        <f ca="1">IFERROR(__xludf.DUMMYFUNCTION("""COMPUTED_VALUE"""),"3. Operación")</f>
        <v>3. Operación</v>
      </c>
      <c r="D1032" s="42" t="str">
        <f ca="1">IFERROR(__xludf.DUMMYFUNCTION("""COMPUTED_VALUE"""),"Guadalajara en Paz")</f>
        <v>Guadalajara en Paz</v>
      </c>
      <c r="E1032" s="42" t="str">
        <f ca="1">IFERROR(__xludf.DUMMYFUNCTION("""COMPUTED_VALUE"""),"Atención Psicológica")</f>
        <v>Atención Psicológica</v>
      </c>
      <c r="F1032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032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032" s="42" t="str">
        <f ca="1">IFERROR(__xludf.DUMMYFUNCTION("""COMPUTED_VALUE"""),"AMM Mayo")</f>
        <v>AMM Mayo</v>
      </c>
      <c r="I1032" s="42" t="str">
        <f ca="1">IFERROR(__xludf.DUMMYFUNCTION("""COMPUTED_VALUE"""),"Mayo")</f>
        <v>Mayo</v>
      </c>
      <c r="J1032" s="42" t="str">
        <f ca="1">IFERROR(__xludf.DUMMYFUNCTION("""COMPUTED_VALUE"""),"AMM")</f>
        <v>AMM</v>
      </c>
      <c r="K1032" s="98">
        <f ca="1">IFERROR(__xludf.DUMMYFUNCTION("""COMPUTED_VALUE"""),57)</f>
        <v>57</v>
      </c>
      <c r="L1032" s="42" t="str">
        <f ca="1">IFERROR(__xludf.DUMMYFUNCTION("""COMPUTED_VALUE"""),"TRIMESTRE 2")</f>
        <v>TRIMESTRE 2</v>
      </c>
      <c r="M1032" s="42" t="str">
        <f ca="1">IFERROR(__xludf.DUMMYFUNCTION("""COMPUTED_VALUE"""),"ADULTA MAYOR MUJER")</f>
        <v>ADULTA MAYOR MUJER</v>
      </c>
    </row>
    <row r="1033" spans="1:13">
      <c r="A1033" s="42" t="str">
        <f ca="1">IFERROR(__xludf.DUMMYFUNCTION("""COMPUTED_VALUE"""),"2.1.1.9")</f>
        <v>2.1.1.9</v>
      </c>
      <c r="B1033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33" s="42" t="str">
        <f ca="1">IFERROR(__xludf.DUMMYFUNCTION("""COMPUTED_VALUE"""),"3. Operación")</f>
        <v>3. Operación</v>
      </c>
      <c r="D1033" s="42" t="str">
        <f ca="1">IFERROR(__xludf.DUMMYFUNCTION("""COMPUTED_VALUE"""),"Guadalajara en Paz")</f>
        <v>Guadalajara en Paz</v>
      </c>
      <c r="E1033" s="42" t="str">
        <f ca="1">IFERROR(__xludf.DUMMYFUNCTION("""COMPUTED_VALUE"""),"Atención Psicológica")</f>
        <v>Atención Psicológica</v>
      </c>
      <c r="F1033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033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033" s="42" t="str">
        <f ca="1">IFERROR(__xludf.DUMMYFUNCTION("""COMPUTED_VALUE"""),"AMH Mayo")</f>
        <v>AMH Mayo</v>
      </c>
      <c r="I1033" s="42" t="str">
        <f ca="1">IFERROR(__xludf.DUMMYFUNCTION("""COMPUTED_VALUE"""),"Mayo")</f>
        <v>Mayo</v>
      </c>
      <c r="J1033" s="42" t="str">
        <f ca="1">IFERROR(__xludf.DUMMYFUNCTION("""COMPUTED_VALUE"""),"AMH")</f>
        <v>AMH</v>
      </c>
      <c r="K1033" s="98">
        <f ca="1">IFERROR(__xludf.DUMMYFUNCTION("""COMPUTED_VALUE"""),15)</f>
        <v>15</v>
      </c>
      <c r="L1033" s="42" t="str">
        <f ca="1">IFERROR(__xludf.DUMMYFUNCTION("""COMPUTED_VALUE"""),"TRIMESTRE 2")</f>
        <v>TRIMESTRE 2</v>
      </c>
      <c r="M1033" s="42" t="str">
        <f ca="1">IFERROR(__xludf.DUMMYFUNCTION("""COMPUTED_VALUE"""),"ADULTO MAYOR HOMBRE")</f>
        <v>ADULTO MAYOR HOMBRE</v>
      </c>
    </row>
    <row r="1034" spans="1:13">
      <c r="A1034" s="42" t="str">
        <f ca="1">IFERROR(__xludf.DUMMYFUNCTION("""COMPUTED_VALUE"""),"2.1.1.10")</f>
        <v>2.1.1.10</v>
      </c>
      <c r="B1034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34" s="42" t="str">
        <f ca="1">IFERROR(__xludf.DUMMYFUNCTION("""COMPUTED_VALUE"""),"3. Operación")</f>
        <v>3. Operación</v>
      </c>
      <c r="D1034" s="42" t="str">
        <f ca="1">IFERROR(__xludf.DUMMYFUNCTION("""COMPUTED_VALUE"""),"Guadalajara en Paz")</f>
        <v>Guadalajara en Paz</v>
      </c>
      <c r="E1034" s="42" t="str">
        <f ca="1">IFERROR(__xludf.DUMMYFUNCTION("""COMPUTED_VALUE"""),"Atención Psicológica")</f>
        <v>Atención Psicológica</v>
      </c>
      <c r="F1034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034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034" s="42" t="str">
        <f ca="1">IFERROR(__xludf.DUMMYFUNCTION("""COMPUTED_VALUE"""),"NAS Mayo")</f>
        <v>NAS Mayo</v>
      </c>
      <c r="I1034" s="42" t="str">
        <f ca="1">IFERROR(__xludf.DUMMYFUNCTION("""COMPUTED_VALUE"""),"Mayo")</f>
        <v>Mayo</v>
      </c>
      <c r="J1034" s="42" t="str">
        <f ca="1">IFERROR(__xludf.DUMMYFUNCTION("""COMPUTED_VALUE"""),"NAS")</f>
        <v>NAS</v>
      </c>
      <c r="K1034" s="98">
        <f ca="1">IFERROR(__xludf.DUMMYFUNCTION("""COMPUTED_VALUE"""),160)</f>
        <v>160</v>
      </c>
      <c r="L1034" s="42" t="str">
        <f ca="1">IFERROR(__xludf.DUMMYFUNCTION("""COMPUTED_VALUE"""),"TRIMESTRE 2")</f>
        <v>TRIMESTRE 2</v>
      </c>
      <c r="M1034" s="42" t="str">
        <f ca="1">IFERROR(__xludf.DUMMYFUNCTION("""COMPUTED_VALUE"""),"NIÑAS")</f>
        <v>NIÑAS</v>
      </c>
    </row>
    <row r="1035" spans="1:13">
      <c r="A1035" s="42" t="str">
        <f ca="1">IFERROR(__xludf.DUMMYFUNCTION("""COMPUTED_VALUE"""),"2.1.1.10")</f>
        <v>2.1.1.10</v>
      </c>
      <c r="B1035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35" s="42" t="str">
        <f ca="1">IFERROR(__xludf.DUMMYFUNCTION("""COMPUTED_VALUE"""),"3. Operación")</f>
        <v>3. Operación</v>
      </c>
      <c r="D1035" s="42" t="str">
        <f ca="1">IFERROR(__xludf.DUMMYFUNCTION("""COMPUTED_VALUE"""),"Guadalajara en Paz")</f>
        <v>Guadalajara en Paz</v>
      </c>
      <c r="E1035" s="42" t="str">
        <f ca="1">IFERROR(__xludf.DUMMYFUNCTION("""COMPUTED_VALUE"""),"Atención Psicológica")</f>
        <v>Atención Psicológica</v>
      </c>
      <c r="F1035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035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035" s="42" t="str">
        <f ca="1">IFERROR(__xludf.DUMMYFUNCTION("""COMPUTED_VALUE"""),"NOS Mayo")</f>
        <v>NOS Mayo</v>
      </c>
      <c r="I1035" s="42" t="str">
        <f ca="1">IFERROR(__xludf.DUMMYFUNCTION("""COMPUTED_VALUE"""),"Mayo")</f>
        <v>Mayo</v>
      </c>
      <c r="J1035" s="42" t="str">
        <f ca="1">IFERROR(__xludf.DUMMYFUNCTION("""COMPUTED_VALUE"""),"NOS")</f>
        <v>NOS</v>
      </c>
      <c r="K1035" s="98">
        <f ca="1">IFERROR(__xludf.DUMMYFUNCTION("""COMPUTED_VALUE"""),206)</f>
        <v>206</v>
      </c>
      <c r="L1035" s="42" t="str">
        <f ca="1">IFERROR(__xludf.DUMMYFUNCTION("""COMPUTED_VALUE"""),"TRIMESTRE 2")</f>
        <v>TRIMESTRE 2</v>
      </c>
      <c r="M1035" s="42" t="str">
        <f ca="1">IFERROR(__xludf.DUMMYFUNCTION("""COMPUTED_VALUE"""),"NIÑOS")</f>
        <v>NIÑOS</v>
      </c>
    </row>
    <row r="1036" spans="1:13">
      <c r="A1036" s="42" t="str">
        <f ca="1">IFERROR(__xludf.DUMMYFUNCTION("""COMPUTED_VALUE"""),"2.1.1.10")</f>
        <v>2.1.1.10</v>
      </c>
      <c r="B1036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36" s="42" t="str">
        <f ca="1">IFERROR(__xludf.DUMMYFUNCTION("""COMPUTED_VALUE"""),"3. Operación")</f>
        <v>3. Operación</v>
      </c>
      <c r="D1036" s="42" t="str">
        <f ca="1">IFERROR(__xludf.DUMMYFUNCTION("""COMPUTED_VALUE"""),"Guadalajara en Paz")</f>
        <v>Guadalajara en Paz</v>
      </c>
      <c r="E1036" s="42" t="str">
        <f ca="1">IFERROR(__xludf.DUMMYFUNCTION("""COMPUTED_VALUE"""),"Atención Psicológica")</f>
        <v>Atención Psicológica</v>
      </c>
      <c r="F1036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036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036" s="42" t="str">
        <f ca="1">IFERROR(__xludf.DUMMYFUNCTION("""COMPUTED_VALUE"""),"AM MAYO")</f>
        <v>AM MAYO</v>
      </c>
      <c r="I1036" s="42" t="str">
        <f ca="1">IFERROR(__xludf.DUMMYFUNCTION("""COMPUTED_VALUE"""),"Mayo")</f>
        <v>Mayo</v>
      </c>
      <c r="J1036" s="42" t="str">
        <f ca="1">IFERROR(__xludf.DUMMYFUNCTION("""COMPUTED_VALUE"""),"AM")</f>
        <v>AM</v>
      </c>
      <c r="K1036" s="98">
        <f ca="1">IFERROR(__xludf.DUMMYFUNCTION("""COMPUTED_VALUE"""),145)</f>
        <v>145</v>
      </c>
      <c r="L1036" s="42" t="str">
        <f ca="1">IFERROR(__xludf.DUMMYFUNCTION("""COMPUTED_VALUE"""),"TRIMESTRE 2")</f>
        <v>TRIMESTRE 2</v>
      </c>
      <c r="M1036" s="42" t="str">
        <f ca="1">IFERROR(__xludf.DUMMYFUNCTION("""COMPUTED_VALUE"""),"ADOLESCENTES MUJERES")</f>
        <v>ADOLESCENTES MUJERES</v>
      </c>
    </row>
    <row r="1037" spans="1:13">
      <c r="A1037" s="42" t="str">
        <f ca="1">IFERROR(__xludf.DUMMYFUNCTION("""COMPUTED_VALUE"""),"2.1.1.10")</f>
        <v>2.1.1.10</v>
      </c>
      <c r="B1037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37" s="42" t="str">
        <f ca="1">IFERROR(__xludf.DUMMYFUNCTION("""COMPUTED_VALUE"""),"3. Operación")</f>
        <v>3. Operación</v>
      </c>
      <c r="D1037" s="42" t="str">
        <f ca="1">IFERROR(__xludf.DUMMYFUNCTION("""COMPUTED_VALUE"""),"Guadalajara en Paz")</f>
        <v>Guadalajara en Paz</v>
      </c>
      <c r="E1037" s="42" t="str">
        <f ca="1">IFERROR(__xludf.DUMMYFUNCTION("""COMPUTED_VALUE"""),"Atención Psicológica")</f>
        <v>Atención Psicológica</v>
      </c>
      <c r="F1037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037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037" s="42" t="str">
        <f ca="1">IFERROR(__xludf.DUMMYFUNCTION("""COMPUTED_VALUE"""),"AH MAYO")</f>
        <v>AH MAYO</v>
      </c>
      <c r="I1037" s="42" t="str">
        <f ca="1">IFERROR(__xludf.DUMMYFUNCTION("""COMPUTED_VALUE"""),"Mayo")</f>
        <v>Mayo</v>
      </c>
      <c r="J1037" s="42" t="str">
        <f ca="1">IFERROR(__xludf.DUMMYFUNCTION("""COMPUTED_VALUE"""),"AH")</f>
        <v>AH</v>
      </c>
      <c r="K1037" s="98">
        <f ca="1">IFERROR(__xludf.DUMMYFUNCTION("""COMPUTED_VALUE"""),88)</f>
        <v>88</v>
      </c>
      <c r="L1037" s="42" t="str">
        <f ca="1">IFERROR(__xludf.DUMMYFUNCTION("""COMPUTED_VALUE"""),"TRIMESTRE 2")</f>
        <v>TRIMESTRE 2</v>
      </c>
      <c r="M1037" s="42" t="str">
        <f ca="1">IFERROR(__xludf.DUMMYFUNCTION("""COMPUTED_VALUE"""),"ADOLESCENTES HOMBRES")</f>
        <v>ADOLESCENTES HOMBRES</v>
      </c>
    </row>
    <row r="1038" spans="1:13">
      <c r="A1038" s="42" t="str">
        <f ca="1">IFERROR(__xludf.DUMMYFUNCTION("""COMPUTED_VALUE"""),"2.1.1.10")</f>
        <v>2.1.1.10</v>
      </c>
      <c r="B1038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38" s="42" t="str">
        <f ca="1">IFERROR(__xludf.DUMMYFUNCTION("""COMPUTED_VALUE"""),"3. Operación")</f>
        <v>3. Operación</v>
      </c>
      <c r="D1038" s="42" t="str">
        <f ca="1">IFERROR(__xludf.DUMMYFUNCTION("""COMPUTED_VALUE"""),"Guadalajara en Paz")</f>
        <v>Guadalajara en Paz</v>
      </c>
      <c r="E1038" s="42" t="str">
        <f ca="1">IFERROR(__xludf.DUMMYFUNCTION("""COMPUTED_VALUE"""),"Atención Psicológica")</f>
        <v>Atención Psicológica</v>
      </c>
      <c r="F1038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038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038" s="42" t="str">
        <f ca="1">IFERROR(__xludf.DUMMYFUNCTION("""COMPUTED_VALUE"""),"MUJ Mayo")</f>
        <v>MUJ Mayo</v>
      </c>
      <c r="I1038" s="42" t="str">
        <f ca="1">IFERROR(__xludf.DUMMYFUNCTION("""COMPUTED_VALUE"""),"Mayo")</f>
        <v>Mayo</v>
      </c>
      <c r="J1038" s="42" t="str">
        <f ca="1">IFERROR(__xludf.DUMMYFUNCTION("""COMPUTED_VALUE"""),"MUJ")</f>
        <v>MUJ</v>
      </c>
      <c r="K1038" s="98">
        <f ca="1">IFERROR(__xludf.DUMMYFUNCTION("""COMPUTED_VALUE"""),502)</f>
        <v>502</v>
      </c>
      <c r="L1038" s="42" t="str">
        <f ca="1">IFERROR(__xludf.DUMMYFUNCTION("""COMPUTED_VALUE"""),"TRIMESTRE 2")</f>
        <v>TRIMESTRE 2</v>
      </c>
      <c r="M1038" s="42" t="str">
        <f ca="1">IFERROR(__xludf.DUMMYFUNCTION("""COMPUTED_VALUE"""),"MUJERES ADULTAS")</f>
        <v>MUJERES ADULTAS</v>
      </c>
    </row>
    <row r="1039" spans="1:13">
      <c r="A1039" s="42" t="str">
        <f ca="1">IFERROR(__xludf.DUMMYFUNCTION("""COMPUTED_VALUE"""),"2.1.1.10")</f>
        <v>2.1.1.10</v>
      </c>
      <c r="B1039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39" s="42" t="str">
        <f ca="1">IFERROR(__xludf.DUMMYFUNCTION("""COMPUTED_VALUE"""),"3. Operación")</f>
        <v>3. Operación</v>
      </c>
      <c r="D1039" s="42" t="str">
        <f ca="1">IFERROR(__xludf.DUMMYFUNCTION("""COMPUTED_VALUE"""),"Guadalajara en Paz")</f>
        <v>Guadalajara en Paz</v>
      </c>
      <c r="E1039" s="42" t="str">
        <f ca="1">IFERROR(__xludf.DUMMYFUNCTION("""COMPUTED_VALUE"""),"Atención Psicológica")</f>
        <v>Atención Psicológica</v>
      </c>
      <c r="F1039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039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039" s="42" t="str">
        <f ca="1">IFERROR(__xludf.DUMMYFUNCTION("""COMPUTED_VALUE"""),"HOM Mayo")</f>
        <v>HOM Mayo</v>
      </c>
      <c r="I1039" s="42" t="str">
        <f ca="1">IFERROR(__xludf.DUMMYFUNCTION("""COMPUTED_VALUE"""),"Mayo")</f>
        <v>Mayo</v>
      </c>
      <c r="J1039" s="42" t="str">
        <f ca="1">IFERROR(__xludf.DUMMYFUNCTION("""COMPUTED_VALUE"""),"HOM")</f>
        <v>HOM</v>
      </c>
      <c r="K1039" s="98">
        <f ca="1">IFERROR(__xludf.DUMMYFUNCTION("""COMPUTED_VALUE"""),64)</f>
        <v>64</v>
      </c>
      <c r="L1039" s="42" t="str">
        <f ca="1">IFERROR(__xludf.DUMMYFUNCTION("""COMPUTED_VALUE"""),"TRIMESTRE 2")</f>
        <v>TRIMESTRE 2</v>
      </c>
      <c r="M1039" s="42" t="str">
        <f ca="1">IFERROR(__xludf.DUMMYFUNCTION("""COMPUTED_VALUE"""),"HOMBRES ADULTOS")</f>
        <v>HOMBRES ADULTOS</v>
      </c>
    </row>
    <row r="1040" spans="1:13">
      <c r="A1040" s="42" t="str">
        <f ca="1">IFERROR(__xludf.DUMMYFUNCTION("""COMPUTED_VALUE"""),"2.1.1.10")</f>
        <v>2.1.1.10</v>
      </c>
      <c r="B1040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40" s="42" t="str">
        <f ca="1">IFERROR(__xludf.DUMMYFUNCTION("""COMPUTED_VALUE"""),"3. Operación")</f>
        <v>3. Operación</v>
      </c>
      <c r="D1040" s="42" t="str">
        <f ca="1">IFERROR(__xludf.DUMMYFUNCTION("""COMPUTED_VALUE"""),"Guadalajara en Paz")</f>
        <v>Guadalajara en Paz</v>
      </c>
      <c r="E1040" s="42" t="str">
        <f ca="1">IFERROR(__xludf.DUMMYFUNCTION("""COMPUTED_VALUE"""),"Atención Psicológica")</f>
        <v>Atención Psicológica</v>
      </c>
      <c r="F1040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040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040" s="42" t="str">
        <f ca="1">IFERROR(__xludf.DUMMYFUNCTION("""COMPUTED_VALUE"""),"AMM Mayo")</f>
        <v>AMM Mayo</v>
      </c>
      <c r="I1040" s="42" t="str">
        <f ca="1">IFERROR(__xludf.DUMMYFUNCTION("""COMPUTED_VALUE"""),"Mayo")</f>
        <v>Mayo</v>
      </c>
      <c r="J1040" s="42" t="str">
        <f ca="1">IFERROR(__xludf.DUMMYFUNCTION("""COMPUTED_VALUE"""),"AMM")</f>
        <v>AMM</v>
      </c>
      <c r="K1040" s="98">
        <f ca="1">IFERROR(__xludf.DUMMYFUNCTION("""COMPUTED_VALUE"""),86)</f>
        <v>86</v>
      </c>
      <c r="L1040" s="42" t="str">
        <f ca="1">IFERROR(__xludf.DUMMYFUNCTION("""COMPUTED_VALUE"""),"TRIMESTRE 2")</f>
        <v>TRIMESTRE 2</v>
      </c>
      <c r="M1040" s="42" t="str">
        <f ca="1">IFERROR(__xludf.DUMMYFUNCTION("""COMPUTED_VALUE"""),"ADULTA MAYOR MUJER")</f>
        <v>ADULTA MAYOR MUJER</v>
      </c>
    </row>
    <row r="1041" spans="1:13">
      <c r="A1041" s="42" t="str">
        <f ca="1">IFERROR(__xludf.DUMMYFUNCTION("""COMPUTED_VALUE"""),"2.1.1.10")</f>
        <v>2.1.1.10</v>
      </c>
      <c r="B1041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41" s="42" t="str">
        <f ca="1">IFERROR(__xludf.DUMMYFUNCTION("""COMPUTED_VALUE"""),"3. Operación")</f>
        <v>3. Operación</v>
      </c>
      <c r="D1041" s="42" t="str">
        <f ca="1">IFERROR(__xludf.DUMMYFUNCTION("""COMPUTED_VALUE"""),"Guadalajara en Paz")</f>
        <v>Guadalajara en Paz</v>
      </c>
      <c r="E1041" s="42" t="str">
        <f ca="1">IFERROR(__xludf.DUMMYFUNCTION("""COMPUTED_VALUE"""),"Atención Psicológica")</f>
        <v>Atención Psicológica</v>
      </c>
      <c r="F1041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041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041" s="42" t="str">
        <f ca="1">IFERROR(__xludf.DUMMYFUNCTION("""COMPUTED_VALUE"""),"AMH Mayo")</f>
        <v>AMH Mayo</v>
      </c>
      <c r="I1041" s="42" t="str">
        <f ca="1">IFERROR(__xludf.DUMMYFUNCTION("""COMPUTED_VALUE"""),"Mayo")</f>
        <v>Mayo</v>
      </c>
      <c r="J1041" s="42" t="str">
        <f ca="1">IFERROR(__xludf.DUMMYFUNCTION("""COMPUTED_VALUE"""),"AMH")</f>
        <v>AMH</v>
      </c>
      <c r="K1041" s="98">
        <f ca="1">IFERROR(__xludf.DUMMYFUNCTION("""COMPUTED_VALUE"""),19)</f>
        <v>19</v>
      </c>
      <c r="L1041" s="42" t="str">
        <f ca="1">IFERROR(__xludf.DUMMYFUNCTION("""COMPUTED_VALUE"""),"TRIMESTRE 2")</f>
        <v>TRIMESTRE 2</v>
      </c>
      <c r="M1041" s="42" t="str">
        <f ca="1">IFERROR(__xludf.DUMMYFUNCTION("""COMPUTED_VALUE"""),"ADULTO MAYOR HOMBRE")</f>
        <v>ADULTO MAYOR HOMBRE</v>
      </c>
    </row>
    <row r="1042" spans="1:13">
      <c r="A1042" s="42" t="str">
        <f ca="1">IFERROR(__xludf.DUMMYFUNCTION("""COMPUTED_VALUE"""),"2.1.1.9")</f>
        <v>2.1.1.9</v>
      </c>
      <c r="B1042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42" s="42" t="str">
        <f ca="1">IFERROR(__xludf.DUMMYFUNCTION("""COMPUTED_VALUE"""),"3. Operación")</f>
        <v>3. Operación</v>
      </c>
      <c r="D1042" s="42" t="str">
        <f ca="1">IFERROR(__xludf.DUMMYFUNCTION("""COMPUTED_VALUE"""),"Guadalajara en Paz")</f>
        <v>Guadalajara en Paz</v>
      </c>
      <c r="E1042" s="42" t="str">
        <f ca="1">IFERROR(__xludf.DUMMYFUNCTION("""COMPUTED_VALUE"""),"Atención Psicológica")</f>
        <v>Atención Psicológica</v>
      </c>
      <c r="F1042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042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042" s="42" t="str">
        <f ca="1">IFERROR(__xludf.DUMMYFUNCTION("""COMPUTED_VALUE"""),"NAS Junio")</f>
        <v>NAS Junio</v>
      </c>
      <c r="I1042" s="42" t="str">
        <f ca="1">IFERROR(__xludf.DUMMYFUNCTION("""COMPUTED_VALUE"""),"Junio")</f>
        <v>Junio</v>
      </c>
      <c r="J1042" s="42" t="str">
        <f ca="1">IFERROR(__xludf.DUMMYFUNCTION("""COMPUTED_VALUE"""),"NAS")</f>
        <v>NAS</v>
      </c>
      <c r="K1042" s="98">
        <f ca="1">IFERROR(__xludf.DUMMYFUNCTION("""COMPUTED_VALUE"""),94)</f>
        <v>94</v>
      </c>
      <c r="L1042" s="42" t="str">
        <f ca="1">IFERROR(__xludf.DUMMYFUNCTION("""COMPUTED_VALUE"""),"TRIMESTRE 2")</f>
        <v>TRIMESTRE 2</v>
      </c>
      <c r="M1042" s="42" t="str">
        <f ca="1">IFERROR(__xludf.DUMMYFUNCTION("""COMPUTED_VALUE"""),"NIÑAS")</f>
        <v>NIÑAS</v>
      </c>
    </row>
    <row r="1043" spans="1:13">
      <c r="A1043" s="42" t="str">
        <f ca="1">IFERROR(__xludf.DUMMYFUNCTION("""COMPUTED_VALUE"""),"2.1.1.9")</f>
        <v>2.1.1.9</v>
      </c>
      <c r="B1043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43" s="42" t="str">
        <f ca="1">IFERROR(__xludf.DUMMYFUNCTION("""COMPUTED_VALUE"""),"3. Operación")</f>
        <v>3. Operación</v>
      </c>
      <c r="D1043" s="42" t="str">
        <f ca="1">IFERROR(__xludf.DUMMYFUNCTION("""COMPUTED_VALUE"""),"Guadalajara en Paz")</f>
        <v>Guadalajara en Paz</v>
      </c>
      <c r="E1043" s="42" t="str">
        <f ca="1">IFERROR(__xludf.DUMMYFUNCTION("""COMPUTED_VALUE"""),"Atención Psicológica")</f>
        <v>Atención Psicológica</v>
      </c>
      <c r="F1043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043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043" s="42" t="str">
        <f ca="1">IFERROR(__xludf.DUMMYFUNCTION("""COMPUTED_VALUE"""),"NOS Junio")</f>
        <v>NOS Junio</v>
      </c>
      <c r="I1043" s="42" t="str">
        <f ca="1">IFERROR(__xludf.DUMMYFUNCTION("""COMPUTED_VALUE"""),"Junio")</f>
        <v>Junio</v>
      </c>
      <c r="J1043" s="42" t="str">
        <f ca="1">IFERROR(__xludf.DUMMYFUNCTION("""COMPUTED_VALUE"""),"NOS")</f>
        <v>NOS</v>
      </c>
      <c r="K1043" s="98">
        <f ca="1">IFERROR(__xludf.DUMMYFUNCTION("""COMPUTED_VALUE"""),114)</f>
        <v>114</v>
      </c>
      <c r="L1043" s="42" t="str">
        <f ca="1">IFERROR(__xludf.DUMMYFUNCTION("""COMPUTED_VALUE"""),"TRIMESTRE 2")</f>
        <v>TRIMESTRE 2</v>
      </c>
      <c r="M1043" s="42" t="str">
        <f ca="1">IFERROR(__xludf.DUMMYFUNCTION("""COMPUTED_VALUE"""),"NIÑOS")</f>
        <v>NIÑOS</v>
      </c>
    </row>
    <row r="1044" spans="1:13">
      <c r="A1044" s="42" t="str">
        <f ca="1">IFERROR(__xludf.DUMMYFUNCTION("""COMPUTED_VALUE"""),"2.1.1.9")</f>
        <v>2.1.1.9</v>
      </c>
      <c r="B1044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44" s="42" t="str">
        <f ca="1">IFERROR(__xludf.DUMMYFUNCTION("""COMPUTED_VALUE"""),"3. Operación")</f>
        <v>3. Operación</v>
      </c>
      <c r="D1044" s="42" t="str">
        <f ca="1">IFERROR(__xludf.DUMMYFUNCTION("""COMPUTED_VALUE"""),"Guadalajara en Paz")</f>
        <v>Guadalajara en Paz</v>
      </c>
      <c r="E1044" s="42" t="str">
        <f ca="1">IFERROR(__xludf.DUMMYFUNCTION("""COMPUTED_VALUE"""),"Atención Psicológica")</f>
        <v>Atención Psicológica</v>
      </c>
      <c r="F1044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044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044" s="42" t="str">
        <f ca="1">IFERROR(__xludf.DUMMYFUNCTION("""COMPUTED_VALUE"""),"AM JUNIO")</f>
        <v>AM JUNIO</v>
      </c>
      <c r="I1044" s="42" t="str">
        <f ca="1">IFERROR(__xludf.DUMMYFUNCTION("""COMPUTED_VALUE"""),"Junio")</f>
        <v>Junio</v>
      </c>
      <c r="J1044" s="42" t="str">
        <f ca="1">IFERROR(__xludf.DUMMYFUNCTION("""COMPUTED_VALUE"""),"AM")</f>
        <v>AM</v>
      </c>
      <c r="K1044" s="98">
        <f ca="1">IFERROR(__xludf.DUMMYFUNCTION("""COMPUTED_VALUE"""),85)</f>
        <v>85</v>
      </c>
      <c r="L1044" s="42" t="str">
        <f ca="1">IFERROR(__xludf.DUMMYFUNCTION("""COMPUTED_VALUE"""),"TRIMESTRE 2")</f>
        <v>TRIMESTRE 2</v>
      </c>
      <c r="M1044" s="42" t="str">
        <f ca="1">IFERROR(__xludf.DUMMYFUNCTION("""COMPUTED_VALUE"""),"ADOLESCENTES MUJERES")</f>
        <v>ADOLESCENTES MUJERES</v>
      </c>
    </row>
    <row r="1045" spans="1:13">
      <c r="A1045" s="42" t="str">
        <f ca="1">IFERROR(__xludf.DUMMYFUNCTION("""COMPUTED_VALUE"""),"2.1.1.9")</f>
        <v>2.1.1.9</v>
      </c>
      <c r="B1045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45" s="42" t="str">
        <f ca="1">IFERROR(__xludf.DUMMYFUNCTION("""COMPUTED_VALUE"""),"3. Operación")</f>
        <v>3. Operación</v>
      </c>
      <c r="D1045" s="42" t="str">
        <f ca="1">IFERROR(__xludf.DUMMYFUNCTION("""COMPUTED_VALUE"""),"Guadalajara en Paz")</f>
        <v>Guadalajara en Paz</v>
      </c>
      <c r="E1045" s="42" t="str">
        <f ca="1">IFERROR(__xludf.DUMMYFUNCTION("""COMPUTED_VALUE"""),"Atención Psicológica")</f>
        <v>Atención Psicológica</v>
      </c>
      <c r="F1045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045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045" s="42" t="str">
        <f ca="1">IFERROR(__xludf.DUMMYFUNCTION("""COMPUTED_VALUE"""),"AH JUNIO")</f>
        <v>AH JUNIO</v>
      </c>
      <c r="I1045" s="42" t="str">
        <f ca="1">IFERROR(__xludf.DUMMYFUNCTION("""COMPUTED_VALUE"""),"Junio")</f>
        <v>Junio</v>
      </c>
      <c r="J1045" s="42" t="str">
        <f ca="1">IFERROR(__xludf.DUMMYFUNCTION("""COMPUTED_VALUE"""),"AH")</f>
        <v>AH</v>
      </c>
      <c r="K1045" s="98">
        <f ca="1">IFERROR(__xludf.DUMMYFUNCTION("""COMPUTED_VALUE"""),58)</f>
        <v>58</v>
      </c>
      <c r="L1045" s="42" t="str">
        <f ca="1">IFERROR(__xludf.DUMMYFUNCTION("""COMPUTED_VALUE"""),"TRIMESTRE 2")</f>
        <v>TRIMESTRE 2</v>
      </c>
      <c r="M1045" s="42" t="str">
        <f ca="1">IFERROR(__xludf.DUMMYFUNCTION("""COMPUTED_VALUE"""),"ADOLESCENTES HOMBRES")</f>
        <v>ADOLESCENTES HOMBRES</v>
      </c>
    </row>
    <row r="1046" spans="1:13">
      <c r="A1046" s="42" t="str">
        <f ca="1">IFERROR(__xludf.DUMMYFUNCTION("""COMPUTED_VALUE"""),"2.1.1.9")</f>
        <v>2.1.1.9</v>
      </c>
      <c r="B1046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46" s="42" t="str">
        <f ca="1">IFERROR(__xludf.DUMMYFUNCTION("""COMPUTED_VALUE"""),"3. Operación")</f>
        <v>3. Operación</v>
      </c>
      <c r="D1046" s="42" t="str">
        <f ca="1">IFERROR(__xludf.DUMMYFUNCTION("""COMPUTED_VALUE"""),"Guadalajara en Paz")</f>
        <v>Guadalajara en Paz</v>
      </c>
      <c r="E1046" s="42" t="str">
        <f ca="1">IFERROR(__xludf.DUMMYFUNCTION("""COMPUTED_VALUE"""),"Atención Psicológica")</f>
        <v>Atención Psicológica</v>
      </c>
      <c r="F1046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046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046" s="42" t="str">
        <f ca="1">IFERROR(__xludf.DUMMYFUNCTION("""COMPUTED_VALUE"""),"MUJ Junio")</f>
        <v>MUJ Junio</v>
      </c>
      <c r="I1046" s="42" t="str">
        <f ca="1">IFERROR(__xludf.DUMMYFUNCTION("""COMPUTED_VALUE"""),"Junio")</f>
        <v>Junio</v>
      </c>
      <c r="J1046" s="42" t="str">
        <f ca="1">IFERROR(__xludf.DUMMYFUNCTION("""COMPUTED_VALUE"""),"MUJ")</f>
        <v>MUJ</v>
      </c>
      <c r="K1046" s="98">
        <f ca="1">IFERROR(__xludf.DUMMYFUNCTION("""COMPUTED_VALUE"""),314)</f>
        <v>314</v>
      </c>
      <c r="L1046" s="42" t="str">
        <f ca="1">IFERROR(__xludf.DUMMYFUNCTION("""COMPUTED_VALUE"""),"TRIMESTRE 2")</f>
        <v>TRIMESTRE 2</v>
      </c>
      <c r="M1046" s="42" t="str">
        <f ca="1">IFERROR(__xludf.DUMMYFUNCTION("""COMPUTED_VALUE"""),"MUJERES ADULTAS")</f>
        <v>MUJERES ADULTAS</v>
      </c>
    </row>
    <row r="1047" spans="1:13">
      <c r="A1047" s="42" t="str">
        <f ca="1">IFERROR(__xludf.DUMMYFUNCTION("""COMPUTED_VALUE"""),"2.1.1.9")</f>
        <v>2.1.1.9</v>
      </c>
      <c r="B1047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47" s="42" t="str">
        <f ca="1">IFERROR(__xludf.DUMMYFUNCTION("""COMPUTED_VALUE"""),"3. Operación")</f>
        <v>3. Operación</v>
      </c>
      <c r="D1047" s="42" t="str">
        <f ca="1">IFERROR(__xludf.DUMMYFUNCTION("""COMPUTED_VALUE"""),"Guadalajara en Paz")</f>
        <v>Guadalajara en Paz</v>
      </c>
      <c r="E1047" s="42" t="str">
        <f ca="1">IFERROR(__xludf.DUMMYFUNCTION("""COMPUTED_VALUE"""),"Atención Psicológica")</f>
        <v>Atención Psicológica</v>
      </c>
      <c r="F1047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047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047" s="42" t="str">
        <f ca="1">IFERROR(__xludf.DUMMYFUNCTION("""COMPUTED_VALUE"""),"HOM Junio")</f>
        <v>HOM Junio</v>
      </c>
      <c r="I1047" s="42" t="str">
        <f ca="1">IFERROR(__xludf.DUMMYFUNCTION("""COMPUTED_VALUE"""),"Junio")</f>
        <v>Junio</v>
      </c>
      <c r="J1047" s="42" t="str">
        <f ca="1">IFERROR(__xludf.DUMMYFUNCTION("""COMPUTED_VALUE"""),"HOM")</f>
        <v>HOM</v>
      </c>
      <c r="K1047" s="98">
        <f ca="1">IFERROR(__xludf.DUMMYFUNCTION("""COMPUTED_VALUE"""),116)</f>
        <v>116</v>
      </c>
      <c r="L1047" s="42" t="str">
        <f ca="1">IFERROR(__xludf.DUMMYFUNCTION("""COMPUTED_VALUE"""),"TRIMESTRE 2")</f>
        <v>TRIMESTRE 2</v>
      </c>
      <c r="M1047" s="42" t="str">
        <f ca="1">IFERROR(__xludf.DUMMYFUNCTION("""COMPUTED_VALUE"""),"HOMBRES ADULTOS")</f>
        <v>HOMBRES ADULTOS</v>
      </c>
    </row>
    <row r="1048" spans="1:13">
      <c r="A1048" s="42" t="str">
        <f ca="1">IFERROR(__xludf.DUMMYFUNCTION("""COMPUTED_VALUE"""),"2.1.1.9")</f>
        <v>2.1.1.9</v>
      </c>
      <c r="B1048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48" s="42" t="str">
        <f ca="1">IFERROR(__xludf.DUMMYFUNCTION("""COMPUTED_VALUE"""),"3. Operación")</f>
        <v>3. Operación</v>
      </c>
      <c r="D1048" s="42" t="str">
        <f ca="1">IFERROR(__xludf.DUMMYFUNCTION("""COMPUTED_VALUE"""),"Guadalajara en Paz")</f>
        <v>Guadalajara en Paz</v>
      </c>
      <c r="E1048" s="42" t="str">
        <f ca="1">IFERROR(__xludf.DUMMYFUNCTION("""COMPUTED_VALUE"""),"Atención Psicológica")</f>
        <v>Atención Psicológica</v>
      </c>
      <c r="F1048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048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048" s="42" t="str">
        <f ca="1">IFERROR(__xludf.DUMMYFUNCTION("""COMPUTED_VALUE"""),"AMM Junio")</f>
        <v>AMM Junio</v>
      </c>
      <c r="I1048" s="42" t="str">
        <f ca="1">IFERROR(__xludf.DUMMYFUNCTION("""COMPUTED_VALUE"""),"Junio")</f>
        <v>Junio</v>
      </c>
      <c r="J1048" s="42" t="str">
        <f ca="1">IFERROR(__xludf.DUMMYFUNCTION("""COMPUTED_VALUE"""),"AMM")</f>
        <v>AMM</v>
      </c>
      <c r="K1048" s="98">
        <f ca="1">IFERROR(__xludf.DUMMYFUNCTION("""COMPUTED_VALUE"""),54)</f>
        <v>54</v>
      </c>
      <c r="L1048" s="42" t="str">
        <f ca="1">IFERROR(__xludf.DUMMYFUNCTION("""COMPUTED_VALUE"""),"TRIMESTRE 2")</f>
        <v>TRIMESTRE 2</v>
      </c>
      <c r="M1048" s="42" t="str">
        <f ca="1">IFERROR(__xludf.DUMMYFUNCTION("""COMPUTED_VALUE"""),"ADULTA MAYOR MUJER")</f>
        <v>ADULTA MAYOR MUJER</v>
      </c>
    </row>
    <row r="1049" spans="1:13">
      <c r="A1049" s="42" t="str">
        <f ca="1">IFERROR(__xludf.DUMMYFUNCTION("""COMPUTED_VALUE"""),"2.1.1.9")</f>
        <v>2.1.1.9</v>
      </c>
      <c r="B1049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49" s="42" t="str">
        <f ca="1">IFERROR(__xludf.DUMMYFUNCTION("""COMPUTED_VALUE"""),"3. Operación")</f>
        <v>3. Operación</v>
      </c>
      <c r="D1049" s="42" t="str">
        <f ca="1">IFERROR(__xludf.DUMMYFUNCTION("""COMPUTED_VALUE"""),"Guadalajara en Paz")</f>
        <v>Guadalajara en Paz</v>
      </c>
      <c r="E1049" s="42" t="str">
        <f ca="1">IFERROR(__xludf.DUMMYFUNCTION("""COMPUTED_VALUE"""),"Atención Psicológica")</f>
        <v>Atención Psicológica</v>
      </c>
      <c r="F1049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049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049" s="42" t="str">
        <f ca="1">IFERROR(__xludf.DUMMYFUNCTION("""COMPUTED_VALUE"""),"AMH Junio")</f>
        <v>AMH Junio</v>
      </c>
      <c r="I1049" s="42" t="str">
        <f ca="1">IFERROR(__xludf.DUMMYFUNCTION("""COMPUTED_VALUE"""),"Junio")</f>
        <v>Junio</v>
      </c>
      <c r="J1049" s="42" t="str">
        <f ca="1">IFERROR(__xludf.DUMMYFUNCTION("""COMPUTED_VALUE"""),"AMH")</f>
        <v>AMH</v>
      </c>
      <c r="K1049" s="98">
        <f ca="1">IFERROR(__xludf.DUMMYFUNCTION("""COMPUTED_VALUE"""),23)</f>
        <v>23</v>
      </c>
      <c r="L1049" s="42" t="str">
        <f ca="1">IFERROR(__xludf.DUMMYFUNCTION("""COMPUTED_VALUE"""),"TRIMESTRE 2")</f>
        <v>TRIMESTRE 2</v>
      </c>
      <c r="M1049" s="42" t="str">
        <f ca="1">IFERROR(__xludf.DUMMYFUNCTION("""COMPUTED_VALUE"""),"ADULTO MAYOR HOMBRE")</f>
        <v>ADULTO MAYOR HOMBRE</v>
      </c>
    </row>
    <row r="1050" spans="1:13">
      <c r="A1050" s="42" t="str">
        <f ca="1">IFERROR(__xludf.DUMMYFUNCTION("""COMPUTED_VALUE"""),"2.1.1.10")</f>
        <v>2.1.1.10</v>
      </c>
      <c r="B1050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50" s="42" t="str">
        <f ca="1">IFERROR(__xludf.DUMMYFUNCTION("""COMPUTED_VALUE"""),"3. Operación")</f>
        <v>3. Operación</v>
      </c>
      <c r="D1050" s="42" t="str">
        <f ca="1">IFERROR(__xludf.DUMMYFUNCTION("""COMPUTED_VALUE"""),"Guadalajara en Paz")</f>
        <v>Guadalajara en Paz</v>
      </c>
      <c r="E1050" s="42" t="str">
        <f ca="1">IFERROR(__xludf.DUMMYFUNCTION("""COMPUTED_VALUE"""),"Atención Psicológica")</f>
        <v>Atención Psicológica</v>
      </c>
      <c r="F1050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050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050" s="42" t="str">
        <f ca="1">IFERROR(__xludf.DUMMYFUNCTION("""COMPUTED_VALUE"""),"NAS Junio")</f>
        <v>NAS Junio</v>
      </c>
      <c r="I1050" s="42" t="str">
        <f ca="1">IFERROR(__xludf.DUMMYFUNCTION("""COMPUTED_VALUE"""),"Junio")</f>
        <v>Junio</v>
      </c>
      <c r="J1050" s="42" t="str">
        <f ca="1">IFERROR(__xludf.DUMMYFUNCTION("""COMPUTED_VALUE"""),"NAS")</f>
        <v>NAS</v>
      </c>
      <c r="K1050" s="98">
        <f ca="1">IFERROR(__xludf.DUMMYFUNCTION("""COMPUTED_VALUE"""),159)</f>
        <v>159</v>
      </c>
      <c r="L1050" s="42" t="str">
        <f ca="1">IFERROR(__xludf.DUMMYFUNCTION("""COMPUTED_VALUE"""),"TRIMESTRE 2")</f>
        <v>TRIMESTRE 2</v>
      </c>
      <c r="M1050" s="42" t="str">
        <f ca="1">IFERROR(__xludf.DUMMYFUNCTION("""COMPUTED_VALUE"""),"NIÑAS")</f>
        <v>NIÑAS</v>
      </c>
    </row>
    <row r="1051" spans="1:13">
      <c r="A1051" s="42" t="str">
        <f ca="1">IFERROR(__xludf.DUMMYFUNCTION("""COMPUTED_VALUE"""),"2.1.1.10")</f>
        <v>2.1.1.10</v>
      </c>
      <c r="B1051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51" s="42" t="str">
        <f ca="1">IFERROR(__xludf.DUMMYFUNCTION("""COMPUTED_VALUE"""),"3. Operación")</f>
        <v>3. Operación</v>
      </c>
      <c r="D1051" s="42" t="str">
        <f ca="1">IFERROR(__xludf.DUMMYFUNCTION("""COMPUTED_VALUE"""),"Guadalajara en Paz")</f>
        <v>Guadalajara en Paz</v>
      </c>
      <c r="E1051" s="42" t="str">
        <f ca="1">IFERROR(__xludf.DUMMYFUNCTION("""COMPUTED_VALUE"""),"Atención Psicológica")</f>
        <v>Atención Psicológica</v>
      </c>
      <c r="F1051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051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051" s="42" t="str">
        <f ca="1">IFERROR(__xludf.DUMMYFUNCTION("""COMPUTED_VALUE"""),"NOS Junio")</f>
        <v>NOS Junio</v>
      </c>
      <c r="I1051" s="42" t="str">
        <f ca="1">IFERROR(__xludf.DUMMYFUNCTION("""COMPUTED_VALUE"""),"Junio")</f>
        <v>Junio</v>
      </c>
      <c r="J1051" s="42" t="str">
        <f ca="1">IFERROR(__xludf.DUMMYFUNCTION("""COMPUTED_VALUE"""),"NOS")</f>
        <v>NOS</v>
      </c>
      <c r="K1051" s="98">
        <f ca="1">IFERROR(__xludf.DUMMYFUNCTION("""COMPUTED_VALUE"""),205)</f>
        <v>205</v>
      </c>
      <c r="L1051" s="42" t="str">
        <f ca="1">IFERROR(__xludf.DUMMYFUNCTION("""COMPUTED_VALUE"""),"TRIMESTRE 2")</f>
        <v>TRIMESTRE 2</v>
      </c>
      <c r="M1051" s="42" t="str">
        <f ca="1">IFERROR(__xludf.DUMMYFUNCTION("""COMPUTED_VALUE"""),"NIÑOS")</f>
        <v>NIÑOS</v>
      </c>
    </row>
    <row r="1052" spans="1:13">
      <c r="A1052" s="42" t="str">
        <f ca="1">IFERROR(__xludf.DUMMYFUNCTION("""COMPUTED_VALUE"""),"2.1.1.10")</f>
        <v>2.1.1.10</v>
      </c>
      <c r="B1052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52" s="42" t="str">
        <f ca="1">IFERROR(__xludf.DUMMYFUNCTION("""COMPUTED_VALUE"""),"3. Operación")</f>
        <v>3. Operación</v>
      </c>
      <c r="D1052" s="42" t="str">
        <f ca="1">IFERROR(__xludf.DUMMYFUNCTION("""COMPUTED_VALUE"""),"Guadalajara en Paz")</f>
        <v>Guadalajara en Paz</v>
      </c>
      <c r="E1052" s="42" t="str">
        <f ca="1">IFERROR(__xludf.DUMMYFUNCTION("""COMPUTED_VALUE"""),"Atención Psicológica")</f>
        <v>Atención Psicológica</v>
      </c>
      <c r="F1052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052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052" s="42" t="str">
        <f ca="1">IFERROR(__xludf.DUMMYFUNCTION("""COMPUTED_VALUE"""),"AM JUNIO")</f>
        <v>AM JUNIO</v>
      </c>
      <c r="I1052" s="42" t="str">
        <f ca="1">IFERROR(__xludf.DUMMYFUNCTION("""COMPUTED_VALUE"""),"Junio")</f>
        <v>Junio</v>
      </c>
      <c r="J1052" s="42" t="str">
        <f ca="1">IFERROR(__xludf.DUMMYFUNCTION("""COMPUTED_VALUE"""),"AM")</f>
        <v>AM</v>
      </c>
      <c r="K1052" s="98">
        <f ca="1">IFERROR(__xludf.DUMMYFUNCTION("""COMPUTED_VALUE"""),129)</f>
        <v>129</v>
      </c>
      <c r="L1052" s="42" t="str">
        <f ca="1">IFERROR(__xludf.DUMMYFUNCTION("""COMPUTED_VALUE"""),"TRIMESTRE 2")</f>
        <v>TRIMESTRE 2</v>
      </c>
      <c r="M1052" s="42" t="str">
        <f ca="1">IFERROR(__xludf.DUMMYFUNCTION("""COMPUTED_VALUE"""),"ADOLESCENTES MUJERES")</f>
        <v>ADOLESCENTES MUJERES</v>
      </c>
    </row>
    <row r="1053" spans="1:13">
      <c r="A1053" s="42" t="str">
        <f ca="1">IFERROR(__xludf.DUMMYFUNCTION("""COMPUTED_VALUE"""),"2.1.1.10")</f>
        <v>2.1.1.10</v>
      </c>
      <c r="B1053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53" s="42" t="str">
        <f ca="1">IFERROR(__xludf.DUMMYFUNCTION("""COMPUTED_VALUE"""),"3. Operación")</f>
        <v>3. Operación</v>
      </c>
      <c r="D1053" s="42" t="str">
        <f ca="1">IFERROR(__xludf.DUMMYFUNCTION("""COMPUTED_VALUE"""),"Guadalajara en Paz")</f>
        <v>Guadalajara en Paz</v>
      </c>
      <c r="E1053" s="42" t="str">
        <f ca="1">IFERROR(__xludf.DUMMYFUNCTION("""COMPUTED_VALUE"""),"Atención Psicológica")</f>
        <v>Atención Psicológica</v>
      </c>
      <c r="F1053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053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053" s="42" t="str">
        <f ca="1">IFERROR(__xludf.DUMMYFUNCTION("""COMPUTED_VALUE"""),"AH JUNIO")</f>
        <v>AH JUNIO</v>
      </c>
      <c r="I1053" s="42" t="str">
        <f ca="1">IFERROR(__xludf.DUMMYFUNCTION("""COMPUTED_VALUE"""),"Junio")</f>
        <v>Junio</v>
      </c>
      <c r="J1053" s="42" t="str">
        <f ca="1">IFERROR(__xludf.DUMMYFUNCTION("""COMPUTED_VALUE"""),"AH")</f>
        <v>AH</v>
      </c>
      <c r="K1053" s="98">
        <f ca="1">IFERROR(__xludf.DUMMYFUNCTION("""COMPUTED_VALUE"""),96)</f>
        <v>96</v>
      </c>
      <c r="L1053" s="42" t="str">
        <f ca="1">IFERROR(__xludf.DUMMYFUNCTION("""COMPUTED_VALUE"""),"TRIMESTRE 2")</f>
        <v>TRIMESTRE 2</v>
      </c>
      <c r="M1053" s="42" t="str">
        <f ca="1">IFERROR(__xludf.DUMMYFUNCTION("""COMPUTED_VALUE"""),"ADOLESCENTES HOMBRES")</f>
        <v>ADOLESCENTES HOMBRES</v>
      </c>
    </row>
    <row r="1054" spans="1:13">
      <c r="A1054" s="42" t="str">
        <f ca="1">IFERROR(__xludf.DUMMYFUNCTION("""COMPUTED_VALUE"""),"2.1.1.10")</f>
        <v>2.1.1.10</v>
      </c>
      <c r="B1054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54" s="42" t="str">
        <f ca="1">IFERROR(__xludf.DUMMYFUNCTION("""COMPUTED_VALUE"""),"3. Operación")</f>
        <v>3. Operación</v>
      </c>
      <c r="D1054" s="42" t="str">
        <f ca="1">IFERROR(__xludf.DUMMYFUNCTION("""COMPUTED_VALUE"""),"Guadalajara en Paz")</f>
        <v>Guadalajara en Paz</v>
      </c>
      <c r="E1054" s="42" t="str">
        <f ca="1">IFERROR(__xludf.DUMMYFUNCTION("""COMPUTED_VALUE"""),"Atención Psicológica")</f>
        <v>Atención Psicológica</v>
      </c>
      <c r="F1054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054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054" s="42" t="str">
        <f ca="1">IFERROR(__xludf.DUMMYFUNCTION("""COMPUTED_VALUE"""),"MUJ Junio")</f>
        <v>MUJ Junio</v>
      </c>
      <c r="I1054" s="42" t="str">
        <f ca="1">IFERROR(__xludf.DUMMYFUNCTION("""COMPUTED_VALUE"""),"Junio")</f>
        <v>Junio</v>
      </c>
      <c r="J1054" s="42" t="str">
        <f ca="1">IFERROR(__xludf.DUMMYFUNCTION("""COMPUTED_VALUE"""),"MUJ")</f>
        <v>MUJ</v>
      </c>
      <c r="K1054" s="98">
        <f ca="1">IFERROR(__xludf.DUMMYFUNCTION("""COMPUTED_VALUE"""),524)</f>
        <v>524</v>
      </c>
      <c r="L1054" s="42" t="str">
        <f ca="1">IFERROR(__xludf.DUMMYFUNCTION("""COMPUTED_VALUE"""),"TRIMESTRE 2")</f>
        <v>TRIMESTRE 2</v>
      </c>
      <c r="M1054" s="42" t="str">
        <f ca="1">IFERROR(__xludf.DUMMYFUNCTION("""COMPUTED_VALUE"""),"MUJERES ADULTAS")</f>
        <v>MUJERES ADULTAS</v>
      </c>
    </row>
    <row r="1055" spans="1:13">
      <c r="A1055" s="42" t="str">
        <f ca="1">IFERROR(__xludf.DUMMYFUNCTION("""COMPUTED_VALUE"""),"2.1.1.10")</f>
        <v>2.1.1.10</v>
      </c>
      <c r="B1055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55" s="42" t="str">
        <f ca="1">IFERROR(__xludf.DUMMYFUNCTION("""COMPUTED_VALUE"""),"3. Operación")</f>
        <v>3. Operación</v>
      </c>
      <c r="D1055" s="42" t="str">
        <f ca="1">IFERROR(__xludf.DUMMYFUNCTION("""COMPUTED_VALUE"""),"Guadalajara en Paz")</f>
        <v>Guadalajara en Paz</v>
      </c>
      <c r="E1055" s="42" t="str">
        <f ca="1">IFERROR(__xludf.DUMMYFUNCTION("""COMPUTED_VALUE"""),"Atención Psicológica")</f>
        <v>Atención Psicológica</v>
      </c>
      <c r="F1055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055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055" s="42" t="str">
        <f ca="1">IFERROR(__xludf.DUMMYFUNCTION("""COMPUTED_VALUE"""),"HOM Junio")</f>
        <v>HOM Junio</v>
      </c>
      <c r="I1055" s="42" t="str">
        <f ca="1">IFERROR(__xludf.DUMMYFUNCTION("""COMPUTED_VALUE"""),"Junio")</f>
        <v>Junio</v>
      </c>
      <c r="J1055" s="42" t="str">
        <f ca="1">IFERROR(__xludf.DUMMYFUNCTION("""COMPUTED_VALUE"""),"HOM")</f>
        <v>HOM</v>
      </c>
      <c r="K1055" s="98">
        <f ca="1">IFERROR(__xludf.DUMMYFUNCTION("""COMPUTED_VALUE"""),188)</f>
        <v>188</v>
      </c>
      <c r="L1055" s="42" t="str">
        <f ca="1">IFERROR(__xludf.DUMMYFUNCTION("""COMPUTED_VALUE"""),"TRIMESTRE 2")</f>
        <v>TRIMESTRE 2</v>
      </c>
      <c r="M1055" s="42" t="str">
        <f ca="1">IFERROR(__xludf.DUMMYFUNCTION("""COMPUTED_VALUE"""),"HOMBRES ADULTOS")</f>
        <v>HOMBRES ADULTOS</v>
      </c>
    </row>
    <row r="1056" spans="1:13">
      <c r="A1056" s="42" t="str">
        <f ca="1">IFERROR(__xludf.DUMMYFUNCTION("""COMPUTED_VALUE"""),"2.1.1.10")</f>
        <v>2.1.1.10</v>
      </c>
      <c r="B1056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56" s="42" t="str">
        <f ca="1">IFERROR(__xludf.DUMMYFUNCTION("""COMPUTED_VALUE"""),"3. Operación")</f>
        <v>3. Operación</v>
      </c>
      <c r="D1056" s="42" t="str">
        <f ca="1">IFERROR(__xludf.DUMMYFUNCTION("""COMPUTED_VALUE"""),"Guadalajara en Paz")</f>
        <v>Guadalajara en Paz</v>
      </c>
      <c r="E1056" s="42" t="str">
        <f ca="1">IFERROR(__xludf.DUMMYFUNCTION("""COMPUTED_VALUE"""),"Atención Psicológica")</f>
        <v>Atención Psicológica</v>
      </c>
      <c r="F1056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056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056" s="42" t="str">
        <f ca="1">IFERROR(__xludf.DUMMYFUNCTION("""COMPUTED_VALUE"""),"AMM Junio")</f>
        <v>AMM Junio</v>
      </c>
      <c r="I1056" s="42" t="str">
        <f ca="1">IFERROR(__xludf.DUMMYFUNCTION("""COMPUTED_VALUE"""),"Junio")</f>
        <v>Junio</v>
      </c>
      <c r="J1056" s="42" t="str">
        <f ca="1">IFERROR(__xludf.DUMMYFUNCTION("""COMPUTED_VALUE"""),"AMM")</f>
        <v>AMM</v>
      </c>
      <c r="K1056" s="98">
        <f ca="1">IFERROR(__xludf.DUMMYFUNCTION("""COMPUTED_VALUE"""),84)</f>
        <v>84</v>
      </c>
      <c r="L1056" s="42" t="str">
        <f ca="1">IFERROR(__xludf.DUMMYFUNCTION("""COMPUTED_VALUE"""),"TRIMESTRE 2")</f>
        <v>TRIMESTRE 2</v>
      </c>
      <c r="M1056" s="42" t="str">
        <f ca="1">IFERROR(__xludf.DUMMYFUNCTION("""COMPUTED_VALUE"""),"ADULTA MAYOR MUJER")</f>
        <v>ADULTA MAYOR MUJER</v>
      </c>
    </row>
    <row r="1057" spans="1:13">
      <c r="A1057" s="42" t="str">
        <f ca="1">IFERROR(__xludf.DUMMYFUNCTION("""COMPUTED_VALUE"""),"2.1.1.10")</f>
        <v>2.1.1.10</v>
      </c>
      <c r="B1057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57" s="42" t="str">
        <f ca="1">IFERROR(__xludf.DUMMYFUNCTION("""COMPUTED_VALUE"""),"3. Operación")</f>
        <v>3. Operación</v>
      </c>
      <c r="D1057" s="42" t="str">
        <f ca="1">IFERROR(__xludf.DUMMYFUNCTION("""COMPUTED_VALUE"""),"Guadalajara en Paz")</f>
        <v>Guadalajara en Paz</v>
      </c>
      <c r="E1057" s="42" t="str">
        <f ca="1">IFERROR(__xludf.DUMMYFUNCTION("""COMPUTED_VALUE"""),"Atención Psicológica")</f>
        <v>Atención Psicológica</v>
      </c>
      <c r="F1057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057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057" s="42" t="str">
        <f ca="1">IFERROR(__xludf.DUMMYFUNCTION("""COMPUTED_VALUE"""),"AMH Junio")</f>
        <v>AMH Junio</v>
      </c>
      <c r="I1057" s="42" t="str">
        <f ca="1">IFERROR(__xludf.DUMMYFUNCTION("""COMPUTED_VALUE"""),"Junio")</f>
        <v>Junio</v>
      </c>
      <c r="J1057" s="42" t="str">
        <f ca="1">IFERROR(__xludf.DUMMYFUNCTION("""COMPUTED_VALUE"""),"AMH")</f>
        <v>AMH</v>
      </c>
      <c r="K1057" s="98">
        <f ca="1">IFERROR(__xludf.DUMMYFUNCTION("""COMPUTED_VALUE"""),41)</f>
        <v>41</v>
      </c>
      <c r="L1057" s="42" t="str">
        <f ca="1">IFERROR(__xludf.DUMMYFUNCTION("""COMPUTED_VALUE"""),"TRIMESTRE 2")</f>
        <v>TRIMESTRE 2</v>
      </c>
      <c r="M1057" s="42" t="str">
        <f ca="1">IFERROR(__xludf.DUMMYFUNCTION("""COMPUTED_VALUE"""),"ADULTO MAYOR HOMBRE")</f>
        <v>ADULTO MAYOR HOMBRE</v>
      </c>
    </row>
    <row r="1058" spans="1:13">
      <c r="A1058" s="42" t="str">
        <f ca="1">IFERROR(__xludf.DUMMYFUNCTION("""COMPUTED_VALUE"""),"2.1.1.9")</f>
        <v>2.1.1.9</v>
      </c>
      <c r="B1058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58" s="42" t="str">
        <f ca="1">IFERROR(__xludf.DUMMYFUNCTION("""COMPUTED_VALUE"""),"3. Operación")</f>
        <v>3. Operación</v>
      </c>
      <c r="D1058" s="42" t="str">
        <f ca="1">IFERROR(__xludf.DUMMYFUNCTION("""COMPUTED_VALUE"""),"Guadalajara en Paz")</f>
        <v>Guadalajara en Paz</v>
      </c>
      <c r="E1058" s="42" t="str">
        <f ca="1">IFERROR(__xludf.DUMMYFUNCTION("""COMPUTED_VALUE"""),"Atención Psicológica")</f>
        <v>Atención Psicológica</v>
      </c>
      <c r="F1058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058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058" s="42" t="str">
        <f ca="1">IFERROR(__xludf.DUMMYFUNCTION("""COMPUTED_VALUE"""),"NAS Julio")</f>
        <v>NAS Julio</v>
      </c>
      <c r="I1058" s="42" t="str">
        <f ca="1">IFERROR(__xludf.DUMMYFUNCTION("""COMPUTED_VALUE"""),"Julio")</f>
        <v>Julio</v>
      </c>
      <c r="J1058" s="42" t="str">
        <f ca="1">IFERROR(__xludf.DUMMYFUNCTION("""COMPUTED_VALUE"""),"NAS")</f>
        <v>NAS</v>
      </c>
      <c r="K1058" s="98">
        <f ca="1">IFERROR(__xludf.DUMMYFUNCTION("""COMPUTED_VALUE"""),87)</f>
        <v>87</v>
      </c>
      <c r="L1058" s="42" t="str">
        <f ca="1">IFERROR(__xludf.DUMMYFUNCTION("""COMPUTED_VALUE"""),"TRIMESTRE 3")</f>
        <v>TRIMESTRE 3</v>
      </c>
      <c r="M1058" s="42" t="str">
        <f ca="1">IFERROR(__xludf.DUMMYFUNCTION("""COMPUTED_VALUE"""),"NIÑAS")</f>
        <v>NIÑAS</v>
      </c>
    </row>
    <row r="1059" spans="1:13">
      <c r="A1059" s="42" t="str">
        <f ca="1">IFERROR(__xludf.DUMMYFUNCTION("""COMPUTED_VALUE"""),"2.1.1.9")</f>
        <v>2.1.1.9</v>
      </c>
      <c r="B1059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59" s="42" t="str">
        <f ca="1">IFERROR(__xludf.DUMMYFUNCTION("""COMPUTED_VALUE"""),"3. Operación")</f>
        <v>3. Operación</v>
      </c>
      <c r="D1059" s="42" t="str">
        <f ca="1">IFERROR(__xludf.DUMMYFUNCTION("""COMPUTED_VALUE"""),"Guadalajara en Paz")</f>
        <v>Guadalajara en Paz</v>
      </c>
      <c r="E1059" s="42" t="str">
        <f ca="1">IFERROR(__xludf.DUMMYFUNCTION("""COMPUTED_VALUE"""),"Atención Psicológica")</f>
        <v>Atención Psicológica</v>
      </c>
      <c r="F1059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059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059" s="42" t="str">
        <f ca="1">IFERROR(__xludf.DUMMYFUNCTION("""COMPUTED_VALUE"""),"NOS Julio")</f>
        <v>NOS Julio</v>
      </c>
      <c r="I1059" s="42" t="str">
        <f ca="1">IFERROR(__xludf.DUMMYFUNCTION("""COMPUTED_VALUE"""),"Julio")</f>
        <v>Julio</v>
      </c>
      <c r="J1059" s="42" t="str">
        <f ca="1">IFERROR(__xludf.DUMMYFUNCTION("""COMPUTED_VALUE"""),"NOS")</f>
        <v>NOS</v>
      </c>
      <c r="K1059" s="98">
        <f ca="1">IFERROR(__xludf.DUMMYFUNCTION("""COMPUTED_VALUE"""),108)</f>
        <v>108</v>
      </c>
      <c r="L1059" s="42" t="str">
        <f ca="1">IFERROR(__xludf.DUMMYFUNCTION("""COMPUTED_VALUE"""),"TRIMESTRE 3")</f>
        <v>TRIMESTRE 3</v>
      </c>
      <c r="M1059" s="42" t="str">
        <f ca="1">IFERROR(__xludf.DUMMYFUNCTION("""COMPUTED_VALUE"""),"NIÑOS")</f>
        <v>NIÑOS</v>
      </c>
    </row>
    <row r="1060" spans="1:13">
      <c r="A1060" s="42" t="str">
        <f ca="1">IFERROR(__xludf.DUMMYFUNCTION("""COMPUTED_VALUE"""),"2.1.1.9")</f>
        <v>2.1.1.9</v>
      </c>
      <c r="B1060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60" s="42" t="str">
        <f ca="1">IFERROR(__xludf.DUMMYFUNCTION("""COMPUTED_VALUE"""),"3. Operación")</f>
        <v>3. Operación</v>
      </c>
      <c r="D1060" s="42" t="str">
        <f ca="1">IFERROR(__xludf.DUMMYFUNCTION("""COMPUTED_VALUE"""),"Guadalajara en Paz")</f>
        <v>Guadalajara en Paz</v>
      </c>
      <c r="E1060" s="42" t="str">
        <f ca="1">IFERROR(__xludf.DUMMYFUNCTION("""COMPUTED_VALUE"""),"Atención Psicológica")</f>
        <v>Atención Psicológica</v>
      </c>
      <c r="F1060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060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060" s="42" t="str">
        <f ca="1">IFERROR(__xludf.DUMMYFUNCTION("""COMPUTED_VALUE"""),"AM JULIO")</f>
        <v>AM JULIO</v>
      </c>
      <c r="I1060" s="42" t="str">
        <f ca="1">IFERROR(__xludf.DUMMYFUNCTION("""COMPUTED_VALUE"""),"Julio")</f>
        <v>Julio</v>
      </c>
      <c r="J1060" s="42" t="str">
        <f ca="1">IFERROR(__xludf.DUMMYFUNCTION("""COMPUTED_VALUE"""),"AM")</f>
        <v>AM</v>
      </c>
      <c r="K1060" s="98">
        <f ca="1">IFERROR(__xludf.DUMMYFUNCTION("""COMPUTED_VALUE"""),16)</f>
        <v>16</v>
      </c>
      <c r="L1060" s="42" t="str">
        <f ca="1">IFERROR(__xludf.DUMMYFUNCTION("""COMPUTED_VALUE"""),"TRIMESTRE 3")</f>
        <v>TRIMESTRE 3</v>
      </c>
      <c r="M1060" s="42" t="str">
        <f ca="1">IFERROR(__xludf.DUMMYFUNCTION("""COMPUTED_VALUE"""),"ADOLESCENTES MUJERES")</f>
        <v>ADOLESCENTES MUJERES</v>
      </c>
    </row>
    <row r="1061" spans="1:13">
      <c r="A1061" s="42" t="str">
        <f ca="1">IFERROR(__xludf.DUMMYFUNCTION("""COMPUTED_VALUE"""),"2.1.1.9")</f>
        <v>2.1.1.9</v>
      </c>
      <c r="B1061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61" s="42" t="str">
        <f ca="1">IFERROR(__xludf.DUMMYFUNCTION("""COMPUTED_VALUE"""),"3. Operación")</f>
        <v>3. Operación</v>
      </c>
      <c r="D1061" s="42" t="str">
        <f ca="1">IFERROR(__xludf.DUMMYFUNCTION("""COMPUTED_VALUE"""),"Guadalajara en Paz")</f>
        <v>Guadalajara en Paz</v>
      </c>
      <c r="E1061" s="42" t="str">
        <f ca="1">IFERROR(__xludf.DUMMYFUNCTION("""COMPUTED_VALUE"""),"Atención Psicológica")</f>
        <v>Atención Psicológica</v>
      </c>
      <c r="F1061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061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061" s="42" t="str">
        <f ca="1">IFERROR(__xludf.DUMMYFUNCTION("""COMPUTED_VALUE"""),"AH JULIO")</f>
        <v>AH JULIO</v>
      </c>
      <c r="I1061" s="42" t="str">
        <f ca="1">IFERROR(__xludf.DUMMYFUNCTION("""COMPUTED_VALUE"""),"Julio")</f>
        <v>Julio</v>
      </c>
      <c r="J1061" s="42" t="str">
        <f ca="1">IFERROR(__xludf.DUMMYFUNCTION("""COMPUTED_VALUE"""),"AH")</f>
        <v>AH</v>
      </c>
      <c r="K1061" s="98">
        <f ca="1">IFERROR(__xludf.DUMMYFUNCTION("""COMPUTED_VALUE"""),54)</f>
        <v>54</v>
      </c>
      <c r="L1061" s="42" t="str">
        <f ca="1">IFERROR(__xludf.DUMMYFUNCTION("""COMPUTED_VALUE"""),"TRIMESTRE 3")</f>
        <v>TRIMESTRE 3</v>
      </c>
      <c r="M1061" s="42" t="str">
        <f ca="1">IFERROR(__xludf.DUMMYFUNCTION("""COMPUTED_VALUE"""),"ADOLESCENTES HOMBRES")</f>
        <v>ADOLESCENTES HOMBRES</v>
      </c>
    </row>
    <row r="1062" spans="1:13">
      <c r="A1062" s="42" t="str">
        <f ca="1">IFERROR(__xludf.DUMMYFUNCTION("""COMPUTED_VALUE"""),"2.1.1.9")</f>
        <v>2.1.1.9</v>
      </c>
      <c r="B1062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62" s="42" t="str">
        <f ca="1">IFERROR(__xludf.DUMMYFUNCTION("""COMPUTED_VALUE"""),"3. Operación")</f>
        <v>3. Operación</v>
      </c>
      <c r="D1062" s="42" t="str">
        <f ca="1">IFERROR(__xludf.DUMMYFUNCTION("""COMPUTED_VALUE"""),"Guadalajara en Paz")</f>
        <v>Guadalajara en Paz</v>
      </c>
      <c r="E1062" s="42" t="str">
        <f ca="1">IFERROR(__xludf.DUMMYFUNCTION("""COMPUTED_VALUE"""),"Atención Psicológica")</f>
        <v>Atención Psicológica</v>
      </c>
      <c r="F1062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062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062" s="42" t="str">
        <f ca="1">IFERROR(__xludf.DUMMYFUNCTION("""COMPUTED_VALUE"""),"MUJ Julio")</f>
        <v>MUJ Julio</v>
      </c>
      <c r="I1062" s="42" t="str">
        <f ca="1">IFERROR(__xludf.DUMMYFUNCTION("""COMPUTED_VALUE"""),"Julio")</f>
        <v>Julio</v>
      </c>
      <c r="J1062" s="42" t="str">
        <f ca="1">IFERROR(__xludf.DUMMYFUNCTION("""COMPUTED_VALUE"""),"MUJ")</f>
        <v>MUJ</v>
      </c>
      <c r="K1062" s="98">
        <f ca="1">IFERROR(__xludf.DUMMYFUNCTION("""COMPUTED_VALUE"""),356)</f>
        <v>356</v>
      </c>
      <c r="L1062" s="42" t="str">
        <f ca="1">IFERROR(__xludf.DUMMYFUNCTION("""COMPUTED_VALUE"""),"TRIMESTRE 3")</f>
        <v>TRIMESTRE 3</v>
      </c>
      <c r="M1062" s="42" t="str">
        <f ca="1">IFERROR(__xludf.DUMMYFUNCTION("""COMPUTED_VALUE"""),"MUJERES ADULTAS")</f>
        <v>MUJERES ADULTAS</v>
      </c>
    </row>
    <row r="1063" spans="1:13">
      <c r="A1063" s="42" t="str">
        <f ca="1">IFERROR(__xludf.DUMMYFUNCTION("""COMPUTED_VALUE"""),"2.1.1.9")</f>
        <v>2.1.1.9</v>
      </c>
      <c r="B1063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63" s="42" t="str">
        <f ca="1">IFERROR(__xludf.DUMMYFUNCTION("""COMPUTED_VALUE"""),"3. Operación")</f>
        <v>3. Operación</v>
      </c>
      <c r="D1063" s="42" t="str">
        <f ca="1">IFERROR(__xludf.DUMMYFUNCTION("""COMPUTED_VALUE"""),"Guadalajara en Paz")</f>
        <v>Guadalajara en Paz</v>
      </c>
      <c r="E1063" s="42" t="str">
        <f ca="1">IFERROR(__xludf.DUMMYFUNCTION("""COMPUTED_VALUE"""),"Atención Psicológica")</f>
        <v>Atención Psicológica</v>
      </c>
      <c r="F1063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063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063" s="42" t="str">
        <f ca="1">IFERROR(__xludf.DUMMYFUNCTION("""COMPUTED_VALUE"""),"HOM Julio")</f>
        <v>HOM Julio</v>
      </c>
      <c r="I1063" s="42" t="str">
        <f ca="1">IFERROR(__xludf.DUMMYFUNCTION("""COMPUTED_VALUE"""),"Julio")</f>
        <v>Julio</v>
      </c>
      <c r="J1063" s="42" t="str">
        <f ca="1">IFERROR(__xludf.DUMMYFUNCTION("""COMPUTED_VALUE"""),"HOM")</f>
        <v>HOM</v>
      </c>
      <c r="K1063" s="98">
        <f ca="1">IFERROR(__xludf.DUMMYFUNCTION("""COMPUTED_VALUE"""),120)</f>
        <v>120</v>
      </c>
      <c r="L1063" s="42" t="str">
        <f ca="1">IFERROR(__xludf.DUMMYFUNCTION("""COMPUTED_VALUE"""),"TRIMESTRE 3")</f>
        <v>TRIMESTRE 3</v>
      </c>
      <c r="M1063" s="42" t="str">
        <f ca="1">IFERROR(__xludf.DUMMYFUNCTION("""COMPUTED_VALUE"""),"HOMBRES ADULTOS")</f>
        <v>HOMBRES ADULTOS</v>
      </c>
    </row>
    <row r="1064" spans="1:13">
      <c r="A1064" s="42" t="str">
        <f ca="1">IFERROR(__xludf.DUMMYFUNCTION("""COMPUTED_VALUE"""),"2.1.1.9")</f>
        <v>2.1.1.9</v>
      </c>
      <c r="B1064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64" s="42" t="str">
        <f ca="1">IFERROR(__xludf.DUMMYFUNCTION("""COMPUTED_VALUE"""),"3. Operación")</f>
        <v>3. Operación</v>
      </c>
      <c r="D1064" s="42" t="str">
        <f ca="1">IFERROR(__xludf.DUMMYFUNCTION("""COMPUTED_VALUE"""),"Guadalajara en Paz")</f>
        <v>Guadalajara en Paz</v>
      </c>
      <c r="E1064" s="42" t="str">
        <f ca="1">IFERROR(__xludf.DUMMYFUNCTION("""COMPUTED_VALUE"""),"Atención Psicológica")</f>
        <v>Atención Psicológica</v>
      </c>
      <c r="F1064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064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064" s="42" t="str">
        <f ca="1">IFERROR(__xludf.DUMMYFUNCTION("""COMPUTED_VALUE"""),"AMM Julio")</f>
        <v>AMM Julio</v>
      </c>
      <c r="I1064" s="42" t="str">
        <f ca="1">IFERROR(__xludf.DUMMYFUNCTION("""COMPUTED_VALUE"""),"Julio")</f>
        <v>Julio</v>
      </c>
      <c r="J1064" s="42" t="str">
        <f ca="1">IFERROR(__xludf.DUMMYFUNCTION("""COMPUTED_VALUE"""),"AMM")</f>
        <v>AMM</v>
      </c>
      <c r="K1064" s="98">
        <f ca="1">IFERROR(__xludf.DUMMYFUNCTION("""COMPUTED_VALUE"""),53)</f>
        <v>53</v>
      </c>
      <c r="L1064" s="42" t="str">
        <f ca="1">IFERROR(__xludf.DUMMYFUNCTION("""COMPUTED_VALUE"""),"TRIMESTRE 3")</f>
        <v>TRIMESTRE 3</v>
      </c>
      <c r="M1064" s="42" t="str">
        <f ca="1">IFERROR(__xludf.DUMMYFUNCTION("""COMPUTED_VALUE"""),"ADULTA MAYOR MUJER")</f>
        <v>ADULTA MAYOR MUJER</v>
      </c>
    </row>
    <row r="1065" spans="1:13">
      <c r="A1065" s="42" t="str">
        <f ca="1">IFERROR(__xludf.DUMMYFUNCTION("""COMPUTED_VALUE"""),"2.1.1.9")</f>
        <v>2.1.1.9</v>
      </c>
      <c r="B1065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65" s="42" t="str">
        <f ca="1">IFERROR(__xludf.DUMMYFUNCTION("""COMPUTED_VALUE"""),"3. Operación")</f>
        <v>3. Operación</v>
      </c>
      <c r="D1065" s="42" t="str">
        <f ca="1">IFERROR(__xludf.DUMMYFUNCTION("""COMPUTED_VALUE"""),"Guadalajara en Paz")</f>
        <v>Guadalajara en Paz</v>
      </c>
      <c r="E1065" s="42" t="str">
        <f ca="1">IFERROR(__xludf.DUMMYFUNCTION("""COMPUTED_VALUE"""),"Atención Psicológica")</f>
        <v>Atención Psicológica</v>
      </c>
      <c r="F1065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065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065" s="42" t="str">
        <f ca="1">IFERROR(__xludf.DUMMYFUNCTION("""COMPUTED_VALUE"""),"AMH Julio")</f>
        <v>AMH Julio</v>
      </c>
      <c r="I1065" s="42" t="str">
        <f ca="1">IFERROR(__xludf.DUMMYFUNCTION("""COMPUTED_VALUE"""),"Julio")</f>
        <v>Julio</v>
      </c>
      <c r="J1065" s="42" t="str">
        <f ca="1">IFERROR(__xludf.DUMMYFUNCTION("""COMPUTED_VALUE"""),"AMH")</f>
        <v>AMH</v>
      </c>
      <c r="K1065" s="98">
        <f ca="1">IFERROR(__xludf.DUMMYFUNCTION("""COMPUTED_VALUE"""),18)</f>
        <v>18</v>
      </c>
      <c r="L1065" s="42" t="str">
        <f ca="1">IFERROR(__xludf.DUMMYFUNCTION("""COMPUTED_VALUE"""),"TRIMESTRE 3")</f>
        <v>TRIMESTRE 3</v>
      </c>
      <c r="M1065" s="42" t="str">
        <f ca="1">IFERROR(__xludf.DUMMYFUNCTION("""COMPUTED_VALUE"""),"ADULTO MAYOR HOMBRE")</f>
        <v>ADULTO MAYOR HOMBRE</v>
      </c>
    </row>
    <row r="1066" spans="1:13">
      <c r="A1066" s="42" t="str">
        <f ca="1">IFERROR(__xludf.DUMMYFUNCTION("""COMPUTED_VALUE"""),"2.1.1.10")</f>
        <v>2.1.1.10</v>
      </c>
      <c r="B1066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66" s="42" t="str">
        <f ca="1">IFERROR(__xludf.DUMMYFUNCTION("""COMPUTED_VALUE"""),"3. Operación")</f>
        <v>3. Operación</v>
      </c>
      <c r="D1066" s="42" t="str">
        <f ca="1">IFERROR(__xludf.DUMMYFUNCTION("""COMPUTED_VALUE"""),"Guadalajara en Paz")</f>
        <v>Guadalajara en Paz</v>
      </c>
      <c r="E1066" s="42" t="str">
        <f ca="1">IFERROR(__xludf.DUMMYFUNCTION("""COMPUTED_VALUE"""),"Atención Psicológica")</f>
        <v>Atención Psicológica</v>
      </c>
      <c r="F1066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066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066" s="42" t="str">
        <f ca="1">IFERROR(__xludf.DUMMYFUNCTION("""COMPUTED_VALUE"""),"NAS Julio")</f>
        <v>NAS Julio</v>
      </c>
      <c r="I1066" s="42" t="str">
        <f ca="1">IFERROR(__xludf.DUMMYFUNCTION("""COMPUTED_VALUE"""),"Julio")</f>
        <v>Julio</v>
      </c>
      <c r="J1066" s="42" t="str">
        <f ca="1">IFERROR(__xludf.DUMMYFUNCTION("""COMPUTED_VALUE"""),"NAS")</f>
        <v>NAS</v>
      </c>
      <c r="K1066" s="98">
        <f ca="1">IFERROR(__xludf.DUMMYFUNCTION("""COMPUTED_VALUE"""),154)</f>
        <v>154</v>
      </c>
      <c r="L1066" s="42" t="str">
        <f ca="1">IFERROR(__xludf.DUMMYFUNCTION("""COMPUTED_VALUE"""),"TRIMESTRE 3")</f>
        <v>TRIMESTRE 3</v>
      </c>
      <c r="M1066" s="42" t="str">
        <f ca="1">IFERROR(__xludf.DUMMYFUNCTION("""COMPUTED_VALUE"""),"NIÑAS")</f>
        <v>NIÑAS</v>
      </c>
    </row>
    <row r="1067" spans="1:13">
      <c r="A1067" s="42" t="str">
        <f ca="1">IFERROR(__xludf.DUMMYFUNCTION("""COMPUTED_VALUE"""),"2.1.1.10")</f>
        <v>2.1.1.10</v>
      </c>
      <c r="B1067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67" s="42" t="str">
        <f ca="1">IFERROR(__xludf.DUMMYFUNCTION("""COMPUTED_VALUE"""),"3. Operación")</f>
        <v>3. Operación</v>
      </c>
      <c r="D1067" s="42" t="str">
        <f ca="1">IFERROR(__xludf.DUMMYFUNCTION("""COMPUTED_VALUE"""),"Guadalajara en Paz")</f>
        <v>Guadalajara en Paz</v>
      </c>
      <c r="E1067" s="42" t="str">
        <f ca="1">IFERROR(__xludf.DUMMYFUNCTION("""COMPUTED_VALUE"""),"Atención Psicológica")</f>
        <v>Atención Psicológica</v>
      </c>
      <c r="F1067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067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067" s="42" t="str">
        <f ca="1">IFERROR(__xludf.DUMMYFUNCTION("""COMPUTED_VALUE"""),"NOS Julio")</f>
        <v>NOS Julio</v>
      </c>
      <c r="I1067" s="42" t="str">
        <f ca="1">IFERROR(__xludf.DUMMYFUNCTION("""COMPUTED_VALUE"""),"Julio")</f>
        <v>Julio</v>
      </c>
      <c r="J1067" s="42" t="str">
        <f ca="1">IFERROR(__xludf.DUMMYFUNCTION("""COMPUTED_VALUE"""),"NOS")</f>
        <v>NOS</v>
      </c>
      <c r="K1067" s="98">
        <f ca="1">IFERROR(__xludf.DUMMYFUNCTION("""COMPUTED_VALUE"""),188)</f>
        <v>188</v>
      </c>
      <c r="L1067" s="42" t="str">
        <f ca="1">IFERROR(__xludf.DUMMYFUNCTION("""COMPUTED_VALUE"""),"TRIMESTRE 3")</f>
        <v>TRIMESTRE 3</v>
      </c>
      <c r="M1067" s="42" t="str">
        <f ca="1">IFERROR(__xludf.DUMMYFUNCTION("""COMPUTED_VALUE"""),"NIÑOS")</f>
        <v>NIÑOS</v>
      </c>
    </row>
    <row r="1068" spans="1:13">
      <c r="A1068" s="42" t="str">
        <f ca="1">IFERROR(__xludf.DUMMYFUNCTION("""COMPUTED_VALUE"""),"2.1.1.10")</f>
        <v>2.1.1.10</v>
      </c>
      <c r="B1068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68" s="42" t="str">
        <f ca="1">IFERROR(__xludf.DUMMYFUNCTION("""COMPUTED_VALUE"""),"3. Operación")</f>
        <v>3. Operación</v>
      </c>
      <c r="D1068" s="42" t="str">
        <f ca="1">IFERROR(__xludf.DUMMYFUNCTION("""COMPUTED_VALUE"""),"Guadalajara en Paz")</f>
        <v>Guadalajara en Paz</v>
      </c>
      <c r="E1068" s="42" t="str">
        <f ca="1">IFERROR(__xludf.DUMMYFUNCTION("""COMPUTED_VALUE"""),"Atención Psicológica")</f>
        <v>Atención Psicológica</v>
      </c>
      <c r="F1068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068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068" s="42" t="str">
        <f ca="1">IFERROR(__xludf.DUMMYFUNCTION("""COMPUTED_VALUE"""),"AM JULIO")</f>
        <v>AM JULIO</v>
      </c>
      <c r="I1068" s="42" t="str">
        <f ca="1">IFERROR(__xludf.DUMMYFUNCTION("""COMPUTED_VALUE"""),"Julio")</f>
        <v>Julio</v>
      </c>
      <c r="J1068" s="42" t="str">
        <f ca="1">IFERROR(__xludf.DUMMYFUNCTION("""COMPUTED_VALUE"""),"AM")</f>
        <v>AM</v>
      </c>
      <c r="K1068" s="98">
        <f ca="1">IFERROR(__xludf.DUMMYFUNCTION("""COMPUTED_VALUE"""),32)</f>
        <v>32</v>
      </c>
      <c r="L1068" s="42" t="str">
        <f ca="1">IFERROR(__xludf.DUMMYFUNCTION("""COMPUTED_VALUE"""),"TRIMESTRE 3")</f>
        <v>TRIMESTRE 3</v>
      </c>
      <c r="M1068" s="42" t="str">
        <f ca="1">IFERROR(__xludf.DUMMYFUNCTION("""COMPUTED_VALUE"""),"ADOLESCENTES MUJERES")</f>
        <v>ADOLESCENTES MUJERES</v>
      </c>
    </row>
    <row r="1069" spans="1:13">
      <c r="A1069" s="42" t="str">
        <f ca="1">IFERROR(__xludf.DUMMYFUNCTION("""COMPUTED_VALUE"""),"2.1.1.10")</f>
        <v>2.1.1.10</v>
      </c>
      <c r="B1069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69" s="42" t="str">
        <f ca="1">IFERROR(__xludf.DUMMYFUNCTION("""COMPUTED_VALUE"""),"3. Operación")</f>
        <v>3. Operación</v>
      </c>
      <c r="D1069" s="42" t="str">
        <f ca="1">IFERROR(__xludf.DUMMYFUNCTION("""COMPUTED_VALUE"""),"Guadalajara en Paz")</f>
        <v>Guadalajara en Paz</v>
      </c>
      <c r="E1069" s="42" t="str">
        <f ca="1">IFERROR(__xludf.DUMMYFUNCTION("""COMPUTED_VALUE"""),"Atención Psicológica")</f>
        <v>Atención Psicológica</v>
      </c>
      <c r="F1069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069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069" s="42" t="str">
        <f ca="1">IFERROR(__xludf.DUMMYFUNCTION("""COMPUTED_VALUE"""),"AH JULIO")</f>
        <v>AH JULIO</v>
      </c>
      <c r="I1069" s="42" t="str">
        <f ca="1">IFERROR(__xludf.DUMMYFUNCTION("""COMPUTED_VALUE"""),"Julio")</f>
        <v>Julio</v>
      </c>
      <c r="J1069" s="42" t="str">
        <f ca="1">IFERROR(__xludf.DUMMYFUNCTION("""COMPUTED_VALUE"""),"AH")</f>
        <v>AH</v>
      </c>
      <c r="K1069" s="98">
        <f ca="1">IFERROR(__xludf.DUMMYFUNCTION("""COMPUTED_VALUE"""),82)</f>
        <v>82</v>
      </c>
      <c r="L1069" s="42" t="str">
        <f ca="1">IFERROR(__xludf.DUMMYFUNCTION("""COMPUTED_VALUE"""),"TRIMESTRE 3")</f>
        <v>TRIMESTRE 3</v>
      </c>
      <c r="M1069" s="42" t="str">
        <f ca="1">IFERROR(__xludf.DUMMYFUNCTION("""COMPUTED_VALUE"""),"ADOLESCENTES HOMBRES")</f>
        <v>ADOLESCENTES HOMBRES</v>
      </c>
    </row>
    <row r="1070" spans="1:13">
      <c r="A1070" s="42" t="str">
        <f ca="1">IFERROR(__xludf.DUMMYFUNCTION("""COMPUTED_VALUE"""),"2.1.1.10")</f>
        <v>2.1.1.10</v>
      </c>
      <c r="B1070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70" s="42" t="str">
        <f ca="1">IFERROR(__xludf.DUMMYFUNCTION("""COMPUTED_VALUE"""),"3. Operación")</f>
        <v>3. Operación</v>
      </c>
      <c r="D1070" s="42" t="str">
        <f ca="1">IFERROR(__xludf.DUMMYFUNCTION("""COMPUTED_VALUE"""),"Guadalajara en Paz")</f>
        <v>Guadalajara en Paz</v>
      </c>
      <c r="E1070" s="42" t="str">
        <f ca="1">IFERROR(__xludf.DUMMYFUNCTION("""COMPUTED_VALUE"""),"Atención Psicológica")</f>
        <v>Atención Psicológica</v>
      </c>
      <c r="F1070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070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070" s="42" t="str">
        <f ca="1">IFERROR(__xludf.DUMMYFUNCTION("""COMPUTED_VALUE"""),"MUJ Julio")</f>
        <v>MUJ Julio</v>
      </c>
      <c r="I1070" s="42" t="str">
        <f ca="1">IFERROR(__xludf.DUMMYFUNCTION("""COMPUTED_VALUE"""),"Julio")</f>
        <v>Julio</v>
      </c>
      <c r="J1070" s="42" t="str">
        <f ca="1">IFERROR(__xludf.DUMMYFUNCTION("""COMPUTED_VALUE"""),"MUJ")</f>
        <v>MUJ</v>
      </c>
      <c r="K1070" s="98">
        <f ca="1">IFERROR(__xludf.DUMMYFUNCTION("""COMPUTED_VALUE"""),518)</f>
        <v>518</v>
      </c>
      <c r="L1070" s="42" t="str">
        <f ca="1">IFERROR(__xludf.DUMMYFUNCTION("""COMPUTED_VALUE"""),"TRIMESTRE 3")</f>
        <v>TRIMESTRE 3</v>
      </c>
      <c r="M1070" s="42" t="str">
        <f ca="1">IFERROR(__xludf.DUMMYFUNCTION("""COMPUTED_VALUE"""),"MUJERES ADULTAS")</f>
        <v>MUJERES ADULTAS</v>
      </c>
    </row>
    <row r="1071" spans="1:13">
      <c r="A1071" s="42" t="str">
        <f ca="1">IFERROR(__xludf.DUMMYFUNCTION("""COMPUTED_VALUE"""),"2.1.1.10")</f>
        <v>2.1.1.10</v>
      </c>
      <c r="B1071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71" s="42" t="str">
        <f ca="1">IFERROR(__xludf.DUMMYFUNCTION("""COMPUTED_VALUE"""),"3. Operación")</f>
        <v>3. Operación</v>
      </c>
      <c r="D1071" s="42" t="str">
        <f ca="1">IFERROR(__xludf.DUMMYFUNCTION("""COMPUTED_VALUE"""),"Guadalajara en Paz")</f>
        <v>Guadalajara en Paz</v>
      </c>
      <c r="E1071" s="42" t="str">
        <f ca="1">IFERROR(__xludf.DUMMYFUNCTION("""COMPUTED_VALUE"""),"Atención Psicológica")</f>
        <v>Atención Psicológica</v>
      </c>
      <c r="F1071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071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071" s="42" t="str">
        <f ca="1">IFERROR(__xludf.DUMMYFUNCTION("""COMPUTED_VALUE"""),"HOM Julio")</f>
        <v>HOM Julio</v>
      </c>
      <c r="I1071" s="42" t="str">
        <f ca="1">IFERROR(__xludf.DUMMYFUNCTION("""COMPUTED_VALUE"""),"Julio")</f>
        <v>Julio</v>
      </c>
      <c r="J1071" s="42" t="str">
        <f ca="1">IFERROR(__xludf.DUMMYFUNCTION("""COMPUTED_VALUE"""),"HOM")</f>
        <v>HOM</v>
      </c>
      <c r="K1071" s="98">
        <f ca="1">IFERROR(__xludf.DUMMYFUNCTION("""COMPUTED_VALUE"""),171)</f>
        <v>171</v>
      </c>
      <c r="L1071" s="42" t="str">
        <f ca="1">IFERROR(__xludf.DUMMYFUNCTION("""COMPUTED_VALUE"""),"TRIMESTRE 3")</f>
        <v>TRIMESTRE 3</v>
      </c>
      <c r="M1071" s="42" t="str">
        <f ca="1">IFERROR(__xludf.DUMMYFUNCTION("""COMPUTED_VALUE"""),"HOMBRES ADULTOS")</f>
        <v>HOMBRES ADULTOS</v>
      </c>
    </row>
    <row r="1072" spans="1:13">
      <c r="A1072" s="42" t="str">
        <f ca="1">IFERROR(__xludf.DUMMYFUNCTION("""COMPUTED_VALUE"""),"2.1.1.10")</f>
        <v>2.1.1.10</v>
      </c>
      <c r="B1072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72" s="42" t="str">
        <f ca="1">IFERROR(__xludf.DUMMYFUNCTION("""COMPUTED_VALUE"""),"3. Operación")</f>
        <v>3. Operación</v>
      </c>
      <c r="D1072" s="42" t="str">
        <f ca="1">IFERROR(__xludf.DUMMYFUNCTION("""COMPUTED_VALUE"""),"Guadalajara en Paz")</f>
        <v>Guadalajara en Paz</v>
      </c>
      <c r="E1072" s="42" t="str">
        <f ca="1">IFERROR(__xludf.DUMMYFUNCTION("""COMPUTED_VALUE"""),"Atención Psicológica")</f>
        <v>Atención Psicológica</v>
      </c>
      <c r="F1072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072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072" s="42" t="str">
        <f ca="1">IFERROR(__xludf.DUMMYFUNCTION("""COMPUTED_VALUE"""),"AMM Julio")</f>
        <v>AMM Julio</v>
      </c>
      <c r="I1072" s="42" t="str">
        <f ca="1">IFERROR(__xludf.DUMMYFUNCTION("""COMPUTED_VALUE"""),"Julio")</f>
        <v>Julio</v>
      </c>
      <c r="J1072" s="42" t="str">
        <f ca="1">IFERROR(__xludf.DUMMYFUNCTION("""COMPUTED_VALUE"""),"AMM")</f>
        <v>AMM</v>
      </c>
      <c r="K1072" s="98">
        <f ca="1">IFERROR(__xludf.DUMMYFUNCTION("""COMPUTED_VALUE"""),90)</f>
        <v>90</v>
      </c>
      <c r="L1072" s="42" t="str">
        <f ca="1">IFERROR(__xludf.DUMMYFUNCTION("""COMPUTED_VALUE"""),"TRIMESTRE 3")</f>
        <v>TRIMESTRE 3</v>
      </c>
      <c r="M1072" s="42" t="str">
        <f ca="1">IFERROR(__xludf.DUMMYFUNCTION("""COMPUTED_VALUE"""),"ADULTA MAYOR MUJER")</f>
        <v>ADULTA MAYOR MUJER</v>
      </c>
    </row>
    <row r="1073" spans="1:13">
      <c r="A1073" s="42" t="str">
        <f ca="1">IFERROR(__xludf.DUMMYFUNCTION("""COMPUTED_VALUE"""),"2.1.1.10")</f>
        <v>2.1.1.10</v>
      </c>
      <c r="B1073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73" s="42" t="str">
        <f ca="1">IFERROR(__xludf.DUMMYFUNCTION("""COMPUTED_VALUE"""),"3. Operación")</f>
        <v>3. Operación</v>
      </c>
      <c r="D1073" s="42" t="str">
        <f ca="1">IFERROR(__xludf.DUMMYFUNCTION("""COMPUTED_VALUE"""),"Guadalajara en Paz")</f>
        <v>Guadalajara en Paz</v>
      </c>
      <c r="E1073" s="42" t="str">
        <f ca="1">IFERROR(__xludf.DUMMYFUNCTION("""COMPUTED_VALUE"""),"Atención Psicológica")</f>
        <v>Atención Psicológica</v>
      </c>
      <c r="F1073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073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073" s="42" t="str">
        <f ca="1">IFERROR(__xludf.DUMMYFUNCTION("""COMPUTED_VALUE"""),"AMH Julio")</f>
        <v>AMH Julio</v>
      </c>
      <c r="I1073" s="42" t="str">
        <f ca="1">IFERROR(__xludf.DUMMYFUNCTION("""COMPUTED_VALUE"""),"Julio")</f>
        <v>Julio</v>
      </c>
      <c r="J1073" s="42" t="str">
        <f ca="1">IFERROR(__xludf.DUMMYFUNCTION("""COMPUTED_VALUE"""),"AMH")</f>
        <v>AMH</v>
      </c>
      <c r="K1073" s="98">
        <f ca="1">IFERROR(__xludf.DUMMYFUNCTION("""COMPUTED_VALUE"""),23)</f>
        <v>23</v>
      </c>
      <c r="L1073" s="42" t="str">
        <f ca="1">IFERROR(__xludf.DUMMYFUNCTION("""COMPUTED_VALUE"""),"TRIMESTRE 3")</f>
        <v>TRIMESTRE 3</v>
      </c>
      <c r="M1073" s="42" t="str">
        <f ca="1">IFERROR(__xludf.DUMMYFUNCTION("""COMPUTED_VALUE"""),"ADULTO MAYOR HOMBRE")</f>
        <v>ADULTO MAYOR HOMBRE</v>
      </c>
    </row>
    <row r="1074" spans="1:13">
      <c r="A1074" s="42" t="str">
        <f ca="1">IFERROR(__xludf.DUMMYFUNCTION("""COMPUTED_VALUE"""),"2.1.1.9")</f>
        <v>2.1.1.9</v>
      </c>
      <c r="B1074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74" s="42" t="str">
        <f ca="1">IFERROR(__xludf.DUMMYFUNCTION("""COMPUTED_VALUE"""),"3. Operación")</f>
        <v>3. Operación</v>
      </c>
      <c r="D1074" s="42" t="str">
        <f ca="1">IFERROR(__xludf.DUMMYFUNCTION("""COMPUTED_VALUE"""),"Guadalajara en Paz")</f>
        <v>Guadalajara en Paz</v>
      </c>
      <c r="E1074" s="42" t="str">
        <f ca="1">IFERROR(__xludf.DUMMYFUNCTION("""COMPUTED_VALUE"""),"Atención Psicológica")</f>
        <v>Atención Psicológica</v>
      </c>
      <c r="F1074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074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074" s="42" t="str">
        <f ca="1">IFERROR(__xludf.DUMMYFUNCTION("""COMPUTED_VALUE"""),"NAS Agosto")</f>
        <v>NAS Agosto</v>
      </c>
      <c r="I1074" s="42" t="str">
        <f ca="1">IFERROR(__xludf.DUMMYFUNCTION("""COMPUTED_VALUE"""),"Agosto")</f>
        <v>Agosto</v>
      </c>
      <c r="J1074" s="42" t="str">
        <f ca="1">IFERROR(__xludf.DUMMYFUNCTION("""COMPUTED_VALUE"""),"NAS")</f>
        <v>NAS</v>
      </c>
      <c r="K1074" s="98">
        <f ca="1">IFERROR(__xludf.DUMMYFUNCTION("""COMPUTED_VALUE"""),88)</f>
        <v>88</v>
      </c>
      <c r="L1074" s="42" t="str">
        <f ca="1">IFERROR(__xludf.DUMMYFUNCTION("""COMPUTED_VALUE"""),"TRIMESTRE 3")</f>
        <v>TRIMESTRE 3</v>
      </c>
      <c r="M1074" s="42" t="str">
        <f ca="1">IFERROR(__xludf.DUMMYFUNCTION("""COMPUTED_VALUE"""),"NIÑAS")</f>
        <v>NIÑAS</v>
      </c>
    </row>
    <row r="1075" spans="1:13">
      <c r="A1075" s="42" t="str">
        <f ca="1">IFERROR(__xludf.DUMMYFUNCTION("""COMPUTED_VALUE"""),"2.1.1.9")</f>
        <v>2.1.1.9</v>
      </c>
      <c r="B1075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75" s="42" t="str">
        <f ca="1">IFERROR(__xludf.DUMMYFUNCTION("""COMPUTED_VALUE"""),"3. Operación")</f>
        <v>3. Operación</v>
      </c>
      <c r="D1075" s="42" t="str">
        <f ca="1">IFERROR(__xludf.DUMMYFUNCTION("""COMPUTED_VALUE"""),"Guadalajara en Paz")</f>
        <v>Guadalajara en Paz</v>
      </c>
      <c r="E1075" s="42" t="str">
        <f ca="1">IFERROR(__xludf.DUMMYFUNCTION("""COMPUTED_VALUE"""),"Atención Psicológica")</f>
        <v>Atención Psicológica</v>
      </c>
      <c r="F1075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075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075" s="42" t="str">
        <f ca="1">IFERROR(__xludf.DUMMYFUNCTION("""COMPUTED_VALUE"""),"NOS Agosto")</f>
        <v>NOS Agosto</v>
      </c>
      <c r="I1075" s="42" t="str">
        <f ca="1">IFERROR(__xludf.DUMMYFUNCTION("""COMPUTED_VALUE"""),"Agosto")</f>
        <v>Agosto</v>
      </c>
      <c r="J1075" s="42" t="str">
        <f ca="1">IFERROR(__xludf.DUMMYFUNCTION("""COMPUTED_VALUE"""),"NOS")</f>
        <v>NOS</v>
      </c>
      <c r="K1075" s="98">
        <f ca="1">IFERROR(__xludf.DUMMYFUNCTION("""COMPUTED_VALUE"""),95)</f>
        <v>95</v>
      </c>
      <c r="L1075" s="42" t="str">
        <f ca="1">IFERROR(__xludf.DUMMYFUNCTION("""COMPUTED_VALUE"""),"TRIMESTRE 3")</f>
        <v>TRIMESTRE 3</v>
      </c>
      <c r="M1075" s="42" t="str">
        <f ca="1">IFERROR(__xludf.DUMMYFUNCTION("""COMPUTED_VALUE"""),"NIÑOS")</f>
        <v>NIÑOS</v>
      </c>
    </row>
    <row r="1076" spans="1:13">
      <c r="A1076" s="42" t="str">
        <f ca="1">IFERROR(__xludf.DUMMYFUNCTION("""COMPUTED_VALUE"""),"2.1.1.9")</f>
        <v>2.1.1.9</v>
      </c>
      <c r="B1076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76" s="42" t="str">
        <f ca="1">IFERROR(__xludf.DUMMYFUNCTION("""COMPUTED_VALUE"""),"3. Operación")</f>
        <v>3. Operación</v>
      </c>
      <c r="D1076" s="42" t="str">
        <f ca="1">IFERROR(__xludf.DUMMYFUNCTION("""COMPUTED_VALUE"""),"Guadalajara en Paz")</f>
        <v>Guadalajara en Paz</v>
      </c>
      <c r="E1076" s="42" t="str">
        <f ca="1">IFERROR(__xludf.DUMMYFUNCTION("""COMPUTED_VALUE"""),"Atención Psicológica")</f>
        <v>Atención Psicológica</v>
      </c>
      <c r="F1076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076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076" s="42" t="str">
        <f ca="1">IFERROR(__xludf.DUMMYFUNCTION("""COMPUTED_VALUE"""),"AM AGOSTO")</f>
        <v>AM AGOSTO</v>
      </c>
      <c r="I1076" s="42" t="str">
        <f ca="1">IFERROR(__xludf.DUMMYFUNCTION("""COMPUTED_VALUE"""),"Agosto")</f>
        <v>Agosto</v>
      </c>
      <c r="J1076" s="42" t="str">
        <f ca="1">IFERROR(__xludf.DUMMYFUNCTION("""COMPUTED_VALUE"""),"AM")</f>
        <v>AM</v>
      </c>
      <c r="K1076" s="98">
        <f ca="1">IFERROR(__xludf.DUMMYFUNCTION("""COMPUTED_VALUE"""),87)</f>
        <v>87</v>
      </c>
      <c r="L1076" s="42" t="str">
        <f ca="1">IFERROR(__xludf.DUMMYFUNCTION("""COMPUTED_VALUE"""),"TRIMESTRE 3")</f>
        <v>TRIMESTRE 3</v>
      </c>
      <c r="M1076" s="42" t="str">
        <f ca="1">IFERROR(__xludf.DUMMYFUNCTION("""COMPUTED_VALUE"""),"ADOLESCENTES MUJERES")</f>
        <v>ADOLESCENTES MUJERES</v>
      </c>
    </row>
    <row r="1077" spans="1:13">
      <c r="A1077" s="42" t="str">
        <f ca="1">IFERROR(__xludf.DUMMYFUNCTION("""COMPUTED_VALUE"""),"2.1.1.9")</f>
        <v>2.1.1.9</v>
      </c>
      <c r="B1077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77" s="42" t="str">
        <f ca="1">IFERROR(__xludf.DUMMYFUNCTION("""COMPUTED_VALUE"""),"3. Operación")</f>
        <v>3. Operación</v>
      </c>
      <c r="D1077" s="42" t="str">
        <f ca="1">IFERROR(__xludf.DUMMYFUNCTION("""COMPUTED_VALUE"""),"Guadalajara en Paz")</f>
        <v>Guadalajara en Paz</v>
      </c>
      <c r="E1077" s="42" t="str">
        <f ca="1">IFERROR(__xludf.DUMMYFUNCTION("""COMPUTED_VALUE"""),"Atención Psicológica")</f>
        <v>Atención Psicológica</v>
      </c>
      <c r="F1077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077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077" s="42" t="str">
        <f ca="1">IFERROR(__xludf.DUMMYFUNCTION("""COMPUTED_VALUE"""),"AH AGOSTO")</f>
        <v>AH AGOSTO</v>
      </c>
      <c r="I1077" s="42" t="str">
        <f ca="1">IFERROR(__xludf.DUMMYFUNCTION("""COMPUTED_VALUE"""),"Agosto")</f>
        <v>Agosto</v>
      </c>
      <c r="J1077" s="42" t="str">
        <f ca="1">IFERROR(__xludf.DUMMYFUNCTION("""COMPUTED_VALUE"""),"AH")</f>
        <v>AH</v>
      </c>
      <c r="K1077" s="98">
        <f ca="1">IFERROR(__xludf.DUMMYFUNCTION("""COMPUTED_VALUE"""),57)</f>
        <v>57</v>
      </c>
      <c r="L1077" s="42" t="str">
        <f ca="1">IFERROR(__xludf.DUMMYFUNCTION("""COMPUTED_VALUE"""),"TRIMESTRE 3")</f>
        <v>TRIMESTRE 3</v>
      </c>
      <c r="M1077" s="42" t="str">
        <f ca="1">IFERROR(__xludf.DUMMYFUNCTION("""COMPUTED_VALUE"""),"ADOLESCENTES HOMBRES")</f>
        <v>ADOLESCENTES HOMBRES</v>
      </c>
    </row>
    <row r="1078" spans="1:13">
      <c r="A1078" s="42" t="str">
        <f ca="1">IFERROR(__xludf.DUMMYFUNCTION("""COMPUTED_VALUE"""),"2.1.1.9")</f>
        <v>2.1.1.9</v>
      </c>
      <c r="B1078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78" s="42" t="str">
        <f ca="1">IFERROR(__xludf.DUMMYFUNCTION("""COMPUTED_VALUE"""),"3. Operación")</f>
        <v>3. Operación</v>
      </c>
      <c r="D1078" s="42" t="str">
        <f ca="1">IFERROR(__xludf.DUMMYFUNCTION("""COMPUTED_VALUE"""),"Guadalajara en Paz")</f>
        <v>Guadalajara en Paz</v>
      </c>
      <c r="E1078" s="42" t="str">
        <f ca="1">IFERROR(__xludf.DUMMYFUNCTION("""COMPUTED_VALUE"""),"Atención Psicológica")</f>
        <v>Atención Psicológica</v>
      </c>
      <c r="F1078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078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078" s="42" t="str">
        <f ca="1">IFERROR(__xludf.DUMMYFUNCTION("""COMPUTED_VALUE"""),"MUJ Agosto")</f>
        <v>MUJ Agosto</v>
      </c>
      <c r="I1078" s="42" t="str">
        <f ca="1">IFERROR(__xludf.DUMMYFUNCTION("""COMPUTED_VALUE"""),"Agosto")</f>
        <v>Agosto</v>
      </c>
      <c r="J1078" s="42" t="str">
        <f ca="1">IFERROR(__xludf.DUMMYFUNCTION("""COMPUTED_VALUE"""),"MUJ")</f>
        <v>MUJ</v>
      </c>
      <c r="K1078" s="98">
        <f ca="1">IFERROR(__xludf.DUMMYFUNCTION("""COMPUTED_VALUE"""),368)</f>
        <v>368</v>
      </c>
      <c r="L1078" s="42" t="str">
        <f ca="1">IFERROR(__xludf.DUMMYFUNCTION("""COMPUTED_VALUE"""),"TRIMESTRE 3")</f>
        <v>TRIMESTRE 3</v>
      </c>
      <c r="M1078" s="42" t="str">
        <f ca="1">IFERROR(__xludf.DUMMYFUNCTION("""COMPUTED_VALUE"""),"MUJERES ADULTAS")</f>
        <v>MUJERES ADULTAS</v>
      </c>
    </row>
    <row r="1079" spans="1:13">
      <c r="A1079" s="42" t="str">
        <f ca="1">IFERROR(__xludf.DUMMYFUNCTION("""COMPUTED_VALUE"""),"2.1.1.9")</f>
        <v>2.1.1.9</v>
      </c>
      <c r="B1079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79" s="42" t="str">
        <f ca="1">IFERROR(__xludf.DUMMYFUNCTION("""COMPUTED_VALUE"""),"3. Operación")</f>
        <v>3. Operación</v>
      </c>
      <c r="D1079" s="42" t="str">
        <f ca="1">IFERROR(__xludf.DUMMYFUNCTION("""COMPUTED_VALUE"""),"Guadalajara en Paz")</f>
        <v>Guadalajara en Paz</v>
      </c>
      <c r="E1079" s="42" t="str">
        <f ca="1">IFERROR(__xludf.DUMMYFUNCTION("""COMPUTED_VALUE"""),"Atención Psicológica")</f>
        <v>Atención Psicológica</v>
      </c>
      <c r="F1079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079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079" s="42" t="str">
        <f ca="1">IFERROR(__xludf.DUMMYFUNCTION("""COMPUTED_VALUE"""),"HOM Agosto")</f>
        <v>HOM Agosto</v>
      </c>
      <c r="I1079" s="42" t="str">
        <f ca="1">IFERROR(__xludf.DUMMYFUNCTION("""COMPUTED_VALUE"""),"Agosto")</f>
        <v>Agosto</v>
      </c>
      <c r="J1079" s="42" t="str">
        <f ca="1">IFERROR(__xludf.DUMMYFUNCTION("""COMPUTED_VALUE"""),"HOM")</f>
        <v>HOM</v>
      </c>
      <c r="K1079" s="98">
        <f ca="1">IFERROR(__xludf.DUMMYFUNCTION("""COMPUTED_VALUE"""),114)</f>
        <v>114</v>
      </c>
      <c r="L1079" s="42" t="str">
        <f ca="1">IFERROR(__xludf.DUMMYFUNCTION("""COMPUTED_VALUE"""),"TRIMESTRE 3")</f>
        <v>TRIMESTRE 3</v>
      </c>
      <c r="M1079" s="42" t="str">
        <f ca="1">IFERROR(__xludf.DUMMYFUNCTION("""COMPUTED_VALUE"""),"HOMBRES ADULTOS")</f>
        <v>HOMBRES ADULTOS</v>
      </c>
    </row>
    <row r="1080" spans="1:13">
      <c r="A1080" s="42" t="str">
        <f ca="1">IFERROR(__xludf.DUMMYFUNCTION("""COMPUTED_VALUE"""),"2.1.1.9")</f>
        <v>2.1.1.9</v>
      </c>
      <c r="B1080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80" s="42" t="str">
        <f ca="1">IFERROR(__xludf.DUMMYFUNCTION("""COMPUTED_VALUE"""),"3. Operación")</f>
        <v>3. Operación</v>
      </c>
      <c r="D1080" s="42" t="str">
        <f ca="1">IFERROR(__xludf.DUMMYFUNCTION("""COMPUTED_VALUE"""),"Guadalajara en Paz")</f>
        <v>Guadalajara en Paz</v>
      </c>
      <c r="E1080" s="42" t="str">
        <f ca="1">IFERROR(__xludf.DUMMYFUNCTION("""COMPUTED_VALUE"""),"Atención Psicológica")</f>
        <v>Atención Psicológica</v>
      </c>
      <c r="F1080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080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080" s="42" t="str">
        <f ca="1">IFERROR(__xludf.DUMMYFUNCTION("""COMPUTED_VALUE"""),"AMM Agosto")</f>
        <v>AMM Agosto</v>
      </c>
      <c r="I1080" s="42" t="str">
        <f ca="1">IFERROR(__xludf.DUMMYFUNCTION("""COMPUTED_VALUE"""),"Agosto")</f>
        <v>Agosto</v>
      </c>
      <c r="J1080" s="42" t="str">
        <f ca="1">IFERROR(__xludf.DUMMYFUNCTION("""COMPUTED_VALUE"""),"AMM")</f>
        <v>AMM</v>
      </c>
      <c r="K1080" s="98">
        <f ca="1">IFERROR(__xludf.DUMMYFUNCTION("""COMPUTED_VALUE"""),58)</f>
        <v>58</v>
      </c>
      <c r="L1080" s="42" t="str">
        <f ca="1">IFERROR(__xludf.DUMMYFUNCTION("""COMPUTED_VALUE"""),"TRIMESTRE 3")</f>
        <v>TRIMESTRE 3</v>
      </c>
      <c r="M1080" s="42" t="str">
        <f ca="1">IFERROR(__xludf.DUMMYFUNCTION("""COMPUTED_VALUE"""),"ADULTA MAYOR MUJER")</f>
        <v>ADULTA MAYOR MUJER</v>
      </c>
    </row>
    <row r="1081" spans="1:13">
      <c r="A1081" s="42" t="str">
        <f ca="1">IFERROR(__xludf.DUMMYFUNCTION("""COMPUTED_VALUE"""),"2.1.1.9")</f>
        <v>2.1.1.9</v>
      </c>
      <c r="B1081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81" s="42" t="str">
        <f ca="1">IFERROR(__xludf.DUMMYFUNCTION("""COMPUTED_VALUE"""),"3. Operación")</f>
        <v>3. Operación</v>
      </c>
      <c r="D1081" s="42" t="str">
        <f ca="1">IFERROR(__xludf.DUMMYFUNCTION("""COMPUTED_VALUE"""),"Guadalajara en Paz")</f>
        <v>Guadalajara en Paz</v>
      </c>
      <c r="E1081" s="42" t="str">
        <f ca="1">IFERROR(__xludf.DUMMYFUNCTION("""COMPUTED_VALUE"""),"Atención Psicológica")</f>
        <v>Atención Psicológica</v>
      </c>
      <c r="F1081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081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081" s="42" t="str">
        <f ca="1">IFERROR(__xludf.DUMMYFUNCTION("""COMPUTED_VALUE"""),"AMH Agosto")</f>
        <v>AMH Agosto</v>
      </c>
      <c r="I1081" s="42" t="str">
        <f ca="1">IFERROR(__xludf.DUMMYFUNCTION("""COMPUTED_VALUE"""),"Agosto")</f>
        <v>Agosto</v>
      </c>
      <c r="J1081" s="42" t="str">
        <f ca="1">IFERROR(__xludf.DUMMYFUNCTION("""COMPUTED_VALUE"""),"AMH")</f>
        <v>AMH</v>
      </c>
      <c r="K1081" s="98">
        <f ca="1">IFERROR(__xludf.DUMMYFUNCTION("""COMPUTED_VALUE"""),16)</f>
        <v>16</v>
      </c>
      <c r="L1081" s="42" t="str">
        <f ca="1">IFERROR(__xludf.DUMMYFUNCTION("""COMPUTED_VALUE"""),"TRIMESTRE 3")</f>
        <v>TRIMESTRE 3</v>
      </c>
      <c r="M1081" s="42" t="str">
        <f ca="1">IFERROR(__xludf.DUMMYFUNCTION("""COMPUTED_VALUE"""),"ADULTO MAYOR HOMBRE")</f>
        <v>ADULTO MAYOR HOMBRE</v>
      </c>
    </row>
    <row r="1082" spans="1:13">
      <c r="A1082" s="42" t="str">
        <f ca="1">IFERROR(__xludf.DUMMYFUNCTION("""COMPUTED_VALUE"""),"2.1.1.10")</f>
        <v>2.1.1.10</v>
      </c>
      <c r="B1082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82" s="42" t="str">
        <f ca="1">IFERROR(__xludf.DUMMYFUNCTION("""COMPUTED_VALUE"""),"3. Operación")</f>
        <v>3. Operación</v>
      </c>
      <c r="D1082" s="42" t="str">
        <f ca="1">IFERROR(__xludf.DUMMYFUNCTION("""COMPUTED_VALUE"""),"Guadalajara en Paz")</f>
        <v>Guadalajara en Paz</v>
      </c>
      <c r="E1082" s="42" t="str">
        <f ca="1">IFERROR(__xludf.DUMMYFUNCTION("""COMPUTED_VALUE"""),"Atención Psicológica")</f>
        <v>Atención Psicológica</v>
      </c>
      <c r="F1082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082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082" s="42" t="str">
        <f ca="1">IFERROR(__xludf.DUMMYFUNCTION("""COMPUTED_VALUE"""),"NAS Agosto")</f>
        <v>NAS Agosto</v>
      </c>
      <c r="I1082" s="42" t="str">
        <f ca="1">IFERROR(__xludf.DUMMYFUNCTION("""COMPUTED_VALUE"""),"Agosto")</f>
        <v>Agosto</v>
      </c>
      <c r="J1082" s="42" t="str">
        <f ca="1">IFERROR(__xludf.DUMMYFUNCTION("""COMPUTED_VALUE"""),"NAS")</f>
        <v>NAS</v>
      </c>
      <c r="K1082" s="98">
        <f ca="1">IFERROR(__xludf.DUMMYFUNCTION("""COMPUTED_VALUE"""),172)</f>
        <v>172</v>
      </c>
      <c r="L1082" s="42" t="str">
        <f ca="1">IFERROR(__xludf.DUMMYFUNCTION("""COMPUTED_VALUE"""),"TRIMESTRE 3")</f>
        <v>TRIMESTRE 3</v>
      </c>
      <c r="M1082" s="42" t="str">
        <f ca="1">IFERROR(__xludf.DUMMYFUNCTION("""COMPUTED_VALUE"""),"NIÑAS")</f>
        <v>NIÑAS</v>
      </c>
    </row>
    <row r="1083" spans="1:13">
      <c r="A1083" s="42" t="str">
        <f ca="1">IFERROR(__xludf.DUMMYFUNCTION("""COMPUTED_VALUE"""),"2.1.1.10")</f>
        <v>2.1.1.10</v>
      </c>
      <c r="B1083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83" s="42" t="str">
        <f ca="1">IFERROR(__xludf.DUMMYFUNCTION("""COMPUTED_VALUE"""),"3. Operación")</f>
        <v>3. Operación</v>
      </c>
      <c r="D1083" s="42" t="str">
        <f ca="1">IFERROR(__xludf.DUMMYFUNCTION("""COMPUTED_VALUE"""),"Guadalajara en Paz")</f>
        <v>Guadalajara en Paz</v>
      </c>
      <c r="E1083" s="42" t="str">
        <f ca="1">IFERROR(__xludf.DUMMYFUNCTION("""COMPUTED_VALUE"""),"Atención Psicológica")</f>
        <v>Atención Psicológica</v>
      </c>
      <c r="F1083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083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083" s="42" t="str">
        <f ca="1">IFERROR(__xludf.DUMMYFUNCTION("""COMPUTED_VALUE"""),"NOS Agosto")</f>
        <v>NOS Agosto</v>
      </c>
      <c r="I1083" s="42" t="str">
        <f ca="1">IFERROR(__xludf.DUMMYFUNCTION("""COMPUTED_VALUE"""),"Agosto")</f>
        <v>Agosto</v>
      </c>
      <c r="J1083" s="42" t="str">
        <f ca="1">IFERROR(__xludf.DUMMYFUNCTION("""COMPUTED_VALUE"""),"NOS")</f>
        <v>NOS</v>
      </c>
      <c r="K1083" s="98">
        <f ca="1">IFERROR(__xludf.DUMMYFUNCTION("""COMPUTED_VALUE"""),198)</f>
        <v>198</v>
      </c>
      <c r="L1083" s="42" t="str">
        <f ca="1">IFERROR(__xludf.DUMMYFUNCTION("""COMPUTED_VALUE"""),"TRIMESTRE 3")</f>
        <v>TRIMESTRE 3</v>
      </c>
      <c r="M1083" s="42" t="str">
        <f ca="1">IFERROR(__xludf.DUMMYFUNCTION("""COMPUTED_VALUE"""),"NIÑOS")</f>
        <v>NIÑOS</v>
      </c>
    </row>
    <row r="1084" spans="1:13">
      <c r="A1084" s="42" t="str">
        <f ca="1">IFERROR(__xludf.DUMMYFUNCTION("""COMPUTED_VALUE"""),"2.1.1.10")</f>
        <v>2.1.1.10</v>
      </c>
      <c r="B1084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84" s="42" t="str">
        <f ca="1">IFERROR(__xludf.DUMMYFUNCTION("""COMPUTED_VALUE"""),"3. Operación")</f>
        <v>3. Operación</v>
      </c>
      <c r="D1084" s="42" t="str">
        <f ca="1">IFERROR(__xludf.DUMMYFUNCTION("""COMPUTED_VALUE"""),"Guadalajara en Paz")</f>
        <v>Guadalajara en Paz</v>
      </c>
      <c r="E1084" s="42" t="str">
        <f ca="1">IFERROR(__xludf.DUMMYFUNCTION("""COMPUTED_VALUE"""),"Atención Psicológica")</f>
        <v>Atención Psicológica</v>
      </c>
      <c r="F1084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084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084" s="42" t="str">
        <f ca="1">IFERROR(__xludf.DUMMYFUNCTION("""COMPUTED_VALUE"""),"AM AGOSTO")</f>
        <v>AM AGOSTO</v>
      </c>
      <c r="I1084" s="42" t="str">
        <f ca="1">IFERROR(__xludf.DUMMYFUNCTION("""COMPUTED_VALUE"""),"Agosto")</f>
        <v>Agosto</v>
      </c>
      <c r="J1084" s="42" t="str">
        <f ca="1">IFERROR(__xludf.DUMMYFUNCTION("""COMPUTED_VALUE"""),"AM")</f>
        <v>AM</v>
      </c>
      <c r="K1084" s="98">
        <f ca="1">IFERROR(__xludf.DUMMYFUNCTION("""COMPUTED_VALUE"""),139)</f>
        <v>139</v>
      </c>
      <c r="L1084" s="42" t="str">
        <f ca="1">IFERROR(__xludf.DUMMYFUNCTION("""COMPUTED_VALUE"""),"TRIMESTRE 3")</f>
        <v>TRIMESTRE 3</v>
      </c>
      <c r="M1084" s="42" t="str">
        <f ca="1">IFERROR(__xludf.DUMMYFUNCTION("""COMPUTED_VALUE"""),"ADOLESCENTES MUJERES")</f>
        <v>ADOLESCENTES MUJERES</v>
      </c>
    </row>
    <row r="1085" spans="1:13">
      <c r="A1085" s="42" t="str">
        <f ca="1">IFERROR(__xludf.DUMMYFUNCTION("""COMPUTED_VALUE"""),"2.1.1.10")</f>
        <v>2.1.1.10</v>
      </c>
      <c r="B1085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85" s="42" t="str">
        <f ca="1">IFERROR(__xludf.DUMMYFUNCTION("""COMPUTED_VALUE"""),"3. Operación")</f>
        <v>3. Operación</v>
      </c>
      <c r="D1085" s="42" t="str">
        <f ca="1">IFERROR(__xludf.DUMMYFUNCTION("""COMPUTED_VALUE"""),"Guadalajara en Paz")</f>
        <v>Guadalajara en Paz</v>
      </c>
      <c r="E1085" s="42" t="str">
        <f ca="1">IFERROR(__xludf.DUMMYFUNCTION("""COMPUTED_VALUE"""),"Atención Psicológica")</f>
        <v>Atención Psicológica</v>
      </c>
      <c r="F1085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085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085" s="42" t="str">
        <f ca="1">IFERROR(__xludf.DUMMYFUNCTION("""COMPUTED_VALUE"""),"AH AGOSTO")</f>
        <v>AH AGOSTO</v>
      </c>
      <c r="I1085" s="42" t="str">
        <f ca="1">IFERROR(__xludf.DUMMYFUNCTION("""COMPUTED_VALUE"""),"Agosto")</f>
        <v>Agosto</v>
      </c>
      <c r="J1085" s="42" t="str">
        <f ca="1">IFERROR(__xludf.DUMMYFUNCTION("""COMPUTED_VALUE"""),"AH")</f>
        <v>AH</v>
      </c>
      <c r="K1085" s="98">
        <f ca="1">IFERROR(__xludf.DUMMYFUNCTION("""COMPUTED_VALUE"""),94)</f>
        <v>94</v>
      </c>
      <c r="L1085" s="42" t="str">
        <f ca="1">IFERROR(__xludf.DUMMYFUNCTION("""COMPUTED_VALUE"""),"TRIMESTRE 3")</f>
        <v>TRIMESTRE 3</v>
      </c>
      <c r="M1085" s="42" t="str">
        <f ca="1">IFERROR(__xludf.DUMMYFUNCTION("""COMPUTED_VALUE"""),"ADOLESCENTES HOMBRES")</f>
        <v>ADOLESCENTES HOMBRES</v>
      </c>
    </row>
    <row r="1086" spans="1:13">
      <c r="A1086" s="42" t="str">
        <f ca="1">IFERROR(__xludf.DUMMYFUNCTION("""COMPUTED_VALUE"""),"2.1.1.10")</f>
        <v>2.1.1.10</v>
      </c>
      <c r="B1086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86" s="42" t="str">
        <f ca="1">IFERROR(__xludf.DUMMYFUNCTION("""COMPUTED_VALUE"""),"3. Operación")</f>
        <v>3. Operación</v>
      </c>
      <c r="D1086" s="42" t="str">
        <f ca="1">IFERROR(__xludf.DUMMYFUNCTION("""COMPUTED_VALUE"""),"Guadalajara en Paz")</f>
        <v>Guadalajara en Paz</v>
      </c>
      <c r="E1086" s="42" t="str">
        <f ca="1">IFERROR(__xludf.DUMMYFUNCTION("""COMPUTED_VALUE"""),"Atención Psicológica")</f>
        <v>Atención Psicológica</v>
      </c>
      <c r="F1086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086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086" s="42" t="str">
        <f ca="1">IFERROR(__xludf.DUMMYFUNCTION("""COMPUTED_VALUE"""),"MUJ Agosto")</f>
        <v>MUJ Agosto</v>
      </c>
      <c r="I1086" s="42" t="str">
        <f ca="1">IFERROR(__xludf.DUMMYFUNCTION("""COMPUTED_VALUE"""),"Agosto")</f>
        <v>Agosto</v>
      </c>
      <c r="J1086" s="42" t="str">
        <f ca="1">IFERROR(__xludf.DUMMYFUNCTION("""COMPUTED_VALUE"""),"MUJ")</f>
        <v>MUJ</v>
      </c>
      <c r="K1086" s="98">
        <f ca="1">IFERROR(__xludf.DUMMYFUNCTION("""COMPUTED_VALUE"""),615)</f>
        <v>615</v>
      </c>
      <c r="L1086" s="42" t="str">
        <f ca="1">IFERROR(__xludf.DUMMYFUNCTION("""COMPUTED_VALUE"""),"TRIMESTRE 3")</f>
        <v>TRIMESTRE 3</v>
      </c>
      <c r="M1086" s="42" t="str">
        <f ca="1">IFERROR(__xludf.DUMMYFUNCTION("""COMPUTED_VALUE"""),"MUJERES ADULTAS")</f>
        <v>MUJERES ADULTAS</v>
      </c>
    </row>
    <row r="1087" spans="1:13">
      <c r="A1087" s="42" t="str">
        <f ca="1">IFERROR(__xludf.DUMMYFUNCTION("""COMPUTED_VALUE"""),"2.1.1.10")</f>
        <v>2.1.1.10</v>
      </c>
      <c r="B1087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87" s="42" t="str">
        <f ca="1">IFERROR(__xludf.DUMMYFUNCTION("""COMPUTED_VALUE"""),"3. Operación")</f>
        <v>3. Operación</v>
      </c>
      <c r="D1087" s="42" t="str">
        <f ca="1">IFERROR(__xludf.DUMMYFUNCTION("""COMPUTED_VALUE"""),"Guadalajara en Paz")</f>
        <v>Guadalajara en Paz</v>
      </c>
      <c r="E1087" s="42" t="str">
        <f ca="1">IFERROR(__xludf.DUMMYFUNCTION("""COMPUTED_VALUE"""),"Atención Psicológica")</f>
        <v>Atención Psicológica</v>
      </c>
      <c r="F1087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087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087" s="42" t="str">
        <f ca="1">IFERROR(__xludf.DUMMYFUNCTION("""COMPUTED_VALUE"""),"HOM Agosto")</f>
        <v>HOM Agosto</v>
      </c>
      <c r="I1087" s="42" t="str">
        <f ca="1">IFERROR(__xludf.DUMMYFUNCTION("""COMPUTED_VALUE"""),"Agosto")</f>
        <v>Agosto</v>
      </c>
      <c r="J1087" s="42" t="str">
        <f ca="1">IFERROR(__xludf.DUMMYFUNCTION("""COMPUTED_VALUE"""),"HOM")</f>
        <v>HOM</v>
      </c>
      <c r="K1087" s="98">
        <f ca="1">IFERROR(__xludf.DUMMYFUNCTION("""COMPUTED_VALUE"""),180)</f>
        <v>180</v>
      </c>
      <c r="L1087" s="42" t="str">
        <f ca="1">IFERROR(__xludf.DUMMYFUNCTION("""COMPUTED_VALUE"""),"TRIMESTRE 3")</f>
        <v>TRIMESTRE 3</v>
      </c>
      <c r="M1087" s="42" t="str">
        <f ca="1">IFERROR(__xludf.DUMMYFUNCTION("""COMPUTED_VALUE"""),"HOMBRES ADULTOS")</f>
        <v>HOMBRES ADULTOS</v>
      </c>
    </row>
    <row r="1088" spans="1:13">
      <c r="A1088" s="42" t="str">
        <f ca="1">IFERROR(__xludf.DUMMYFUNCTION("""COMPUTED_VALUE"""),"2.1.1.10")</f>
        <v>2.1.1.10</v>
      </c>
      <c r="B1088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88" s="42" t="str">
        <f ca="1">IFERROR(__xludf.DUMMYFUNCTION("""COMPUTED_VALUE"""),"3. Operación")</f>
        <v>3. Operación</v>
      </c>
      <c r="D1088" s="42" t="str">
        <f ca="1">IFERROR(__xludf.DUMMYFUNCTION("""COMPUTED_VALUE"""),"Guadalajara en Paz")</f>
        <v>Guadalajara en Paz</v>
      </c>
      <c r="E1088" s="42" t="str">
        <f ca="1">IFERROR(__xludf.DUMMYFUNCTION("""COMPUTED_VALUE"""),"Atención Psicológica")</f>
        <v>Atención Psicológica</v>
      </c>
      <c r="F1088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088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088" s="42" t="str">
        <f ca="1">IFERROR(__xludf.DUMMYFUNCTION("""COMPUTED_VALUE"""),"AMM Agosto")</f>
        <v>AMM Agosto</v>
      </c>
      <c r="I1088" s="42" t="str">
        <f ca="1">IFERROR(__xludf.DUMMYFUNCTION("""COMPUTED_VALUE"""),"Agosto")</f>
        <v>Agosto</v>
      </c>
      <c r="J1088" s="42" t="str">
        <f ca="1">IFERROR(__xludf.DUMMYFUNCTION("""COMPUTED_VALUE"""),"AMM")</f>
        <v>AMM</v>
      </c>
      <c r="K1088" s="98">
        <f ca="1">IFERROR(__xludf.DUMMYFUNCTION("""COMPUTED_VALUE"""),89)</f>
        <v>89</v>
      </c>
      <c r="L1088" s="42" t="str">
        <f ca="1">IFERROR(__xludf.DUMMYFUNCTION("""COMPUTED_VALUE"""),"TRIMESTRE 3")</f>
        <v>TRIMESTRE 3</v>
      </c>
      <c r="M1088" s="42" t="str">
        <f ca="1">IFERROR(__xludf.DUMMYFUNCTION("""COMPUTED_VALUE"""),"ADULTA MAYOR MUJER")</f>
        <v>ADULTA MAYOR MUJER</v>
      </c>
    </row>
    <row r="1089" spans="1:13">
      <c r="A1089" s="42" t="str">
        <f ca="1">IFERROR(__xludf.DUMMYFUNCTION("""COMPUTED_VALUE"""),"2.1.1.10")</f>
        <v>2.1.1.10</v>
      </c>
      <c r="B1089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89" s="42" t="str">
        <f ca="1">IFERROR(__xludf.DUMMYFUNCTION("""COMPUTED_VALUE"""),"3. Operación")</f>
        <v>3. Operación</v>
      </c>
      <c r="D1089" s="42" t="str">
        <f ca="1">IFERROR(__xludf.DUMMYFUNCTION("""COMPUTED_VALUE"""),"Guadalajara en Paz")</f>
        <v>Guadalajara en Paz</v>
      </c>
      <c r="E1089" s="42" t="str">
        <f ca="1">IFERROR(__xludf.DUMMYFUNCTION("""COMPUTED_VALUE"""),"Atención Psicológica")</f>
        <v>Atención Psicológica</v>
      </c>
      <c r="F1089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089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089" s="42" t="str">
        <f ca="1">IFERROR(__xludf.DUMMYFUNCTION("""COMPUTED_VALUE"""),"AMH Agosto")</f>
        <v>AMH Agosto</v>
      </c>
      <c r="I1089" s="42" t="str">
        <f ca="1">IFERROR(__xludf.DUMMYFUNCTION("""COMPUTED_VALUE"""),"Agosto")</f>
        <v>Agosto</v>
      </c>
      <c r="J1089" s="42" t="str">
        <f ca="1">IFERROR(__xludf.DUMMYFUNCTION("""COMPUTED_VALUE"""),"AMH")</f>
        <v>AMH</v>
      </c>
      <c r="K1089" s="98">
        <f ca="1">IFERROR(__xludf.DUMMYFUNCTION("""COMPUTED_VALUE"""),25)</f>
        <v>25</v>
      </c>
      <c r="L1089" s="42" t="str">
        <f ca="1">IFERROR(__xludf.DUMMYFUNCTION("""COMPUTED_VALUE"""),"TRIMESTRE 3")</f>
        <v>TRIMESTRE 3</v>
      </c>
      <c r="M1089" s="42" t="str">
        <f ca="1">IFERROR(__xludf.DUMMYFUNCTION("""COMPUTED_VALUE"""),"ADULTO MAYOR HOMBRE")</f>
        <v>ADULTO MAYOR HOMBRE</v>
      </c>
    </row>
    <row r="1090" spans="1:13">
      <c r="A1090" s="42" t="str">
        <f ca="1">IFERROR(__xludf.DUMMYFUNCTION("""COMPUTED_VALUE"""),"2.1.1.9")</f>
        <v>2.1.1.9</v>
      </c>
      <c r="B1090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90" s="42" t="str">
        <f ca="1">IFERROR(__xludf.DUMMYFUNCTION("""COMPUTED_VALUE"""),"3. Operación")</f>
        <v>3. Operación</v>
      </c>
      <c r="D1090" s="42" t="str">
        <f ca="1">IFERROR(__xludf.DUMMYFUNCTION("""COMPUTED_VALUE"""),"Guadalajara en Paz")</f>
        <v>Guadalajara en Paz</v>
      </c>
      <c r="E1090" s="42" t="str">
        <f ca="1">IFERROR(__xludf.DUMMYFUNCTION("""COMPUTED_VALUE"""),"Atención Psicológica")</f>
        <v>Atención Psicológica</v>
      </c>
      <c r="F1090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090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090" s="42" t="str">
        <f ca="1">IFERROR(__xludf.DUMMYFUNCTION("""COMPUTED_VALUE"""),"NAS Septiembre")</f>
        <v>NAS Septiembre</v>
      </c>
      <c r="I1090" s="42" t="str">
        <f ca="1">IFERROR(__xludf.DUMMYFUNCTION("""COMPUTED_VALUE"""),"Septiembre")</f>
        <v>Septiembre</v>
      </c>
      <c r="J1090" s="42" t="str">
        <f ca="1">IFERROR(__xludf.DUMMYFUNCTION("""COMPUTED_VALUE"""),"NAS")</f>
        <v>NAS</v>
      </c>
      <c r="K1090" s="98">
        <f ca="1">IFERROR(__xludf.DUMMYFUNCTION("""COMPUTED_VALUE"""),86)</f>
        <v>86</v>
      </c>
      <c r="L1090" s="42" t="str">
        <f ca="1">IFERROR(__xludf.DUMMYFUNCTION("""COMPUTED_VALUE"""),"TRIMESTRE 3")</f>
        <v>TRIMESTRE 3</v>
      </c>
      <c r="M1090" s="42" t="str">
        <f ca="1">IFERROR(__xludf.DUMMYFUNCTION("""COMPUTED_VALUE"""),"NIÑAS")</f>
        <v>NIÑAS</v>
      </c>
    </row>
    <row r="1091" spans="1:13">
      <c r="A1091" s="42" t="str">
        <f ca="1">IFERROR(__xludf.DUMMYFUNCTION("""COMPUTED_VALUE"""),"2.1.1.9")</f>
        <v>2.1.1.9</v>
      </c>
      <c r="B1091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91" s="42" t="str">
        <f ca="1">IFERROR(__xludf.DUMMYFUNCTION("""COMPUTED_VALUE"""),"3. Operación")</f>
        <v>3. Operación</v>
      </c>
      <c r="D1091" s="42" t="str">
        <f ca="1">IFERROR(__xludf.DUMMYFUNCTION("""COMPUTED_VALUE"""),"Guadalajara en Paz")</f>
        <v>Guadalajara en Paz</v>
      </c>
      <c r="E1091" s="42" t="str">
        <f ca="1">IFERROR(__xludf.DUMMYFUNCTION("""COMPUTED_VALUE"""),"Atención Psicológica")</f>
        <v>Atención Psicológica</v>
      </c>
      <c r="F1091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091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091" s="42" t="str">
        <f ca="1">IFERROR(__xludf.DUMMYFUNCTION("""COMPUTED_VALUE"""),"NOS Septiembre")</f>
        <v>NOS Septiembre</v>
      </c>
      <c r="I1091" s="42" t="str">
        <f ca="1">IFERROR(__xludf.DUMMYFUNCTION("""COMPUTED_VALUE"""),"Septiembre")</f>
        <v>Septiembre</v>
      </c>
      <c r="J1091" s="42" t="str">
        <f ca="1">IFERROR(__xludf.DUMMYFUNCTION("""COMPUTED_VALUE"""),"NOS")</f>
        <v>NOS</v>
      </c>
      <c r="K1091" s="98">
        <f ca="1">IFERROR(__xludf.DUMMYFUNCTION("""COMPUTED_VALUE"""),87)</f>
        <v>87</v>
      </c>
      <c r="L1091" s="42" t="str">
        <f ca="1">IFERROR(__xludf.DUMMYFUNCTION("""COMPUTED_VALUE"""),"TRIMESTRE 3")</f>
        <v>TRIMESTRE 3</v>
      </c>
      <c r="M1091" s="42" t="str">
        <f ca="1">IFERROR(__xludf.DUMMYFUNCTION("""COMPUTED_VALUE"""),"NIÑOS")</f>
        <v>NIÑOS</v>
      </c>
    </row>
    <row r="1092" spans="1:13">
      <c r="A1092" s="42" t="str">
        <f ca="1">IFERROR(__xludf.DUMMYFUNCTION("""COMPUTED_VALUE"""),"2.1.1.9")</f>
        <v>2.1.1.9</v>
      </c>
      <c r="B1092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92" s="42" t="str">
        <f ca="1">IFERROR(__xludf.DUMMYFUNCTION("""COMPUTED_VALUE"""),"3. Operación")</f>
        <v>3. Operación</v>
      </c>
      <c r="D1092" s="42" t="str">
        <f ca="1">IFERROR(__xludf.DUMMYFUNCTION("""COMPUTED_VALUE"""),"Guadalajara en Paz")</f>
        <v>Guadalajara en Paz</v>
      </c>
      <c r="E1092" s="42" t="str">
        <f ca="1">IFERROR(__xludf.DUMMYFUNCTION("""COMPUTED_VALUE"""),"Atención Psicológica")</f>
        <v>Atención Psicológica</v>
      </c>
      <c r="F1092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092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092" s="42" t="str">
        <f ca="1">IFERROR(__xludf.DUMMYFUNCTION("""COMPUTED_VALUE"""),"AM SEPTIEMBRE")</f>
        <v>AM SEPTIEMBRE</v>
      </c>
      <c r="I1092" s="42" t="str">
        <f ca="1">IFERROR(__xludf.DUMMYFUNCTION("""COMPUTED_VALUE"""),"Septiembre")</f>
        <v>Septiembre</v>
      </c>
      <c r="J1092" s="42" t="str">
        <f ca="1">IFERROR(__xludf.DUMMYFUNCTION("""COMPUTED_VALUE"""),"AM")</f>
        <v>AM</v>
      </c>
      <c r="K1092" s="98">
        <f ca="1">IFERROR(__xludf.DUMMYFUNCTION("""COMPUTED_VALUE"""),66)</f>
        <v>66</v>
      </c>
      <c r="L1092" s="42" t="str">
        <f ca="1">IFERROR(__xludf.DUMMYFUNCTION("""COMPUTED_VALUE"""),"TRIMESTRE 3")</f>
        <v>TRIMESTRE 3</v>
      </c>
      <c r="M1092" s="42" t="str">
        <f ca="1">IFERROR(__xludf.DUMMYFUNCTION("""COMPUTED_VALUE"""),"ADOLESCENTES MUJERES")</f>
        <v>ADOLESCENTES MUJERES</v>
      </c>
    </row>
    <row r="1093" spans="1:13">
      <c r="A1093" s="42" t="str">
        <f ca="1">IFERROR(__xludf.DUMMYFUNCTION("""COMPUTED_VALUE"""),"2.1.1.9")</f>
        <v>2.1.1.9</v>
      </c>
      <c r="B1093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93" s="42" t="str">
        <f ca="1">IFERROR(__xludf.DUMMYFUNCTION("""COMPUTED_VALUE"""),"3. Operación")</f>
        <v>3. Operación</v>
      </c>
      <c r="D1093" s="42" t="str">
        <f ca="1">IFERROR(__xludf.DUMMYFUNCTION("""COMPUTED_VALUE"""),"Guadalajara en Paz")</f>
        <v>Guadalajara en Paz</v>
      </c>
      <c r="E1093" s="42" t="str">
        <f ca="1">IFERROR(__xludf.DUMMYFUNCTION("""COMPUTED_VALUE"""),"Atención Psicológica")</f>
        <v>Atención Psicológica</v>
      </c>
      <c r="F1093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093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093" s="42" t="str">
        <f ca="1">IFERROR(__xludf.DUMMYFUNCTION("""COMPUTED_VALUE"""),"AH SEPTIEMBRE")</f>
        <v>AH SEPTIEMBRE</v>
      </c>
      <c r="I1093" s="42" t="str">
        <f ca="1">IFERROR(__xludf.DUMMYFUNCTION("""COMPUTED_VALUE"""),"Septiembre")</f>
        <v>Septiembre</v>
      </c>
      <c r="J1093" s="42" t="str">
        <f ca="1">IFERROR(__xludf.DUMMYFUNCTION("""COMPUTED_VALUE"""),"AH")</f>
        <v>AH</v>
      </c>
      <c r="K1093" s="98">
        <f ca="1">IFERROR(__xludf.DUMMYFUNCTION("""COMPUTED_VALUE"""),41)</f>
        <v>41</v>
      </c>
      <c r="L1093" s="42" t="str">
        <f ca="1">IFERROR(__xludf.DUMMYFUNCTION("""COMPUTED_VALUE"""),"TRIMESTRE 3")</f>
        <v>TRIMESTRE 3</v>
      </c>
      <c r="M1093" s="42" t="str">
        <f ca="1">IFERROR(__xludf.DUMMYFUNCTION("""COMPUTED_VALUE"""),"ADOLESCENTES HOMBRES")</f>
        <v>ADOLESCENTES HOMBRES</v>
      </c>
    </row>
    <row r="1094" spans="1:13">
      <c r="A1094" s="42" t="str">
        <f ca="1">IFERROR(__xludf.DUMMYFUNCTION("""COMPUTED_VALUE"""),"2.1.1.9")</f>
        <v>2.1.1.9</v>
      </c>
      <c r="B1094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94" s="42" t="str">
        <f ca="1">IFERROR(__xludf.DUMMYFUNCTION("""COMPUTED_VALUE"""),"3. Operación")</f>
        <v>3. Operación</v>
      </c>
      <c r="D1094" s="42" t="str">
        <f ca="1">IFERROR(__xludf.DUMMYFUNCTION("""COMPUTED_VALUE"""),"Guadalajara en Paz")</f>
        <v>Guadalajara en Paz</v>
      </c>
      <c r="E1094" s="42" t="str">
        <f ca="1">IFERROR(__xludf.DUMMYFUNCTION("""COMPUTED_VALUE"""),"Atención Psicológica")</f>
        <v>Atención Psicológica</v>
      </c>
      <c r="F1094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094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094" s="42" t="str">
        <f ca="1">IFERROR(__xludf.DUMMYFUNCTION("""COMPUTED_VALUE"""),"MUJ Septiembre")</f>
        <v>MUJ Septiembre</v>
      </c>
      <c r="I1094" s="42" t="str">
        <f ca="1">IFERROR(__xludf.DUMMYFUNCTION("""COMPUTED_VALUE"""),"Septiembre")</f>
        <v>Septiembre</v>
      </c>
      <c r="J1094" s="42" t="str">
        <f ca="1">IFERROR(__xludf.DUMMYFUNCTION("""COMPUTED_VALUE"""),"MUJ")</f>
        <v>MUJ</v>
      </c>
      <c r="K1094" s="98">
        <f ca="1">IFERROR(__xludf.DUMMYFUNCTION("""COMPUTED_VALUE"""),297)</f>
        <v>297</v>
      </c>
      <c r="L1094" s="42" t="str">
        <f ca="1">IFERROR(__xludf.DUMMYFUNCTION("""COMPUTED_VALUE"""),"TRIMESTRE 3")</f>
        <v>TRIMESTRE 3</v>
      </c>
      <c r="M1094" s="42" t="str">
        <f ca="1">IFERROR(__xludf.DUMMYFUNCTION("""COMPUTED_VALUE"""),"MUJERES ADULTAS")</f>
        <v>MUJERES ADULTAS</v>
      </c>
    </row>
    <row r="1095" spans="1:13">
      <c r="A1095" s="42" t="str">
        <f ca="1">IFERROR(__xludf.DUMMYFUNCTION("""COMPUTED_VALUE"""),"2.1.1.9")</f>
        <v>2.1.1.9</v>
      </c>
      <c r="B1095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95" s="42" t="str">
        <f ca="1">IFERROR(__xludf.DUMMYFUNCTION("""COMPUTED_VALUE"""),"3. Operación")</f>
        <v>3. Operación</v>
      </c>
      <c r="D1095" s="42" t="str">
        <f ca="1">IFERROR(__xludf.DUMMYFUNCTION("""COMPUTED_VALUE"""),"Guadalajara en Paz")</f>
        <v>Guadalajara en Paz</v>
      </c>
      <c r="E1095" s="42" t="str">
        <f ca="1">IFERROR(__xludf.DUMMYFUNCTION("""COMPUTED_VALUE"""),"Atención Psicológica")</f>
        <v>Atención Psicológica</v>
      </c>
      <c r="F1095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095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095" s="42" t="str">
        <f ca="1">IFERROR(__xludf.DUMMYFUNCTION("""COMPUTED_VALUE"""),"HOM Septiembre")</f>
        <v>HOM Septiembre</v>
      </c>
      <c r="I1095" s="42" t="str">
        <f ca="1">IFERROR(__xludf.DUMMYFUNCTION("""COMPUTED_VALUE"""),"Septiembre")</f>
        <v>Septiembre</v>
      </c>
      <c r="J1095" s="42" t="str">
        <f ca="1">IFERROR(__xludf.DUMMYFUNCTION("""COMPUTED_VALUE"""),"HOM")</f>
        <v>HOM</v>
      </c>
      <c r="K1095" s="98">
        <f ca="1">IFERROR(__xludf.DUMMYFUNCTION("""COMPUTED_VALUE"""),79)</f>
        <v>79</v>
      </c>
      <c r="L1095" s="42" t="str">
        <f ca="1">IFERROR(__xludf.DUMMYFUNCTION("""COMPUTED_VALUE"""),"TRIMESTRE 3")</f>
        <v>TRIMESTRE 3</v>
      </c>
      <c r="M1095" s="42" t="str">
        <f ca="1">IFERROR(__xludf.DUMMYFUNCTION("""COMPUTED_VALUE"""),"HOMBRES ADULTOS")</f>
        <v>HOMBRES ADULTOS</v>
      </c>
    </row>
    <row r="1096" spans="1:13">
      <c r="A1096" s="42" t="str">
        <f ca="1">IFERROR(__xludf.DUMMYFUNCTION("""COMPUTED_VALUE"""),"2.1.1.9")</f>
        <v>2.1.1.9</v>
      </c>
      <c r="B1096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96" s="42" t="str">
        <f ca="1">IFERROR(__xludf.DUMMYFUNCTION("""COMPUTED_VALUE"""),"3. Operación")</f>
        <v>3. Operación</v>
      </c>
      <c r="D1096" s="42" t="str">
        <f ca="1">IFERROR(__xludf.DUMMYFUNCTION("""COMPUTED_VALUE"""),"Guadalajara en Paz")</f>
        <v>Guadalajara en Paz</v>
      </c>
      <c r="E1096" s="42" t="str">
        <f ca="1">IFERROR(__xludf.DUMMYFUNCTION("""COMPUTED_VALUE"""),"Atención Psicológica")</f>
        <v>Atención Psicológica</v>
      </c>
      <c r="F1096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096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096" s="42" t="str">
        <f ca="1">IFERROR(__xludf.DUMMYFUNCTION("""COMPUTED_VALUE"""),"AMM Septiembre")</f>
        <v>AMM Septiembre</v>
      </c>
      <c r="I1096" s="42" t="str">
        <f ca="1">IFERROR(__xludf.DUMMYFUNCTION("""COMPUTED_VALUE"""),"Septiembre")</f>
        <v>Septiembre</v>
      </c>
      <c r="J1096" s="42" t="str">
        <f ca="1">IFERROR(__xludf.DUMMYFUNCTION("""COMPUTED_VALUE"""),"AMM")</f>
        <v>AMM</v>
      </c>
      <c r="K1096" s="98">
        <f ca="1">IFERROR(__xludf.DUMMYFUNCTION("""COMPUTED_VALUE"""),57)</f>
        <v>57</v>
      </c>
      <c r="L1096" s="42" t="str">
        <f ca="1">IFERROR(__xludf.DUMMYFUNCTION("""COMPUTED_VALUE"""),"TRIMESTRE 3")</f>
        <v>TRIMESTRE 3</v>
      </c>
      <c r="M1096" s="42" t="str">
        <f ca="1">IFERROR(__xludf.DUMMYFUNCTION("""COMPUTED_VALUE"""),"ADULTA MAYOR MUJER")</f>
        <v>ADULTA MAYOR MUJER</v>
      </c>
    </row>
    <row r="1097" spans="1:13">
      <c r="A1097" s="42" t="str">
        <f ca="1">IFERROR(__xludf.DUMMYFUNCTION("""COMPUTED_VALUE"""),"2.1.1.9")</f>
        <v>2.1.1.9</v>
      </c>
      <c r="B1097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97" s="42" t="str">
        <f ca="1">IFERROR(__xludf.DUMMYFUNCTION("""COMPUTED_VALUE"""),"3. Operación")</f>
        <v>3. Operación</v>
      </c>
      <c r="D1097" s="42" t="str">
        <f ca="1">IFERROR(__xludf.DUMMYFUNCTION("""COMPUTED_VALUE"""),"Guadalajara en Paz")</f>
        <v>Guadalajara en Paz</v>
      </c>
      <c r="E1097" s="42" t="str">
        <f ca="1">IFERROR(__xludf.DUMMYFUNCTION("""COMPUTED_VALUE"""),"Atención Psicológica")</f>
        <v>Atención Psicológica</v>
      </c>
      <c r="F1097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097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097" s="42" t="str">
        <f ca="1">IFERROR(__xludf.DUMMYFUNCTION("""COMPUTED_VALUE"""),"AMH Septiembre")</f>
        <v>AMH Septiembre</v>
      </c>
      <c r="I1097" s="42" t="str">
        <f ca="1">IFERROR(__xludf.DUMMYFUNCTION("""COMPUTED_VALUE"""),"Septiembre")</f>
        <v>Septiembre</v>
      </c>
      <c r="J1097" s="42" t="str">
        <f ca="1">IFERROR(__xludf.DUMMYFUNCTION("""COMPUTED_VALUE"""),"AMH")</f>
        <v>AMH</v>
      </c>
      <c r="K1097" s="98">
        <f ca="1">IFERROR(__xludf.DUMMYFUNCTION("""COMPUTED_VALUE"""),11)</f>
        <v>11</v>
      </c>
      <c r="L1097" s="42" t="str">
        <f ca="1">IFERROR(__xludf.DUMMYFUNCTION("""COMPUTED_VALUE"""),"TRIMESTRE 3")</f>
        <v>TRIMESTRE 3</v>
      </c>
      <c r="M1097" s="42" t="str">
        <f ca="1">IFERROR(__xludf.DUMMYFUNCTION("""COMPUTED_VALUE"""),"ADULTO MAYOR HOMBRE")</f>
        <v>ADULTO MAYOR HOMBRE</v>
      </c>
    </row>
    <row r="1098" spans="1:13">
      <c r="A1098" s="42" t="str">
        <f ca="1">IFERROR(__xludf.DUMMYFUNCTION("""COMPUTED_VALUE"""),"2.1.1.10")</f>
        <v>2.1.1.10</v>
      </c>
      <c r="B1098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98" s="42" t="str">
        <f ca="1">IFERROR(__xludf.DUMMYFUNCTION("""COMPUTED_VALUE"""),"3. Operación")</f>
        <v>3. Operación</v>
      </c>
      <c r="D1098" s="42" t="str">
        <f ca="1">IFERROR(__xludf.DUMMYFUNCTION("""COMPUTED_VALUE"""),"Guadalajara en Paz")</f>
        <v>Guadalajara en Paz</v>
      </c>
      <c r="E1098" s="42" t="str">
        <f ca="1">IFERROR(__xludf.DUMMYFUNCTION("""COMPUTED_VALUE"""),"Atención Psicológica")</f>
        <v>Atención Psicológica</v>
      </c>
      <c r="F1098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098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098" s="42" t="str">
        <f ca="1">IFERROR(__xludf.DUMMYFUNCTION("""COMPUTED_VALUE"""),"NAS Septiembre")</f>
        <v>NAS Septiembre</v>
      </c>
      <c r="I1098" s="42" t="str">
        <f ca="1">IFERROR(__xludf.DUMMYFUNCTION("""COMPUTED_VALUE"""),"Septiembre")</f>
        <v>Septiembre</v>
      </c>
      <c r="J1098" s="42" t="str">
        <f ca="1">IFERROR(__xludf.DUMMYFUNCTION("""COMPUTED_VALUE"""),"NAS")</f>
        <v>NAS</v>
      </c>
      <c r="K1098" s="98">
        <f ca="1">IFERROR(__xludf.DUMMYFUNCTION("""COMPUTED_VALUE"""),150)</f>
        <v>150</v>
      </c>
      <c r="L1098" s="42" t="str">
        <f ca="1">IFERROR(__xludf.DUMMYFUNCTION("""COMPUTED_VALUE"""),"TRIMESTRE 3")</f>
        <v>TRIMESTRE 3</v>
      </c>
      <c r="M1098" s="42" t="str">
        <f ca="1">IFERROR(__xludf.DUMMYFUNCTION("""COMPUTED_VALUE"""),"NIÑAS")</f>
        <v>NIÑAS</v>
      </c>
    </row>
    <row r="1099" spans="1:13">
      <c r="A1099" s="42" t="str">
        <f ca="1">IFERROR(__xludf.DUMMYFUNCTION("""COMPUTED_VALUE"""),"2.1.1.10")</f>
        <v>2.1.1.10</v>
      </c>
      <c r="B1099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099" s="42" t="str">
        <f ca="1">IFERROR(__xludf.DUMMYFUNCTION("""COMPUTED_VALUE"""),"3. Operación")</f>
        <v>3. Operación</v>
      </c>
      <c r="D1099" s="42" t="str">
        <f ca="1">IFERROR(__xludf.DUMMYFUNCTION("""COMPUTED_VALUE"""),"Guadalajara en Paz")</f>
        <v>Guadalajara en Paz</v>
      </c>
      <c r="E1099" s="42" t="str">
        <f ca="1">IFERROR(__xludf.DUMMYFUNCTION("""COMPUTED_VALUE"""),"Atención Psicológica")</f>
        <v>Atención Psicológica</v>
      </c>
      <c r="F1099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099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099" s="42" t="str">
        <f ca="1">IFERROR(__xludf.DUMMYFUNCTION("""COMPUTED_VALUE"""),"NOS Septiembre")</f>
        <v>NOS Septiembre</v>
      </c>
      <c r="I1099" s="42" t="str">
        <f ca="1">IFERROR(__xludf.DUMMYFUNCTION("""COMPUTED_VALUE"""),"Septiembre")</f>
        <v>Septiembre</v>
      </c>
      <c r="J1099" s="42" t="str">
        <f ca="1">IFERROR(__xludf.DUMMYFUNCTION("""COMPUTED_VALUE"""),"NOS")</f>
        <v>NOS</v>
      </c>
      <c r="K1099" s="98">
        <f ca="1">IFERROR(__xludf.DUMMYFUNCTION("""COMPUTED_VALUE"""),166)</f>
        <v>166</v>
      </c>
      <c r="L1099" s="42" t="str">
        <f ca="1">IFERROR(__xludf.DUMMYFUNCTION("""COMPUTED_VALUE"""),"TRIMESTRE 3")</f>
        <v>TRIMESTRE 3</v>
      </c>
      <c r="M1099" s="42" t="str">
        <f ca="1">IFERROR(__xludf.DUMMYFUNCTION("""COMPUTED_VALUE"""),"NIÑOS")</f>
        <v>NIÑOS</v>
      </c>
    </row>
    <row r="1100" spans="1:13">
      <c r="A1100" s="42" t="str">
        <f ca="1">IFERROR(__xludf.DUMMYFUNCTION("""COMPUTED_VALUE"""),"2.1.1.10")</f>
        <v>2.1.1.10</v>
      </c>
      <c r="B1100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00" s="42" t="str">
        <f ca="1">IFERROR(__xludf.DUMMYFUNCTION("""COMPUTED_VALUE"""),"3. Operación")</f>
        <v>3. Operación</v>
      </c>
      <c r="D1100" s="42" t="str">
        <f ca="1">IFERROR(__xludf.DUMMYFUNCTION("""COMPUTED_VALUE"""),"Guadalajara en Paz")</f>
        <v>Guadalajara en Paz</v>
      </c>
      <c r="E1100" s="42" t="str">
        <f ca="1">IFERROR(__xludf.DUMMYFUNCTION("""COMPUTED_VALUE"""),"Atención Psicológica")</f>
        <v>Atención Psicológica</v>
      </c>
      <c r="F1100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100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100" s="42" t="str">
        <f ca="1">IFERROR(__xludf.DUMMYFUNCTION("""COMPUTED_VALUE"""),"AM SEPTIEMBRE")</f>
        <v>AM SEPTIEMBRE</v>
      </c>
      <c r="I1100" s="42" t="str">
        <f ca="1">IFERROR(__xludf.DUMMYFUNCTION("""COMPUTED_VALUE"""),"Septiembre")</f>
        <v>Septiembre</v>
      </c>
      <c r="J1100" s="42" t="str">
        <f ca="1">IFERROR(__xludf.DUMMYFUNCTION("""COMPUTED_VALUE"""),"AM")</f>
        <v>AM</v>
      </c>
      <c r="K1100" s="98">
        <f ca="1">IFERROR(__xludf.DUMMYFUNCTION("""COMPUTED_VALUE"""),104)</f>
        <v>104</v>
      </c>
      <c r="L1100" s="42" t="str">
        <f ca="1">IFERROR(__xludf.DUMMYFUNCTION("""COMPUTED_VALUE"""),"TRIMESTRE 3")</f>
        <v>TRIMESTRE 3</v>
      </c>
      <c r="M1100" s="42" t="str">
        <f ca="1">IFERROR(__xludf.DUMMYFUNCTION("""COMPUTED_VALUE"""),"ADOLESCENTES MUJERES")</f>
        <v>ADOLESCENTES MUJERES</v>
      </c>
    </row>
    <row r="1101" spans="1:13">
      <c r="A1101" s="42" t="str">
        <f ca="1">IFERROR(__xludf.DUMMYFUNCTION("""COMPUTED_VALUE"""),"2.1.1.10")</f>
        <v>2.1.1.10</v>
      </c>
      <c r="B1101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01" s="42" t="str">
        <f ca="1">IFERROR(__xludf.DUMMYFUNCTION("""COMPUTED_VALUE"""),"3. Operación")</f>
        <v>3. Operación</v>
      </c>
      <c r="D1101" s="42" t="str">
        <f ca="1">IFERROR(__xludf.DUMMYFUNCTION("""COMPUTED_VALUE"""),"Guadalajara en Paz")</f>
        <v>Guadalajara en Paz</v>
      </c>
      <c r="E1101" s="42" t="str">
        <f ca="1">IFERROR(__xludf.DUMMYFUNCTION("""COMPUTED_VALUE"""),"Atención Psicológica")</f>
        <v>Atención Psicológica</v>
      </c>
      <c r="F1101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101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101" s="42" t="str">
        <f ca="1">IFERROR(__xludf.DUMMYFUNCTION("""COMPUTED_VALUE"""),"AH SEPTIEMBRE")</f>
        <v>AH SEPTIEMBRE</v>
      </c>
      <c r="I1101" s="42" t="str">
        <f ca="1">IFERROR(__xludf.DUMMYFUNCTION("""COMPUTED_VALUE"""),"Septiembre")</f>
        <v>Septiembre</v>
      </c>
      <c r="J1101" s="42" t="str">
        <f ca="1">IFERROR(__xludf.DUMMYFUNCTION("""COMPUTED_VALUE"""),"AH")</f>
        <v>AH</v>
      </c>
      <c r="K1101" s="98">
        <f ca="1">IFERROR(__xludf.DUMMYFUNCTION("""COMPUTED_VALUE"""),20)</f>
        <v>20</v>
      </c>
      <c r="L1101" s="42" t="str">
        <f ca="1">IFERROR(__xludf.DUMMYFUNCTION("""COMPUTED_VALUE"""),"TRIMESTRE 3")</f>
        <v>TRIMESTRE 3</v>
      </c>
      <c r="M1101" s="42" t="str">
        <f ca="1">IFERROR(__xludf.DUMMYFUNCTION("""COMPUTED_VALUE"""),"ADOLESCENTES HOMBRES")</f>
        <v>ADOLESCENTES HOMBRES</v>
      </c>
    </row>
    <row r="1102" spans="1:13">
      <c r="A1102" s="42" t="str">
        <f ca="1">IFERROR(__xludf.DUMMYFUNCTION("""COMPUTED_VALUE"""),"2.1.1.10")</f>
        <v>2.1.1.10</v>
      </c>
      <c r="B1102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02" s="42" t="str">
        <f ca="1">IFERROR(__xludf.DUMMYFUNCTION("""COMPUTED_VALUE"""),"3. Operación")</f>
        <v>3. Operación</v>
      </c>
      <c r="D1102" s="42" t="str">
        <f ca="1">IFERROR(__xludf.DUMMYFUNCTION("""COMPUTED_VALUE"""),"Guadalajara en Paz")</f>
        <v>Guadalajara en Paz</v>
      </c>
      <c r="E1102" s="42" t="str">
        <f ca="1">IFERROR(__xludf.DUMMYFUNCTION("""COMPUTED_VALUE"""),"Atención Psicológica")</f>
        <v>Atención Psicológica</v>
      </c>
      <c r="F1102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102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102" s="42" t="str">
        <f ca="1">IFERROR(__xludf.DUMMYFUNCTION("""COMPUTED_VALUE"""),"MUJ Septiembre")</f>
        <v>MUJ Septiembre</v>
      </c>
      <c r="I1102" s="42" t="str">
        <f ca="1">IFERROR(__xludf.DUMMYFUNCTION("""COMPUTED_VALUE"""),"Septiembre")</f>
        <v>Septiembre</v>
      </c>
      <c r="J1102" s="42" t="str">
        <f ca="1">IFERROR(__xludf.DUMMYFUNCTION("""COMPUTED_VALUE"""),"MUJ")</f>
        <v>MUJ</v>
      </c>
      <c r="K1102" s="98">
        <f ca="1">IFERROR(__xludf.DUMMYFUNCTION("""COMPUTED_VALUE"""),478)</f>
        <v>478</v>
      </c>
      <c r="L1102" s="42" t="str">
        <f ca="1">IFERROR(__xludf.DUMMYFUNCTION("""COMPUTED_VALUE"""),"TRIMESTRE 3")</f>
        <v>TRIMESTRE 3</v>
      </c>
      <c r="M1102" s="42" t="str">
        <f ca="1">IFERROR(__xludf.DUMMYFUNCTION("""COMPUTED_VALUE"""),"MUJERES ADULTAS")</f>
        <v>MUJERES ADULTAS</v>
      </c>
    </row>
    <row r="1103" spans="1:13">
      <c r="A1103" s="42" t="str">
        <f ca="1">IFERROR(__xludf.DUMMYFUNCTION("""COMPUTED_VALUE"""),"2.1.1.10")</f>
        <v>2.1.1.10</v>
      </c>
      <c r="B1103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03" s="42" t="str">
        <f ca="1">IFERROR(__xludf.DUMMYFUNCTION("""COMPUTED_VALUE"""),"3. Operación")</f>
        <v>3. Operación</v>
      </c>
      <c r="D1103" s="42" t="str">
        <f ca="1">IFERROR(__xludf.DUMMYFUNCTION("""COMPUTED_VALUE"""),"Guadalajara en Paz")</f>
        <v>Guadalajara en Paz</v>
      </c>
      <c r="E1103" s="42" t="str">
        <f ca="1">IFERROR(__xludf.DUMMYFUNCTION("""COMPUTED_VALUE"""),"Atención Psicológica")</f>
        <v>Atención Psicológica</v>
      </c>
      <c r="F1103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103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103" s="42" t="str">
        <f ca="1">IFERROR(__xludf.DUMMYFUNCTION("""COMPUTED_VALUE"""),"HOM Septiembre")</f>
        <v>HOM Septiembre</v>
      </c>
      <c r="I1103" s="42" t="str">
        <f ca="1">IFERROR(__xludf.DUMMYFUNCTION("""COMPUTED_VALUE"""),"Septiembre")</f>
        <v>Septiembre</v>
      </c>
      <c r="J1103" s="42" t="str">
        <f ca="1">IFERROR(__xludf.DUMMYFUNCTION("""COMPUTED_VALUE"""),"HOM")</f>
        <v>HOM</v>
      </c>
      <c r="K1103" s="98">
        <f ca="1">IFERROR(__xludf.DUMMYFUNCTION("""COMPUTED_VALUE"""),133)</f>
        <v>133</v>
      </c>
      <c r="L1103" s="42" t="str">
        <f ca="1">IFERROR(__xludf.DUMMYFUNCTION("""COMPUTED_VALUE"""),"TRIMESTRE 3")</f>
        <v>TRIMESTRE 3</v>
      </c>
      <c r="M1103" s="42" t="str">
        <f ca="1">IFERROR(__xludf.DUMMYFUNCTION("""COMPUTED_VALUE"""),"HOMBRES ADULTOS")</f>
        <v>HOMBRES ADULTOS</v>
      </c>
    </row>
    <row r="1104" spans="1:13">
      <c r="A1104" s="42" t="str">
        <f ca="1">IFERROR(__xludf.DUMMYFUNCTION("""COMPUTED_VALUE"""),"2.1.1.10")</f>
        <v>2.1.1.10</v>
      </c>
      <c r="B1104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04" s="42" t="str">
        <f ca="1">IFERROR(__xludf.DUMMYFUNCTION("""COMPUTED_VALUE"""),"3. Operación")</f>
        <v>3. Operación</v>
      </c>
      <c r="D1104" s="42" t="str">
        <f ca="1">IFERROR(__xludf.DUMMYFUNCTION("""COMPUTED_VALUE"""),"Guadalajara en Paz")</f>
        <v>Guadalajara en Paz</v>
      </c>
      <c r="E1104" s="42" t="str">
        <f ca="1">IFERROR(__xludf.DUMMYFUNCTION("""COMPUTED_VALUE"""),"Atención Psicológica")</f>
        <v>Atención Psicológica</v>
      </c>
      <c r="F1104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104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104" s="42" t="str">
        <f ca="1">IFERROR(__xludf.DUMMYFUNCTION("""COMPUTED_VALUE"""),"AMM Septiembre")</f>
        <v>AMM Septiembre</v>
      </c>
      <c r="I1104" s="42" t="str">
        <f ca="1">IFERROR(__xludf.DUMMYFUNCTION("""COMPUTED_VALUE"""),"Septiembre")</f>
        <v>Septiembre</v>
      </c>
      <c r="J1104" s="42" t="str">
        <f ca="1">IFERROR(__xludf.DUMMYFUNCTION("""COMPUTED_VALUE"""),"AMM")</f>
        <v>AMM</v>
      </c>
      <c r="K1104" s="98">
        <f ca="1">IFERROR(__xludf.DUMMYFUNCTION("""COMPUTED_VALUE"""),89)</f>
        <v>89</v>
      </c>
      <c r="L1104" s="42" t="str">
        <f ca="1">IFERROR(__xludf.DUMMYFUNCTION("""COMPUTED_VALUE"""),"TRIMESTRE 3")</f>
        <v>TRIMESTRE 3</v>
      </c>
      <c r="M1104" s="42" t="str">
        <f ca="1">IFERROR(__xludf.DUMMYFUNCTION("""COMPUTED_VALUE"""),"ADULTA MAYOR MUJER")</f>
        <v>ADULTA MAYOR MUJER</v>
      </c>
    </row>
    <row r="1105" spans="1:13">
      <c r="A1105" s="42" t="str">
        <f ca="1">IFERROR(__xludf.DUMMYFUNCTION("""COMPUTED_VALUE"""),"2.1.1.10")</f>
        <v>2.1.1.10</v>
      </c>
      <c r="B1105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05" s="42" t="str">
        <f ca="1">IFERROR(__xludf.DUMMYFUNCTION("""COMPUTED_VALUE"""),"3. Operación")</f>
        <v>3. Operación</v>
      </c>
      <c r="D1105" s="42" t="str">
        <f ca="1">IFERROR(__xludf.DUMMYFUNCTION("""COMPUTED_VALUE"""),"Guadalajara en Paz")</f>
        <v>Guadalajara en Paz</v>
      </c>
      <c r="E1105" s="42" t="str">
        <f ca="1">IFERROR(__xludf.DUMMYFUNCTION("""COMPUTED_VALUE"""),"Atención Psicológica")</f>
        <v>Atención Psicológica</v>
      </c>
      <c r="F1105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105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105" s="42" t="str">
        <f ca="1">IFERROR(__xludf.DUMMYFUNCTION("""COMPUTED_VALUE"""),"AMH Septiembre")</f>
        <v>AMH Septiembre</v>
      </c>
      <c r="I1105" s="42" t="str">
        <f ca="1">IFERROR(__xludf.DUMMYFUNCTION("""COMPUTED_VALUE"""),"Septiembre")</f>
        <v>Septiembre</v>
      </c>
      <c r="J1105" s="42" t="str">
        <f ca="1">IFERROR(__xludf.DUMMYFUNCTION("""COMPUTED_VALUE"""),"AMH")</f>
        <v>AMH</v>
      </c>
      <c r="K1105" s="98">
        <f ca="1">IFERROR(__xludf.DUMMYFUNCTION("""COMPUTED_VALUE"""),20)</f>
        <v>20</v>
      </c>
      <c r="L1105" s="42" t="str">
        <f ca="1">IFERROR(__xludf.DUMMYFUNCTION("""COMPUTED_VALUE"""),"TRIMESTRE 3")</f>
        <v>TRIMESTRE 3</v>
      </c>
      <c r="M1105" s="42" t="str">
        <f ca="1">IFERROR(__xludf.DUMMYFUNCTION("""COMPUTED_VALUE"""),"ADULTO MAYOR HOMBRE")</f>
        <v>ADULTO MAYOR HOMBRE</v>
      </c>
    </row>
    <row r="1106" spans="1:13">
      <c r="A1106" s="42" t="str">
        <f ca="1">IFERROR(__xludf.DUMMYFUNCTION("""COMPUTED_VALUE"""),"2.1.1.9")</f>
        <v>2.1.1.9</v>
      </c>
      <c r="B1106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06" s="42" t="str">
        <f ca="1">IFERROR(__xludf.DUMMYFUNCTION("""COMPUTED_VALUE"""),"3. Operación")</f>
        <v>3. Operación</v>
      </c>
      <c r="D1106" s="42" t="str">
        <f ca="1">IFERROR(__xludf.DUMMYFUNCTION("""COMPUTED_VALUE"""),"Guadalajara en Paz")</f>
        <v>Guadalajara en Paz</v>
      </c>
      <c r="E1106" s="42" t="str">
        <f ca="1">IFERROR(__xludf.DUMMYFUNCTION("""COMPUTED_VALUE"""),"Atención Psicológica")</f>
        <v>Atención Psicológica</v>
      </c>
      <c r="F1106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106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106" s="42" t="str">
        <f ca="1">IFERROR(__xludf.DUMMYFUNCTION("""COMPUTED_VALUE"""),"NAS Octubre")</f>
        <v>NAS Octubre</v>
      </c>
      <c r="I1106" s="42" t="str">
        <f ca="1">IFERROR(__xludf.DUMMYFUNCTION("""COMPUTED_VALUE"""),"Octubre")</f>
        <v>Octubre</v>
      </c>
      <c r="J1106" s="42" t="str">
        <f ca="1">IFERROR(__xludf.DUMMYFUNCTION("""COMPUTED_VALUE"""),"NAS")</f>
        <v>NAS</v>
      </c>
      <c r="K1106" s="98"/>
      <c r="L1106" s="42" t="str">
        <f ca="1">IFERROR(__xludf.DUMMYFUNCTION("""COMPUTED_VALUE"""),"TRIMESTRE 4")</f>
        <v>TRIMESTRE 4</v>
      </c>
      <c r="M1106" s="42" t="str">
        <f ca="1">IFERROR(__xludf.DUMMYFUNCTION("""COMPUTED_VALUE"""),"NIÑAS")</f>
        <v>NIÑAS</v>
      </c>
    </row>
    <row r="1107" spans="1:13">
      <c r="A1107" s="42" t="str">
        <f ca="1">IFERROR(__xludf.DUMMYFUNCTION("""COMPUTED_VALUE"""),"2.1.1.9")</f>
        <v>2.1.1.9</v>
      </c>
      <c r="B1107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07" s="42" t="str">
        <f ca="1">IFERROR(__xludf.DUMMYFUNCTION("""COMPUTED_VALUE"""),"3. Operación")</f>
        <v>3. Operación</v>
      </c>
      <c r="D1107" s="42" t="str">
        <f ca="1">IFERROR(__xludf.DUMMYFUNCTION("""COMPUTED_VALUE"""),"Guadalajara en Paz")</f>
        <v>Guadalajara en Paz</v>
      </c>
      <c r="E1107" s="42" t="str">
        <f ca="1">IFERROR(__xludf.DUMMYFUNCTION("""COMPUTED_VALUE"""),"Atención Psicológica")</f>
        <v>Atención Psicológica</v>
      </c>
      <c r="F1107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107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107" s="42" t="str">
        <f ca="1">IFERROR(__xludf.DUMMYFUNCTION("""COMPUTED_VALUE"""),"NOS Octubre")</f>
        <v>NOS Octubre</v>
      </c>
      <c r="I1107" s="42" t="str">
        <f ca="1">IFERROR(__xludf.DUMMYFUNCTION("""COMPUTED_VALUE"""),"Octubre")</f>
        <v>Octubre</v>
      </c>
      <c r="J1107" s="42" t="str">
        <f ca="1">IFERROR(__xludf.DUMMYFUNCTION("""COMPUTED_VALUE"""),"NOS")</f>
        <v>NOS</v>
      </c>
      <c r="K1107" s="98"/>
      <c r="L1107" s="42" t="str">
        <f ca="1">IFERROR(__xludf.DUMMYFUNCTION("""COMPUTED_VALUE"""),"TRIMESTRE 4")</f>
        <v>TRIMESTRE 4</v>
      </c>
      <c r="M1107" s="42" t="str">
        <f ca="1">IFERROR(__xludf.DUMMYFUNCTION("""COMPUTED_VALUE"""),"NIÑOS")</f>
        <v>NIÑOS</v>
      </c>
    </row>
    <row r="1108" spans="1:13">
      <c r="A1108" s="42" t="str">
        <f ca="1">IFERROR(__xludf.DUMMYFUNCTION("""COMPUTED_VALUE"""),"2.1.1.9")</f>
        <v>2.1.1.9</v>
      </c>
      <c r="B1108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08" s="42" t="str">
        <f ca="1">IFERROR(__xludf.DUMMYFUNCTION("""COMPUTED_VALUE"""),"3. Operación")</f>
        <v>3. Operación</v>
      </c>
      <c r="D1108" s="42" t="str">
        <f ca="1">IFERROR(__xludf.DUMMYFUNCTION("""COMPUTED_VALUE"""),"Guadalajara en Paz")</f>
        <v>Guadalajara en Paz</v>
      </c>
      <c r="E1108" s="42" t="str">
        <f ca="1">IFERROR(__xludf.DUMMYFUNCTION("""COMPUTED_VALUE"""),"Atención Psicológica")</f>
        <v>Atención Psicológica</v>
      </c>
      <c r="F1108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108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108" s="42" t="str">
        <f ca="1">IFERROR(__xludf.DUMMYFUNCTION("""COMPUTED_VALUE"""),"AM OCTUBRE")</f>
        <v>AM OCTUBRE</v>
      </c>
      <c r="I1108" s="42" t="str">
        <f ca="1">IFERROR(__xludf.DUMMYFUNCTION("""COMPUTED_VALUE"""),"Octubre")</f>
        <v>Octubre</v>
      </c>
      <c r="J1108" s="42" t="str">
        <f ca="1">IFERROR(__xludf.DUMMYFUNCTION("""COMPUTED_VALUE"""),"AM")</f>
        <v>AM</v>
      </c>
      <c r="K1108" s="98"/>
      <c r="L1108" s="42" t="str">
        <f ca="1">IFERROR(__xludf.DUMMYFUNCTION("""COMPUTED_VALUE"""),"TRIMESTRE 4")</f>
        <v>TRIMESTRE 4</v>
      </c>
      <c r="M1108" s="42" t="str">
        <f ca="1">IFERROR(__xludf.DUMMYFUNCTION("""COMPUTED_VALUE"""),"ADOLESCENTES MUJERES")</f>
        <v>ADOLESCENTES MUJERES</v>
      </c>
    </row>
    <row r="1109" spans="1:13">
      <c r="A1109" s="42" t="str">
        <f ca="1">IFERROR(__xludf.DUMMYFUNCTION("""COMPUTED_VALUE"""),"2.1.1.9")</f>
        <v>2.1.1.9</v>
      </c>
      <c r="B1109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09" s="42" t="str">
        <f ca="1">IFERROR(__xludf.DUMMYFUNCTION("""COMPUTED_VALUE"""),"3. Operación")</f>
        <v>3. Operación</v>
      </c>
      <c r="D1109" s="42" t="str">
        <f ca="1">IFERROR(__xludf.DUMMYFUNCTION("""COMPUTED_VALUE"""),"Guadalajara en Paz")</f>
        <v>Guadalajara en Paz</v>
      </c>
      <c r="E1109" s="42" t="str">
        <f ca="1">IFERROR(__xludf.DUMMYFUNCTION("""COMPUTED_VALUE"""),"Atención Psicológica")</f>
        <v>Atención Psicológica</v>
      </c>
      <c r="F1109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109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109" s="42" t="str">
        <f ca="1">IFERROR(__xludf.DUMMYFUNCTION("""COMPUTED_VALUE"""),"AH OCTUBRE")</f>
        <v>AH OCTUBRE</v>
      </c>
      <c r="I1109" s="42" t="str">
        <f ca="1">IFERROR(__xludf.DUMMYFUNCTION("""COMPUTED_VALUE"""),"Octubre")</f>
        <v>Octubre</v>
      </c>
      <c r="J1109" s="42" t="str">
        <f ca="1">IFERROR(__xludf.DUMMYFUNCTION("""COMPUTED_VALUE"""),"AH")</f>
        <v>AH</v>
      </c>
      <c r="K1109" s="98"/>
      <c r="L1109" s="42" t="str">
        <f ca="1">IFERROR(__xludf.DUMMYFUNCTION("""COMPUTED_VALUE"""),"TRIMESTRE 4")</f>
        <v>TRIMESTRE 4</v>
      </c>
      <c r="M1109" s="42" t="str">
        <f ca="1">IFERROR(__xludf.DUMMYFUNCTION("""COMPUTED_VALUE"""),"ADOLESCENTES HOMBRES")</f>
        <v>ADOLESCENTES HOMBRES</v>
      </c>
    </row>
    <row r="1110" spans="1:13">
      <c r="A1110" s="42" t="str">
        <f ca="1">IFERROR(__xludf.DUMMYFUNCTION("""COMPUTED_VALUE"""),"2.1.1.9")</f>
        <v>2.1.1.9</v>
      </c>
      <c r="B1110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10" s="42" t="str">
        <f ca="1">IFERROR(__xludf.DUMMYFUNCTION("""COMPUTED_VALUE"""),"3. Operación")</f>
        <v>3. Operación</v>
      </c>
      <c r="D1110" s="42" t="str">
        <f ca="1">IFERROR(__xludf.DUMMYFUNCTION("""COMPUTED_VALUE"""),"Guadalajara en Paz")</f>
        <v>Guadalajara en Paz</v>
      </c>
      <c r="E1110" s="42" t="str">
        <f ca="1">IFERROR(__xludf.DUMMYFUNCTION("""COMPUTED_VALUE"""),"Atención Psicológica")</f>
        <v>Atención Psicológica</v>
      </c>
      <c r="F1110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110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110" s="42" t="str">
        <f ca="1">IFERROR(__xludf.DUMMYFUNCTION("""COMPUTED_VALUE"""),"MUJ Octubre")</f>
        <v>MUJ Octubre</v>
      </c>
      <c r="I1110" s="42" t="str">
        <f ca="1">IFERROR(__xludf.DUMMYFUNCTION("""COMPUTED_VALUE"""),"Octubre")</f>
        <v>Octubre</v>
      </c>
      <c r="J1110" s="42" t="str">
        <f ca="1">IFERROR(__xludf.DUMMYFUNCTION("""COMPUTED_VALUE"""),"MUJ")</f>
        <v>MUJ</v>
      </c>
      <c r="K1110" s="98"/>
      <c r="L1110" s="42" t="str">
        <f ca="1">IFERROR(__xludf.DUMMYFUNCTION("""COMPUTED_VALUE"""),"TRIMESTRE 4")</f>
        <v>TRIMESTRE 4</v>
      </c>
      <c r="M1110" s="42" t="str">
        <f ca="1">IFERROR(__xludf.DUMMYFUNCTION("""COMPUTED_VALUE"""),"MUJERES ADULTAS")</f>
        <v>MUJERES ADULTAS</v>
      </c>
    </row>
    <row r="1111" spans="1:13">
      <c r="A1111" s="42" t="str">
        <f ca="1">IFERROR(__xludf.DUMMYFUNCTION("""COMPUTED_VALUE"""),"2.1.1.9")</f>
        <v>2.1.1.9</v>
      </c>
      <c r="B1111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11" s="42" t="str">
        <f ca="1">IFERROR(__xludf.DUMMYFUNCTION("""COMPUTED_VALUE"""),"3. Operación")</f>
        <v>3. Operación</v>
      </c>
      <c r="D1111" s="42" t="str">
        <f ca="1">IFERROR(__xludf.DUMMYFUNCTION("""COMPUTED_VALUE"""),"Guadalajara en Paz")</f>
        <v>Guadalajara en Paz</v>
      </c>
      <c r="E1111" s="42" t="str">
        <f ca="1">IFERROR(__xludf.DUMMYFUNCTION("""COMPUTED_VALUE"""),"Atención Psicológica")</f>
        <v>Atención Psicológica</v>
      </c>
      <c r="F1111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111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111" s="42" t="str">
        <f ca="1">IFERROR(__xludf.DUMMYFUNCTION("""COMPUTED_VALUE"""),"HOM Octubre")</f>
        <v>HOM Octubre</v>
      </c>
      <c r="I1111" s="42" t="str">
        <f ca="1">IFERROR(__xludf.DUMMYFUNCTION("""COMPUTED_VALUE"""),"Octubre")</f>
        <v>Octubre</v>
      </c>
      <c r="J1111" s="42" t="str">
        <f ca="1">IFERROR(__xludf.DUMMYFUNCTION("""COMPUTED_VALUE"""),"HOM")</f>
        <v>HOM</v>
      </c>
      <c r="K1111" s="98"/>
      <c r="L1111" s="42" t="str">
        <f ca="1">IFERROR(__xludf.DUMMYFUNCTION("""COMPUTED_VALUE"""),"TRIMESTRE 4")</f>
        <v>TRIMESTRE 4</v>
      </c>
      <c r="M1111" s="42" t="str">
        <f ca="1">IFERROR(__xludf.DUMMYFUNCTION("""COMPUTED_VALUE"""),"HOMBRES ADULTOS")</f>
        <v>HOMBRES ADULTOS</v>
      </c>
    </row>
    <row r="1112" spans="1:13">
      <c r="A1112" s="42" t="str">
        <f ca="1">IFERROR(__xludf.DUMMYFUNCTION("""COMPUTED_VALUE"""),"2.1.1.9")</f>
        <v>2.1.1.9</v>
      </c>
      <c r="B1112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12" s="42" t="str">
        <f ca="1">IFERROR(__xludf.DUMMYFUNCTION("""COMPUTED_VALUE"""),"3. Operación")</f>
        <v>3. Operación</v>
      </c>
      <c r="D1112" s="42" t="str">
        <f ca="1">IFERROR(__xludf.DUMMYFUNCTION("""COMPUTED_VALUE"""),"Guadalajara en Paz")</f>
        <v>Guadalajara en Paz</v>
      </c>
      <c r="E1112" s="42" t="str">
        <f ca="1">IFERROR(__xludf.DUMMYFUNCTION("""COMPUTED_VALUE"""),"Atención Psicológica")</f>
        <v>Atención Psicológica</v>
      </c>
      <c r="F1112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112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112" s="42" t="str">
        <f ca="1">IFERROR(__xludf.DUMMYFUNCTION("""COMPUTED_VALUE"""),"AMM Octubre")</f>
        <v>AMM Octubre</v>
      </c>
      <c r="I1112" s="42" t="str">
        <f ca="1">IFERROR(__xludf.DUMMYFUNCTION("""COMPUTED_VALUE"""),"Octubre")</f>
        <v>Octubre</v>
      </c>
      <c r="J1112" s="42" t="str">
        <f ca="1">IFERROR(__xludf.DUMMYFUNCTION("""COMPUTED_VALUE"""),"AMM")</f>
        <v>AMM</v>
      </c>
      <c r="K1112" s="98"/>
      <c r="L1112" s="42" t="str">
        <f ca="1">IFERROR(__xludf.DUMMYFUNCTION("""COMPUTED_VALUE"""),"TRIMESTRE 4")</f>
        <v>TRIMESTRE 4</v>
      </c>
      <c r="M1112" s="42" t="str">
        <f ca="1">IFERROR(__xludf.DUMMYFUNCTION("""COMPUTED_VALUE"""),"ADULTA MAYOR MUJER")</f>
        <v>ADULTA MAYOR MUJER</v>
      </c>
    </row>
    <row r="1113" spans="1:13">
      <c r="A1113" s="42" t="str">
        <f ca="1">IFERROR(__xludf.DUMMYFUNCTION("""COMPUTED_VALUE"""),"2.1.1.9")</f>
        <v>2.1.1.9</v>
      </c>
      <c r="B1113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13" s="42" t="str">
        <f ca="1">IFERROR(__xludf.DUMMYFUNCTION("""COMPUTED_VALUE"""),"3. Operación")</f>
        <v>3. Operación</v>
      </c>
      <c r="D1113" s="42" t="str">
        <f ca="1">IFERROR(__xludf.DUMMYFUNCTION("""COMPUTED_VALUE"""),"Guadalajara en Paz")</f>
        <v>Guadalajara en Paz</v>
      </c>
      <c r="E1113" s="42" t="str">
        <f ca="1">IFERROR(__xludf.DUMMYFUNCTION("""COMPUTED_VALUE"""),"Atención Psicológica")</f>
        <v>Atención Psicológica</v>
      </c>
      <c r="F1113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113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113" s="42" t="str">
        <f ca="1">IFERROR(__xludf.DUMMYFUNCTION("""COMPUTED_VALUE"""),"AMH Octubre")</f>
        <v>AMH Octubre</v>
      </c>
      <c r="I1113" s="42" t="str">
        <f ca="1">IFERROR(__xludf.DUMMYFUNCTION("""COMPUTED_VALUE"""),"Octubre")</f>
        <v>Octubre</v>
      </c>
      <c r="J1113" s="42" t="str">
        <f ca="1">IFERROR(__xludf.DUMMYFUNCTION("""COMPUTED_VALUE"""),"AMH")</f>
        <v>AMH</v>
      </c>
      <c r="K1113" s="98"/>
      <c r="L1113" s="42" t="str">
        <f ca="1">IFERROR(__xludf.DUMMYFUNCTION("""COMPUTED_VALUE"""),"TRIMESTRE 4")</f>
        <v>TRIMESTRE 4</v>
      </c>
      <c r="M1113" s="42" t="str">
        <f ca="1">IFERROR(__xludf.DUMMYFUNCTION("""COMPUTED_VALUE"""),"ADULTO MAYOR HOMBRE")</f>
        <v>ADULTO MAYOR HOMBRE</v>
      </c>
    </row>
    <row r="1114" spans="1:13">
      <c r="A1114" s="42" t="str">
        <f ca="1">IFERROR(__xludf.DUMMYFUNCTION("""COMPUTED_VALUE"""),"2.1.1.10")</f>
        <v>2.1.1.10</v>
      </c>
      <c r="B1114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14" s="42" t="str">
        <f ca="1">IFERROR(__xludf.DUMMYFUNCTION("""COMPUTED_VALUE"""),"3. Operación")</f>
        <v>3. Operación</v>
      </c>
      <c r="D1114" s="42" t="str">
        <f ca="1">IFERROR(__xludf.DUMMYFUNCTION("""COMPUTED_VALUE"""),"Guadalajara en Paz")</f>
        <v>Guadalajara en Paz</v>
      </c>
      <c r="E1114" s="42" t="str">
        <f ca="1">IFERROR(__xludf.DUMMYFUNCTION("""COMPUTED_VALUE"""),"Atención Psicológica")</f>
        <v>Atención Psicológica</v>
      </c>
      <c r="F1114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114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114" s="42" t="str">
        <f ca="1">IFERROR(__xludf.DUMMYFUNCTION("""COMPUTED_VALUE"""),"NAS Octubre")</f>
        <v>NAS Octubre</v>
      </c>
      <c r="I1114" s="42" t="str">
        <f ca="1">IFERROR(__xludf.DUMMYFUNCTION("""COMPUTED_VALUE"""),"Octubre")</f>
        <v>Octubre</v>
      </c>
      <c r="J1114" s="42" t="str">
        <f ca="1">IFERROR(__xludf.DUMMYFUNCTION("""COMPUTED_VALUE"""),"NAS")</f>
        <v>NAS</v>
      </c>
      <c r="K1114" s="98"/>
      <c r="L1114" s="42" t="str">
        <f ca="1">IFERROR(__xludf.DUMMYFUNCTION("""COMPUTED_VALUE"""),"TRIMESTRE 4")</f>
        <v>TRIMESTRE 4</v>
      </c>
      <c r="M1114" s="42" t="str">
        <f ca="1">IFERROR(__xludf.DUMMYFUNCTION("""COMPUTED_VALUE"""),"NIÑAS")</f>
        <v>NIÑAS</v>
      </c>
    </row>
    <row r="1115" spans="1:13">
      <c r="A1115" s="42" t="str">
        <f ca="1">IFERROR(__xludf.DUMMYFUNCTION("""COMPUTED_VALUE"""),"2.1.1.10")</f>
        <v>2.1.1.10</v>
      </c>
      <c r="B1115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15" s="42" t="str">
        <f ca="1">IFERROR(__xludf.DUMMYFUNCTION("""COMPUTED_VALUE"""),"3. Operación")</f>
        <v>3. Operación</v>
      </c>
      <c r="D1115" s="42" t="str">
        <f ca="1">IFERROR(__xludf.DUMMYFUNCTION("""COMPUTED_VALUE"""),"Guadalajara en Paz")</f>
        <v>Guadalajara en Paz</v>
      </c>
      <c r="E1115" s="42" t="str">
        <f ca="1">IFERROR(__xludf.DUMMYFUNCTION("""COMPUTED_VALUE"""),"Atención Psicológica")</f>
        <v>Atención Psicológica</v>
      </c>
      <c r="F1115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115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115" s="42" t="str">
        <f ca="1">IFERROR(__xludf.DUMMYFUNCTION("""COMPUTED_VALUE"""),"NOS Octubre")</f>
        <v>NOS Octubre</v>
      </c>
      <c r="I1115" s="42" t="str">
        <f ca="1">IFERROR(__xludf.DUMMYFUNCTION("""COMPUTED_VALUE"""),"Octubre")</f>
        <v>Octubre</v>
      </c>
      <c r="J1115" s="42" t="str">
        <f ca="1">IFERROR(__xludf.DUMMYFUNCTION("""COMPUTED_VALUE"""),"NOS")</f>
        <v>NOS</v>
      </c>
      <c r="K1115" s="98"/>
      <c r="L1115" s="42" t="str">
        <f ca="1">IFERROR(__xludf.DUMMYFUNCTION("""COMPUTED_VALUE"""),"TRIMESTRE 4")</f>
        <v>TRIMESTRE 4</v>
      </c>
      <c r="M1115" s="42" t="str">
        <f ca="1">IFERROR(__xludf.DUMMYFUNCTION("""COMPUTED_VALUE"""),"NIÑOS")</f>
        <v>NIÑOS</v>
      </c>
    </row>
    <row r="1116" spans="1:13">
      <c r="A1116" s="42" t="str">
        <f ca="1">IFERROR(__xludf.DUMMYFUNCTION("""COMPUTED_VALUE"""),"2.1.1.10")</f>
        <v>2.1.1.10</v>
      </c>
      <c r="B1116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16" s="42" t="str">
        <f ca="1">IFERROR(__xludf.DUMMYFUNCTION("""COMPUTED_VALUE"""),"3. Operación")</f>
        <v>3. Operación</v>
      </c>
      <c r="D1116" s="42" t="str">
        <f ca="1">IFERROR(__xludf.DUMMYFUNCTION("""COMPUTED_VALUE"""),"Guadalajara en Paz")</f>
        <v>Guadalajara en Paz</v>
      </c>
      <c r="E1116" s="42" t="str">
        <f ca="1">IFERROR(__xludf.DUMMYFUNCTION("""COMPUTED_VALUE"""),"Atención Psicológica")</f>
        <v>Atención Psicológica</v>
      </c>
      <c r="F1116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116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116" s="42" t="str">
        <f ca="1">IFERROR(__xludf.DUMMYFUNCTION("""COMPUTED_VALUE"""),"AM OCTUBRE")</f>
        <v>AM OCTUBRE</v>
      </c>
      <c r="I1116" s="42" t="str">
        <f ca="1">IFERROR(__xludf.DUMMYFUNCTION("""COMPUTED_VALUE"""),"Octubre")</f>
        <v>Octubre</v>
      </c>
      <c r="J1116" s="42" t="str">
        <f ca="1">IFERROR(__xludf.DUMMYFUNCTION("""COMPUTED_VALUE"""),"AM")</f>
        <v>AM</v>
      </c>
      <c r="K1116" s="98"/>
      <c r="L1116" s="42" t="str">
        <f ca="1">IFERROR(__xludf.DUMMYFUNCTION("""COMPUTED_VALUE"""),"TRIMESTRE 4")</f>
        <v>TRIMESTRE 4</v>
      </c>
      <c r="M1116" s="42" t="str">
        <f ca="1">IFERROR(__xludf.DUMMYFUNCTION("""COMPUTED_VALUE"""),"ADOLESCENTES MUJERES")</f>
        <v>ADOLESCENTES MUJERES</v>
      </c>
    </row>
    <row r="1117" spans="1:13">
      <c r="A1117" s="42" t="str">
        <f ca="1">IFERROR(__xludf.DUMMYFUNCTION("""COMPUTED_VALUE"""),"2.1.1.10")</f>
        <v>2.1.1.10</v>
      </c>
      <c r="B1117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17" s="42" t="str">
        <f ca="1">IFERROR(__xludf.DUMMYFUNCTION("""COMPUTED_VALUE"""),"3. Operación")</f>
        <v>3. Operación</v>
      </c>
      <c r="D1117" s="42" t="str">
        <f ca="1">IFERROR(__xludf.DUMMYFUNCTION("""COMPUTED_VALUE"""),"Guadalajara en Paz")</f>
        <v>Guadalajara en Paz</v>
      </c>
      <c r="E1117" s="42" t="str">
        <f ca="1">IFERROR(__xludf.DUMMYFUNCTION("""COMPUTED_VALUE"""),"Atención Psicológica")</f>
        <v>Atención Psicológica</v>
      </c>
      <c r="F1117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117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117" s="42" t="str">
        <f ca="1">IFERROR(__xludf.DUMMYFUNCTION("""COMPUTED_VALUE"""),"AH OCTUBRE")</f>
        <v>AH OCTUBRE</v>
      </c>
      <c r="I1117" s="42" t="str">
        <f ca="1">IFERROR(__xludf.DUMMYFUNCTION("""COMPUTED_VALUE"""),"Octubre")</f>
        <v>Octubre</v>
      </c>
      <c r="J1117" s="42" t="str">
        <f ca="1">IFERROR(__xludf.DUMMYFUNCTION("""COMPUTED_VALUE"""),"AH")</f>
        <v>AH</v>
      </c>
      <c r="K1117" s="98"/>
      <c r="L1117" s="42" t="str">
        <f ca="1">IFERROR(__xludf.DUMMYFUNCTION("""COMPUTED_VALUE"""),"TRIMESTRE 4")</f>
        <v>TRIMESTRE 4</v>
      </c>
      <c r="M1117" s="42" t="str">
        <f ca="1">IFERROR(__xludf.DUMMYFUNCTION("""COMPUTED_VALUE"""),"ADOLESCENTES HOMBRES")</f>
        <v>ADOLESCENTES HOMBRES</v>
      </c>
    </row>
    <row r="1118" spans="1:13">
      <c r="A1118" s="42" t="str">
        <f ca="1">IFERROR(__xludf.DUMMYFUNCTION("""COMPUTED_VALUE"""),"2.1.1.10")</f>
        <v>2.1.1.10</v>
      </c>
      <c r="B1118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18" s="42" t="str">
        <f ca="1">IFERROR(__xludf.DUMMYFUNCTION("""COMPUTED_VALUE"""),"3. Operación")</f>
        <v>3. Operación</v>
      </c>
      <c r="D1118" s="42" t="str">
        <f ca="1">IFERROR(__xludf.DUMMYFUNCTION("""COMPUTED_VALUE"""),"Guadalajara en Paz")</f>
        <v>Guadalajara en Paz</v>
      </c>
      <c r="E1118" s="42" t="str">
        <f ca="1">IFERROR(__xludf.DUMMYFUNCTION("""COMPUTED_VALUE"""),"Atención Psicológica")</f>
        <v>Atención Psicológica</v>
      </c>
      <c r="F1118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118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118" s="42" t="str">
        <f ca="1">IFERROR(__xludf.DUMMYFUNCTION("""COMPUTED_VALUE"""),"MUJ Octubre")</f>
        <v>MUJ Octubre</v>
      </c>
      <c r="I1118" s="42" t="str">
        <f ca="1">IFERROR(__xludf.DUMMYFUNCTION("""COMPUTED_VALUE"""),"Octubre")</f>
        <v>Octubre</v>
      </c>
      <c r="J1118" s="42" t="str">
        <f ca="1">IFERROR(__xludf.DUMMYFUNCTION("""COMPUTED_VALUE"""),"MUJ")</f>
        <v>MUJ</v>
      </c>
      <c r="K1118" s="98"/>
      <c r="L1118" s="42" t="str">
        <f ca="1">IFERROR(__xludf.DUMMYFUNCTION("""COMPUTED_VALUE"""),"TRIMESTRE 4")</f>
        <v>TRIMESTRE 4</v>
      </c>
      <c r="M1118" s="42" t="str">
        <f ca="1">IFERROR(__xludf.DUMMYFUNCTION("""COMPUTED_VALUE"""),"MUJERES ADULTAS")</f>
        <v>MUJERES ADULTAS</v>
      </c>
    </row>
    <row r="1119" spans="1:13">
      <c r="A1119" s="42" t="str">
        <f ca="1">IFERROR(__xludf.DUMMYFUNCTION("""COMPUTED_VALUE"""),"2.1.1.10")</f>
        <v>2.1.1.10</v>
      </c>
      <c r="B1119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19" s="42" t="str">
        <f ca="1">IFERROR(__xludf.DUMMYFUNCTION("""COMPUTED_VALUE"""),"3. Operación")</f>
        <v>3. Operación</v>
      </c>
      <c r="D1119" s="42" t="str">
        <f ca="1">IFERROR(__xludf.DUMMYFUNCTION("""COMPUTED_VALUE"""),"Guadalajara en Paz")</f>
        <v>Guadalajara en Paz</v>
      </c>
      <c r="E1119" s="42" t="str">
        <f ca="1">IFERROR(__xludf.DUMMYFUNCTION("""COMPUTED_VALUE"""),"Atención Psicológica")</f>
        <v>Atención Psicológica</v>
      </c>
      <c r="F1119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119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119" s="42" t="str">
        <f ca="1">IFERROR(__xludf.DUMMYFUNCTION("""COMPUTED_VALUE"""),"HOM Octubre")</f>
        <v>HOM Octubre</v>
      </c>
      <c r="I1119" s="42" t="str">
        <f ca="1">IFERROR(__xludf.DUMMYFUNCTION("""COMPUTED_VALUE"""),"Octubre")</f>
        <v>Octubre</v>
      </c>
      <c r="J1119" s="42" t="str">
        <f ca="1">IFERROR(__xludf.DUMMYFUNCTION("""COMPUTED_VALUE"""),"HOM")</f>
        <v>HOM</v>
      </c>
      <c r="K1119" s="98"/>
      <c r="L1119" s="42" t="str">
        <f ca="1">IFERROR(__xludf.DUMMYFUNCTION("""COMPUTED_VALUE"""),"TRIMESTRE 4")</f>
        <v>TRIMESTRE 4</v>
      </c>
      <c r="M1119" s="42" t="str">
        <f ca="1">IFERROR(__xludf.DUMMYFUNCTION("""COMPUTED_VALUE"""),"HOMBRES ADULTOS")</f>
        <v>HOMBRES ADULTOS</v>
      </c>
    </row>
    <row r="1120" spans="1:13">
      <c r="A1120" s="42" t="str">
        <f ca="1">IFERROR(__xludf.DUMMYFUNCTION("""COMPUTED_VALUE"""),"2.1.1.10")</f>
        <v>2.1.1.10</v>
      </c>
      <c r="B1120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20" s="42" t="str">
        <f ca="1">IFERROR(__xludf.DUMMYFUNCTION("""COMPUTED_VALUE"""),"3. Operación")</f>
        <v>3. Operación</v>
      </c>
      <c r="D1120" s="42" t="str">
        <f ca="1">IFERROR(__xludf.DUMMYFUNCTION("""COMPUTED_VALUE"""),"Guadalajara en Paz")</f>
        <v>Guadalajara en Paz</v>
      </c>
      <c r="E1120" s="42" t="str">
        <f ca="1">IFERROR(__xludf.DUMMYFUNCTION("""COMPUTED_VALUE"""),"Atención Psicológica")</f>
        <v>Atención Psicológica</v>
      </c>
      <c r="F1120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120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120" s="42" t="str">
        <f ca="1">IFERROR(__xludf.DUMMYFUNCTION("""COMPUTED_VALUE"""),"AMM Octubre")</f>
        <v>AMM Octubre</v>
      </c>
      <c r="I1120" s="42" t="str">
        <f ca="1">IFERROR(__xludf.DUMMYFUNCTION("""COMPUTED_VALUE"""),"Octubre")</f>
        <v>Octubre</v>
      </c>
      <c r="J1120" s="42" t="str">
        <f ca="1">IFERROR(__xludf.DUMMYFUNCTION("""COMPUTED_VALUE"""),"AMM")</f>
        <v>AMM</v>
      </c>
      <c r="K1120" s="98"/>
      <c r="L1120" s="42" t="str">
        <f ca="1">IFERROR(__xludf.DUMMYFUNCTION("""COMPUTED_VALUE"""),"TRIMESTRE 4")</f>
        <v>TRIMESTRE 4</v>
      </c>
      <c r="M1120" s="42" t="str">
        <f ca="1">IFERROR(__xludf.DUMMYFUNCTION("""COMPUTED_VALUE"""),"ADULTA MAYOR MUJER")</f>
        <v>ADULTA MAYOR MUJER</v>
      </c>
    </row>
    <row r="1121" spans="1:13">
      <c r="A1121" s="42" t="str">
        <f ca="1">IFERROR(__xludf.DUMMYFUNCTION("""COMPUTED_VALUE"""),"2.1.1.10")</f>
        <v>2.1.1.10</v>
      </c>
      <c r="B1121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21" s="42" t="str">
        <f ca="1">IFERROR(__xludf.DUMMYFUNCTION("""COMPUTED_VALUE"""),"3. Operación")</f>
        <v>3. Operación</v>
      </c>
      <c r="D1121" s="42" t="str">
        <f ca="1">IFERROR(__xludf.DUMMYFUNCTION("""COMPUTED_VALUE"""),"Guadalajara en Paz")</f>
        <v>Guadalajara en Paz</v>
      </c>
      <c r="E1121" s="42" t="str">
        <f ca="1">IFERROR(__xludf.DUMMYFUNCTION("""COMPUTED_VALUE"""),"Atención Psicológica")</f>
        <v>Atención Psicológica</v>
      </c>
      <c r="F1121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121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121" s="42" t="str">
        <f ca="1">IFERROR(__xludf.DUMMYFUNCTION("""COMPUTED_VALUE"""),"AMH Octubre")</f>
        <v>AMH Octubre</v>
      </c>
      <c r="I1121" s="42" t="str">
        <f ca="1">IFERROR(__xludf.DUMMYFUNCTION("""COMPUTED_VALUE"""),"Octubre")</f>
        <v>Octubre</v>
      </c>
      <c r="J1121" s="42" t="str">
        <f ca="1">IFERROR(__xludf.DUMMYFUNCTION("""COMPUTED_VALUE"""),"AMH")</f>
        <v>AMH</v>
      </c>
      <c r="K1121" s="98"/>
      <c r="L1121" s="42" t="str">
        <f ca="1">IFERROR(__xludf.DUMMYFUNCTION("""COMPUTED_VALUE"""),"TRIMESTRE 4")</f>
        <v>TRIMESTRE 4</v>
      </c>
      <c r="M1121" s="42" t="str">
        <f ca="1">IFERROR(__xludf.DUMMYFUNCTION("""COMPUTED_VALUE"""),"ADULTO MAYOR HOMBRE")</f>
        <v>ADULTO MAYOR HOMBRE</v>
      </c>
    </row>
    <row r="1122" spans="1:13">
      <c r="A1122" s="42" t="str">
        <f ca="1">IFERROR(__xludf.DUMMYFUNCTION("""COMPUTED_VALUE"""),"2.1.1.9")</f>
        <v>2.1.1.9</v>
      </c>
      <c r="B1122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22" s="42" t="str">
        <f ca="1">IFERROR(__xludf.DUMMYFUNCTION("""COMPUTED_VALUE"""),"3. Operación")</f>
        <v>3. Operación</v>
      </c>
      <c r="D1122" s="42" t="str">
        <f ca="1">IFERROR(__xludf.DUMMYFUNCTION("""COMPUTED_VALUE"""),"Guadalajara en Paz")</f>
        <v>Guadalajara en Paz</v>
      </c>
      <c r="E1122" s="42" t="str">
        <f ca="1">IFERROR(__xludf.DUMMYFUNCTION("""COMPUTED_VALUE"""),"Atención Psicológica")</f>
        <v>Atención Psicológica</v>
      </c>
      <c r="F1122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122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122" s="42" t="str">
        <f ca="1">IFERROR(__xludf.DUMMYFUNCTION("""COMPUTED_VALUE"""),"NAS Noviembre")</f>
        <v>NAS Noviembre</v>
      </c>
      <c r="I1122" s="42" t="str">
        <f ca="1">IFERROR(__xludf.DUMMYFUNCTION("""COMPUTED_VALUE"""),"Noviembre")</f>
        <v>Noviembre</v>
      </c>
      <c r="J1122" s="42" t="str">
        <f ca="1">IFERROR(__xludf.DUMMYFUNCTION("""COMPUTED_VALUE"""),"NAS")</f>
        <v>NAS</v>
      </c>
      <c r="K1122" s="98"/>
      <c r="L1122" s="42" t="str">
        <f ca="1">IFERROR(__xludf.DUMMYFUNCTION("""COMPUTED_VALUE"""),"TRIMESTRE 4")</f>
        <v>TRIMESTRE 4</v>
      </c>
      <c r="M1122" s="42" t="str">
        <f ca="1">IFERROR(__xludf.DUMMYFUNCTION("""COMPUTED_VALUE"""),"NIÑAS")</f>
        <v>NIÑAS</v>
      </c>
    </row>
    <row r="1123" spans="1:13">
      <c r="A1123" s="42" t="str">
        <f ca="1">IFERROR(__xludf.DUMMYFUNCTION("""COMPUTED_VALUE"""),"2.1.1.9")</f>
        <v>2.1.1.9</v>
      </c>
      <c r="B1123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23" s="42" t="str">
        <f ca="1">IFERROR(__xludf.DUMMYFUNCTION("""COMPUTED_VALUE"""),"3. Operación")</f>
        <v>3. Operación</v>
      </c>
      <c r="D1123" s="42" t="str">
        <f ca="1">IFERROR(__xludf.DUMMYFUNCTION("""COMPUTED_VALUE"""),"Guadalajara en Paz")</f>
        <v>Guadalajara en Paz</v>
      </c>
      <c r="E1123" s="42" t="str">
        <f ca="1">IFERROR(__xludf.DUMMYFUNCTION("""COMPUTED_VALUE"""),"Atención Psicológica")</f>
        <v>Atención Psicológica</v>
      </c>
      <c r="F1123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123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123" s="42" t="str">
        <f ca="1">IFERROR(__xludf.DUMMYFUNCTION("""COMPUTED_VALUE"""),"NOS Noviembre")</f>
        <v>NOS Noviembre</v>
      </c>
      <c r="I1123" s="42" t="str">
        <f ca="1">IFERROR(__xludf.DUMMYFUNCTION("""COMPUTED_VALUE"""),"Noviembre")</f>
        <v>Noviembre</v>
      </c>
      <c r="J1123" s="42" t="str">
        <f ca="1">IFERROR(__xludf.DUMMYFUNCTION("""COMPUTED_VALUE"""),"NOS")</f>
        <v>NOS</v>
      </c>
      <c r="K1123" s="98"/>
      <c r="L1123" s="42" t="str">
        <f ca="1">IFERROR(__xludf.DUMMYFUNCTION("""COMPUTED_VALUE"""),"TRIMESTRE 4")</f>
        <v>TRIMESTRE 4</v>
      </c>
      <c r="M1123" s="42" t="str">
        <f ca="1">IFERROR(__xludf.DUMMYFUNCTION("""COMPUTED_VALUE"""),"NIÑOS")</f>
        <v>NIÑOS</v>
      </c>
    </row>
    <row r="1124" spans="1:13">
      <c r="A1124" s="42" t="str">
        <f ca="1">IFERROR(__xludf.DUMMYFUNCTION("""COMPUTED_VALUE"""),"2.1.1.9")</f>
        <v>2.1.1.9</v>
      </c>
      <c r="B1124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24" s="42" t="str">
        <f ca="1">IFERROR(__xludf.DUMMYFUNCTION("""COMPUTED_VALUE"""),"3. Operación")</f>
        <v>3. Operación</v>
      </c>
      <c r="D1124" s="42" t="str">
        <f ca="1">IFERROR(__xludf.DUMMYFUNCTION("""COMPUTED_VALUE"""),"Guadalajara en Paz")</f>
        <v>Guadalajara en Paz</v>
      </c>
      <c r="E1124" s="42" t="str">
        <f ca="1">IFERROR(__xludf.DUMMYFUNCTION("""COMPUTED_VALUE"""),"Atención Psicológica")</f>
        <v>Atención Psicológica</v>
      </c>
      <c r="F1124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124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124" s="42" t="str">
        <f ca="1">IFERROR(__xludf.DUMMYFUNCTION("""COMPUTED_VALUE"""),"AM NOVIEMBRE")</f>
        <v>AM NOVIEMBRE</v>
      </c>
      <c r="I1124" s="42" t="str">
        <f ca="1">IFERROR(__xludf.DUMMYFUNCTION("""COMPUTED_VALUE"""),"Noviembre")</f>
        <v>Noviembre</v>
      </c>
      <c r="J1124" s="42" t="str">
        <f ca="1">IFERROR(__xludf.DUMMYFUNCTION("""COMPUTED_VALUE"""),"AM")</f>
        <v>AM</v>
      </c>
      <c r="K1124" s="98"/>
      <c r="L1124" s="42" t="str">
        <f ca="1">IFERROR(__xludf.DUMMYFUNCTION("""COMPUTED_VALUE"""),"TRIMESTRE 4")</f>
        <v>TRIMESTRE 4</v>
      </c>
      <c r="M1124" s="42" t="str">
        <f ca="1">IFERROR(__xludf.DUMMYFUNCTION("""COMPUTED_VALUE"""),"ADOLESCENTES MUJERES")</f>
        <v>ADOLESCENTES MUJERES</v>
      </c>
    </row>
    <row r="1125" spans="1:13">
      <c r="A1125" s="42" t="str">
        <f ca="1">IFERROR(__xludf.DUMMYFUNCTION("""COMPUTED_VALUE"""),"2.1.1.9")</f>
        <v>2.1.1.9</v>
      </c>
      <c r="B1125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25" s="42" t="str">
        <f ca="1">IFERROR(__xludf.DUMMYFUNCTION("""COMPUTED_VALUE"""),"3. Operación")</f>
        <v>3. Operación</v>
      </c>
      <c r="D1125" s="42" t="str">
        <f ca="1">IFERROR(__xludf.DUMMYFUNCTION("""COMPUTED_VALUE"""),"Guadalajara en Paz")</f>
        <v>Guadalajara en Paz</v>
      </c>
      <c r="E1125" s="42" t="str">
        <f ca="1">IFERROR(__xludf.DUMMYFUNCTION("""COMPUTED_VALUE"""),"Atención Psicológica")</f>
        <v>Atención Psicológica</v>
      </c>
      <c r="F1125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125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125" s="42" t="str">
        <f ca="1">IFERROR(__xludf.DUMMYFUNCTION("""COMPUTED_VALUE"""),"AH NOVIEMBRE")</f>
        <v>AH NOVIEMBRE</v>
      </c>
      <c r="I1125" s="42" t="str">
        <f ca="1">IFERROR(__xludf.DUMMYFUNCTION("""COMPUTED_VALUE"""),"Noviembre")</f>
        <v>Noviembre</v>
      </c>
      <c r="J1125" s="42" t="str">
        <f ca="1">IFERROR(__xludf.DUMMYFUNCTION("""COMPUTED_VALUE"""),"AH")</f>
        <v>AH</v>
      </c>
      <c r="K1125" s="98"/>
      <c r="L1125" s="42" t="str">
        <f ca="1">IFERROR(__xludf.DUMMYFUNCTION("""COMPUTED_VALUE"""),"TRIMESTRE 4")</f>
        <v>TRIMESTRE 4</v>
      </c>
      <c r="M1125" s="42" t="str">
        <f ca="1">IFERROR(__xludf.DUMMYFUNCTION("""COMPUTED_VALUE"""),"ADOLESCENTES HOMBRES")</f>
        <v>ADOLESCENTES HOMBRES</v>
      </c>
    </row>
    <row r="1126" spans="1:13">
      <c r="A1126" s="42" t="str">
        <f ca="1">IFERROR(__xludf.DUMMYFUNCTION("""COMPUTED_VALUE"""),"2.1.1.9")</f>
        <v>2.1.1.9</v>
      </c>
      <c r="B1126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26" s="42" t="str">
        <f ca="1">IFERROR(__xludf.DUMMYFUNCTION("""COMPUTED_VALUE"""),"3. Operación")</f>
        <v>3. Operación</v>
      </c>
      <c r="D1126" s="42" t="str">
        <f ca="1">IFERROR(__xludf.DUMMYFUNCTION("""COMPUTED_VALUE"""),"Guadalajara en Paz")</f>
        <v>Guadalajara en Paz</v>
      </c>
      <c r="E1126" s="42" t="str">
        <f ca="1">IFERROR(__xludf.DUMMYFUNCTION("""COMPUTED_VALUE"""),"Atención Psicológica")</f>
        <v>Atención Psicológica</v>
      </c>
      <c r="F1126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126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126" s="42" t="str">
        <f ca="1">IFERROR(__xludf.DUMMYFUNCTION("""COMPUTED_VALUE"""),"MUJ Noviembre")</f>
        <v>MUJ Noviembre</v>
      </c>
      <c r="I1126" s="42" t="str">
        <f ca="1">IFERROR(__xludf.DUMMYFUNCTION("""COMPUTED_VALUE"""),"Noviembre")</f>
        <v>Noviembre</v>
      </c>
      <c r="J1126" s="42" t="str">
        <f ca="1">IFERROR(__xludf.DUMMYFUNCTION("""COMPUTED_VALUE"""),"MUJ")</f>
        <v>MUJ</v>
      </c>
      <c r="K1126" s="98"/>
      <c r="L1126" s="42" t="str">
        <f ca="1">IFERROR(__xludf.DUMMYFUNCTION("""COMPUTED_VALUE"""),"TRIMESTRE 4")</f>
        <v>TRIMESTRE 4</v>
      </c>
      <c r="M1126" s="42" t="str">
        <f ca="1">IFERROR(__xludf.DUMMYFUNCTION("""COMPUTED_VALUE"""),"MUJERES ADULTAS")</f>
        <v>MUJERES ADULTAS</v>
      </c>
    </row>
    <row r="1127" spans="1:13">
      <c r="A1127" s="42" t="str">
        <f ca="1">IFERROR(__xludf.DUMMYFUNCTION("""COMPUTED_VALUE"""),"2.1.1.9")</f>
        <v>2.1.1.9</v>
      </c>
      <c r="B1127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27" s="42" t="str">
        <f ca="1">IFERROR(__xludf.DUMMYFUNCTION("""COMPUTED_VALUE"""),"3. Operación")</f>
        <v>3. Operación</v>
      </c>
      <c r="D1127" s="42" t="str">
        <f ca="1">IFERROR(__xludf.DUMMYFUNCTION("""COMPUTED_VALUE"""),"Guadalajara en Paz")</f>
        <v>Guadalajara en Paz</v>
      </c>
      <c r="E1127" s="42" t="str">
        <f ca="1">IFERROR(__xludf.DUMMYFUNCTION("""COMPUTED_VALUE"""),"Atención Psicológica")</f>
        <v>Atención Psicológica</v>
      </c>
      <c r="F1127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127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127" s="42" t="str">
        <f ca="1">IFERROR(__xludf.DUMMYFUNCTION("""COMPUTED_VALUE"""),"HOM Noviembre")</f>
        <v>HOM Noviembre</v>
      </c>
      <c r="I1127" s="42" t="str">
        <f ca="1">IFERROR(__xludf.DUMMYFUNCTION("""COMPUTED_VALUE"""),"Noviembre")</f>
        <v>Noviembre</v>
      </c>
      <c r="J1127" s="42" t="str">
        <f ca="1">IFERROR(__xludf.DUMMYFUNCTION("""COMPUTED_VALUE"""),"HOM")</f>
        <v>HOM</v>
      </c>
      <c r="K1127" s="98"/>
      <c r="L1127" s="42" t="str">
        <f ca="1">IFERROR(__xludf.DUMMYFUNCTION("""COMPUTED_VALUE"""),"TRIMESTRE 4")</f>
        <v>TRIMESTRE 4</v>
      </c>
      <c r="M1127" s="42" t="str">
        <f ca="1">IFERROR(__xludf.DUMMYFUNCTION("""COMPUTED_VALUE"""),"HOMBRES ADULTOS")</f>
        <v>HOMBRES ADULTOS</v>
      </c>
    </row>
    <row r="1128" spans="1:13">
      <c r="A1128" s="42" t="str">
        <f ca="1">IFERROR(__xludf.DUMMYFUNCTION("""COMPUTED_VALUE"""),"2.1.1.9")</f>
        <v>2.1.1.9</v>
      </c>
      <c r="B1128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28" s="42" t="str">
        <f ca="1">IFERROR(__xludf.DUMMYFUNCTION("""COMPUTED_VALUE"""),"3. Operación")</f>
        <v>3. Operación</v>
      </c>
      <c r="D1128" s="42" t="str">
        <f ca="1">IFERROR(__xludf.DUMMYFUNCTION("""COMPUTED_VALUE"""),"Guadalajara en Paz")</f>
        <v>Guadalajara en Paz</v>
      </c>
      <c r="E1128" s="42" t="str">
        <f ca="1">IFERROR(__xludf.DUMMYFUNCTION("""COMPUTED_VALUE"""),"Atención Psicológica")</f>
        <v>Atención Psicológica</v>
      </c>
      <c r="F1128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128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128" s="42" t="str">
        <f ca="1">IFERROR(__xludf.DUMMYFUNCTION("""COMPUTED_VALUE"""),"AMM Noviembre")</f>
        <v>AMM Noviembre</v>
      </c>
      <c r="I1128" s="42" t="str">
        <f ca="1">IFERROR(__xludf.DUMMYFUNCTION("""COMPUTED_VALUE"""),"Noviembre")</f>
        <v>Noviembre</v>
      </c>
      <c r="J1128" s="42" t="str">
        <f ca="1">IFERROR(__xludf.DUMMYFUNCTION("""COMPUTED_VALUE"""),"AMM")</f>
        <v>AMM</v>
      </c>
      <c r="K1128" s="98"/>
      <c r="L1128" s="42" t="str">
        <f ca="1">IFERROR(__xludf.DUMMYFUNCTION("""COMPUTED_VALUE"""),"TRIMESTRE 4")</f>
        <v>TRIMESTRE 4</v>
      </c>
      <c r="M1128" s="42" t="str">
        <f ca="1">IFERROR(__xludf.DUMMYFUNCTION("""COMPUTED_VALUE"""),"ADULTA MAYOR MUJER")</f>
        <v>ADULTA MAYOR MUJER</v>
      </c>
    </row>
    <row r="1129" spans="1:13">
      <c r="A1129" s="42" t="str">
        <f ca="1">IFERROR(__xludf.DUMMYFUNCTION("""COMPUTED_VALUE"""),"2.1.1.9")</f>
        <v>2.1.1.9</v>
      </c>
      <c r="B1129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29" s="42" t="str">
        <f ca="1">IFERROR(__xludf.DUMMYFUNCTION("""COMPUTED_VALUE"""),"3. Operación")</f>
        <v>3. Operación</v>
      </c>
      <c r="D1129" s="42" t="str">
        <f ca="1">IFERROR(__xludf.DUMMYFUNCTION("""COMPUTED_VALUE"""),"Guadalajara en Paz")</f>
        <v>Guadalajara en Paz</v>
      </c>
      <c r="E1129" s="42" t="str">
        <f ca="1">IFERROR(__xludf.DUMMYFUNCTION("""COMPUTED_VALUE"""),"Atención Psicológica")</f>
        <v>Atención Psicológica</v>
      </c>
      <c r="F1129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129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129" s="42" t="str">
        <f ca="1">IFERROR(__xludf.DUMMYFUNCTION("""COMPUTED_VALUE"""),"AMH Noviembre")</f>
        <v>AMH Noviembre</v>
      </c>
      <c r="I1129" s="42" t="str">
        <f ca="1">IFERROR(__xludf.DUMMYFUNCTION("""COMPUTED_VALUE"""),"Noviembre")</f>
        <v>Noviembre</v>
      </c>
      <c r="J1129" s="42" t="str">
        <f ca="1">IFERROR(__xludf.DUMMYFUNCTION("""COMPUTED_VALUE"""),"AMH")</f>
        <v>AMH</v>
      </c>
      <c r="K1129" s="98"/>
      <c r="L1129" s="42" t="str">
        <f ca="1">IFERROR(__xludf.DUMMYFUNCTION("""COMPUTED_VALUE"""),"TRIMESTRE 4")</f>
        <v>TRIMESTRE 4</v>
      </c>
      <c r="M1129" s="42" t="str">
        <f ca="1">IFERROR(__xludf.DUMMYFUNCTION("""COMPUTED_VALUE"""),"ADULTO MAYOR HOMBRE")</f>
        <v>ADULTO MAYOR HOMBRE</v>
      </c>
    </row>
    <row r="1130" spans="1:13">
      <c r="A1130" s="42" t="str">
        <f ca="1">IFERROR(__xludf.DUMMYFUNCTION("""COMPUTED_VALUE"""),"2.1.1.10")</f>
        <v>2.1.1.10</v>
      </c>
      <c r="B1130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30" s="42" t="str">
        <f ca="1">IFERROR(__xludf.DUMMYFUNCTION("""COMPUTED_VALUE"""),"3. Operación")</f>
        <v>3. Operación</v>
      </c>
      <c r="D1130" s="42" t="str">
        <f ca="1">IFERROR(__xludf.DUMMYFUNCTION("""COMPUTED_VALUE"""),"Guadalajara en Paz")</f>
        <v>Guadalajara en Paz</v>
      </c>
      <c r="E1130" s="42" t="str">
        <f ca="1">IFERROR(__xludf.DUMMYFUNCTION("""COMPUTED_VALUE"""),"Atención Psicológica")</f>
        <v>Atención Psicológica</v>
      </c>
      <c r="F1130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130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130" s="42" t="str">
        <f ca="1">IFERROR(__xludf.DUMMYFUNCTION("""COMPUTED_VALUE"""),"NAS Noviembre")</f>
        <v>NAS Noviembre</v>
      </c>
      <c r="I1130" s="42" t="str">
        <f ca="1">IFERROR(__xludf.DUMMYFUNCTION("""COMPUTED_VALUE"""),"Noviembre")</f>
        <v>Noviembre</v>
      </c>
      <c r="J1130" s="42" t="str">
        <f ca="1">IFERROR(__xludf.DUMMYFUNCTION("""COMPUTED_VALUE"""),"NAS")</f>
        <v>NAS</v>
      </c>
      <c r="K1130" s="98"/>
      <c r="L1130" s="42" t="str">
        <f ca="1">IFERROR(__xludf.DUMMYFUNCTION("""COMPUTED_VALUE"""),"TRIMESTRE 4")</f>
        <v>TRIMESTRE 4</v>
      </c>
      <c r="M1130" s="42" t="str">
        <f ca="1">IFERROR(__xludf.DUMMYFUNCTION("""COMPUTED_VALUE"""),"NIÑAS")</f>
        <v>NIÑAS</v>
      </c>
    </row>
    <row r="1131" spans="1:13">
      <c r="A1131" s="42" t="str">
        <f ca="1">IFERROR(__xludf.DUMMYFUNCTION("""COMPUTED_VALUE"""),"2.1.1.10")</f>
        <v>2.1.1.10</v>
      </c>
      <c r="B1131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31" s="42" t="str">
        <f ca="1">IFERROR(__xludf.DUMMYFUNCTION("""COMPUTED_VALUE"""),"3. Operación")</f>
        <v>3. Operación</v>
      </c>
      <c r="D1131" s="42" t="str">
        <f ca="1">IFERROR(__xludf.DUMMYFUNCTION("""COMPUTED_VALUE"""),"Guadalajara en Paz")</f>
        <v>Guadalajara en Paz</v>
      </c>
      <c r="E1131" s="42" t="str">
        <f ca="1">IFERROR(__xludf.DUMMYFUNCTION("""COMPUTED_VALUE"""),"Atención Psicológica")</f>
        <v>Atención Psicológica</v>
      </c>
      <c r="F1131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131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131" s="42" t="str">
        <f ca="1">IFERROR(__xludf.DUMMYFUNCTION("""COMPUTED_VALUE"""),"NOS Noviembre")</f>
        <v>NOS Noviembre</v>
      </c>
      <c r="I1131" s="42" t="str">
        <f ca="1">IFERROR(__xludf.DUMMYFUNCTION("""COMPUTED_VALUE"""),"Noviembre")</f>
        <v>Noviembre</v>
      </c>
      <c r="J1131" s="42" t="str">
        <f ca="1">IFERROR(__xludf.DUMMYFUNCTION("""COMPUTED_VALUE"""),"NOS")</f>
        <v>NOS</v>
      </c>
      <c r="K1131" s="98"/>
      <c r="L1131" s="42" t="str">
        <f ca="1">IFERROR(__xludf.DUMMYFUNCTION("""COMPUTED_VALUE"""),"TRIMESTRE 4")</f>
        <v>TRIMESTRE 4</v>
      </c>
      <c r="M1131" s="42" t="str">
        <f ca="1">IFERROR(__xludf.DUMMYFUNCTION("""COMPUTED_VALUE"""),"NIÑOS")</f>
        <v>NIÑOS</v>
      </c>
    </row>
    <row r="1132" spans="1:13">
      <c r="A1132" s="42" t="str">
        <f ca="1">IFERROR(__xludf.DUMMYFUNCTION("""COMPUTED_VALUE"""),"2.1.1.10")</f>
        <v>2.1.1.10</v>
      </c>
      <c r="B1132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32" s="42" t="str">
        <f ca="1">IFERROR(__xludf.DUMMYFUNCTION("""COMPUTED_VALUE"""),"3. Operación")</f>
        <v>3. Operación</v>
      </c>
      <c r="D1132" s="42" t="str">
        <f ca="1">IFERROR(__xludf.DUMMYFUNCTION("""COMPUTED_VALUE"""),"Guadalajara en Paz")</f>
        <v>Guadalajara en Paz</v>
      </c>
      <c r="E1132" s="42" t="str">
        <f ca="1">IFERROR(__xludf.DUMMYFUNCTION("""COMPUTED_VALUE"""),"Atención Psicológica")</f>
        <v>Atención Psicológica</v>
      </c>
      <c r="F1132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132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132" s="42" t="str">
        <f ca="1">IFERROR(__xludf.DUMMYFUNCTION("""COMPUTED_VALUE"""),"AM NOVIEMBRE")</f>
        <v>AM NOVIEMBRE</v>
      </c>
      <c r="I1132" s="42" t="str">
        <f ca="1">IFERROR(__xludf.DUMMYFUNCTION("""COMPUTED_VALUE"""),"Noviembre")</f>
        <v>Noviembre</v>
      </c>
      <c r="J1132" s="42" t="str">
        <f ca="1">IFERROR(__xludf.DUMMYFUNCTION("""COMPUTED_VALUE"""),"AM")</f>
        <v>AM</v>
      </c>
      <c r="K1132" s="98"/>
      <c r="L1132" s="42" t="str">
        <f ca="1">IFERROR(__xludf.DUMMYFUNCTION("""COMPUTED_VALUE"""),"TRIMESTRE 4")</f>
        <v>TRIMESTRE 4</v>
      </c>
      <c r="M1132" s="42" t="str">
        <f ca="1">IFERROR(__xludf.DUMMYFUNCTION("""COMPUTED_VALUE"""),"ADOLESCENTES MUJERES")</f>
        <v>ADOLESCENTES MUJERES</v>
      </c>
    </row>
    <row r="1133" spans="1:13">
      <c r="A1133" s="42" t="str">
        <f ca="1">IFERROR(__xludf.DUMMYFUNCTION("""COMPUTED_VALUE"""),"2.1.1.10")</f>
        <v>2.1.1.10</v>
      </c>
      <c r="B1133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33" s="42" t="str">
        <f ca="1">IFERROR(__xludf.DUMMYFUNCTION("""COMPUTED_VALUE"""),"3. Operación")</f>
        <v>3. Operación</v>
      </c>
      <c r="D1133" s="42" t="str">
        <f ca="1">IFERROR(__xludf.DUMMYFUNCTION("""COMPUTED_VALUE"""),"Guadalajara en Paz")</f>
        <v>Guadalajara en Paz</v>
      </c>
      <c r="E1133" s="42" t="str">
        <f ca="1">IFERROR(__xludf.DUMMYFUNCTION("""COMPUTED_VALUE"""),"Atención Psicológica")</f>
        <v>Atención Psicológica</v>
      </c>
      <c r="F1133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133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133" s="42" t="str">
        <f ca="1">IFERROR(__xludf.DUMMYFUNCTION("""COMPUTED_VALUE"""),"AH NOVIEMBRE")</f>
        <v>AH NOVIEMBRE</v>
      </c>
      <c r="I1133" s="42" t="str">
        <f ca="1">IFERROR(__xludf.DUMMYFUNCTION("""COMPUTED_VALUE"""),"Noviembre")</f>
        <v>Noviembre</v>
      </c>
      <c r="J1133" s="42" t="str">
        <f ca="1">IFERROR(__xludf.DUMMYFUNCTION("""COMPUTED_VALUE"""),"AH")</f>
        <v>AH</v>
      </c>
      <c r="K1133" s="98"/>
      <c r="L1133" s="42" t="str">
        <f ca="1">IFERROR(__xludf.DUMMYFUNCTION("""COMPUTED_VALUE"""),"TRIMESTRE 4")</f>
        <v>TRIMESTRE 4</v>
      </c>
      <c r="M1133" s="42" t="str">
        <f ca="1">IFERROR(__xludf.DUMMYFUNCTION("""COMPUTED_VALUE"""),"ADOLESCENTES HOMBRES")</f>
        <v>ADOLESCENTES HOMBRES</v>
      </c>
    </row>
    <row r="1134" spans="1:13">
      <c r="A1134" s="42" t="str">
        <f ca="1">IFERROR(__xludf.DUMMYFUNCTION("""COMPUTED_VALUE"""),"2.1.1.10")</f>
        <v>2.1.1.10</v>
      </c>
      <c r="B1134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34" s="42" t="str">
        <f ca="1">IFERROR(__xludf.DUMMYFUNCTION("""COMPUTED_VALUE"""),"3. Operación")</f>
        <v>3. Operación</v>
      </c>
      <c r="D1134" s="42" t="str">
        <f ca="1">IFERROR(__xludf.DUMMYFUNCTION("""COMPUTED_VALUE"""),"Guadalajara en Paz")</f>
        <v>Guadalajara en Paz</v>
      </c>
      <c r="E1134" s="42" t="str">
        <f ca="1">IFERROR(__xludf.DUMMYFUNCTION("""COMPUTED_VALUE"""),"Atención Psicológica")</f>
        <v>Atención Psicológica</v>
      </c>
      <c r="F1134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134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134" s="42" t="str">
        <f ca="1">IFERROR(__xludf.DUMMYFUNCTION("""COMPUTED_VALUE"""),"MUJ Noviembre")</f>
        <v>MUJ Noviembre</v>
      </c>
      <c r="I1134" s="42" t="str">
        <f ca="1">IFERROR(__xludf.DUMMYFUNCTION("""COMPUTED_VALUE"""),"Noviembre")</f>
        <v>Noviembre</v>
      </c>
      <c r="J1134" s="42" t="str">
        <f ca="1">IFERROR(__xludf.DUMMYFUNCTION("""COMPUTED_VALUE"""),"MUJ")</f>
        <v>MUJ</v>
      </c>
      <c r="K1134" s="98"/>
      <c r="L1134" s="42" t="str">
        <f ca="1">IFERROR(__xludf.DUMMYFUNCTION("""COMPUTED_VALUE"""),"TRIMESTRE 4")</f>
        <v>TRIMESTRE 4</v>
      </c>
      <c r="M1134" s="42" t="str">
        <f ca="1">IFERROR(__xludf.DUMMYFUNCTION("""COMPUTED_VALUE"""),"MUJERES ADULTAS")</f>
        <v>MUJERES ADULTAS</v>
      </c>
    </row>
    <row r="1135" spans="1:13">
      <c r="A1135" s="42" t="str">
        <f ca="1">IFERROR(__xludf.DUMMYFUNCTION("""COMPUTED_VALUE"""),"2.1.1.10")</f>
        <v>2.1.1.10</v>
      </c>
      <c r="B1135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35" s="42" t="str">
        <f ca="1">IFERROR(__xludf.DUMMYFUNCTION("""COMPUTED_VALUE"""),"3. Operación")</f>
        <v>3. Operación</v>
      </c>
      <c r="D1135" s="42" t="str">
        <f ca="1">IFERROR(__xludf.DUMMYFUNCTION("""COMPUTED_VALUE"""),"Guadalajara en Paz")</f>
        <v>Guadalajara en Paz</v>
      </c>
      <c r="E1135" s="42" t="str">
        <f ca="1">IFERROR(__xludf.DUMMYFUNCTION("""COMPUTED_VALUE"""),"Atención Psicológica")</f>
        <v>Atención Psicológica</v>
      </c>
      <c r="F1135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135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135" s="42" t="str">
        <f ca="1">IFERROR(__xludf.DUMMYFUNCTION("""COMPUTED_VALUE"""),"HOM Noviembre")</f>
        <v>HOM Noviembre</v>
      </c>
      <c r="I1135" s="42" t="str">
        <f ca="1">IFERROR(__xludf.DUMMYFUNCTION("""COMPUTED_VALUE"""),"Noviembre")</f>
        <v>Noviembre</v>
      </c>
      <c r="J1135" s="42" t="str">
        <f ca="1">IFERROR(__xludf.DUMMYFUNCTION("""COMPUTED_VALUE"""),"HOM")</f>
        <v>HOM</v>
      </c>
      <c r="K1135" s="98"/>
      <c r="L1135" s="42" t="str">
        <f ca="1">IFERROR(__xludf.DUMMYFUNCTION("""COMPUTED_VALUE"""),"TRIMESTRE 4")</f>
        <v>TRIMESTRE 4</v>
      </c>
      <c r="M1135" s="42" t="str">
        <f ca="1">IFERROR(__xludf.DUMMYFUNCTION("""COMPUTED_VALUE"""),"HOMBRES ADULTOS")</f>
        <v>HOMBRES ADULTOS</v>
      </c>
    </row>
    <row r="1136" spans="1:13">
      <c r="A1136" s="42" t="str">
        <f ca="1">IFERROR(__xludf.DUMMYFUNCTION("""COMPUTED_VALUE"""),"2.1.1.10")</f>
        <v>2.1.1.10</v>
      </c>
      <c r="B1136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36" s="42" t="str">
        <f ca="1">IFERROR(__xludf.DUMMYFUNCTION("""COMPUTED_VALUE"""),"3. Operación")</f>
        <v>3. Operación</v>
      </c>
      <c r="D1136" s="42" t="str">
        <f ca="1">IFERROR(__xludf.DUMMYFUNCTION("""COMPUTED_VALUE"""),"Guadalajara en Paz")</f>
        <v>Guadalajara en Paz</v>
      </c>
      <c r="E1136" s="42" t="str">
        <f ca="1">IFERROR(__xludf.DUMMYFUNCTION("""COMPUTED_VALUE"""),"Atención Psicológica")</f>
        <v>Atención Psicológica</v>
      </c>
      <c r="F1136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136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136" s="42" t="str">
        <f ca="1">IFERROR(__xludf.DUMMYFUNCTION("""COMPUTED_VALUE"""),"AMM Noviembre")</f>
        <v>AMM Noviembre</v>
      </c>
      <c r="I1136" s="42" t="str">
        <f ca="1">IFERROR(__xludf.DUMMYFUNCTION("""COMPUTED_VALUE"""),"Noviembre")</f>
        <v>Noviembre</v>
      </c>
      <c r="J1136" s="42" t="str">
        <f ca="1">IFERROR(__xludf.DUMMYFUNCTION("""COMPUTED_VALUE"""),"AMM")</f>
        <v>AMM</v>
      </c>
      <c r="K1136" s="98"/>
      <c r="L1136" s="42" t="str">
        <f ca="1">IFERROR(__xludf.DUMMYFUNCTION("""COMPUTED_VALUE"""),"TRIMESTRE 4")</f>
        <v>TRIMESTRE 4</v>
      </c>
      <c r="M1136" s="42" t="str">
        <f ca="1">IFERROR(__xludf.DUMMYFUNCTION("""COMPUTED_VALUE"""),"ADULTA MAYOR MUJER")</f>
        <v>ADULTA MAYOR MUJER</v>
      </c>
    </row>
    <row r="1137" spans="1:13">
      <c r="A1137" s="42" t="str">
        <f ca="1">IFERROR(__xludf.DUMMYFUNCTION("""COMPUTED_VALUE"""),"2.1.1.10")</f>
        <v>2.1.1.10</v>
      </c>
      <c r="B1137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37" s="42" t="str">
        <f ca="1">IFERROR(__xludf.DUMMYFUNCTION("""COMPUTED_VALUE"""),"3. Operación")</f>
        <v>3. Operación</v>
      </c>
      <c r="D1137" s="42" t="str">
        <f ca="1">IFERROR(__xludf.DUMMYFUNCTION("""COMPUTED_VALUE"""),"Guadalajara en Paz")</f>
        <v>Guadalajara en Paz</v>
      </c>
      <c r="E1137" s="42" t="str">
        <f ca="1">IFERROR(__xludf.DUMMYFUNCTION("""COMPUTED_VALUE"""),"Atención Psicológica")</f>
        <v>Atención Psicológica</v>
      </c>
      <c r="F1137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137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137" s="42" t="str">
        <f ca="1">IFERROR(__xludf.DUMMYFUNCTION("""COMPUTED_VALUE"""),"AMH Noviembre")</f>
        <v>AMH Noviembre</v>
      </c>
      <c r="I1137" s="42" t="str">
        <f ca="1">IFERROR(__xludf.DUMMYFUNCTION("""COMPUTED_VALUE"""),"Noviembre")</f>
        <v>Noviembre</v>
      </c>
      <c r="J1137" s="42" t="str">
        <f ca="1">IFERROR(__xludf.DUMMYFUNCTION("""COMPUTED_VALUE"""),"AMH")</f>
        <v>AMH</v>
      </c>
      <c r="K1137" s="98"/>
      <c r="L1137" s="42" t="str">
        <f ca="1">IFERROR(__xludf.DUMMYFUNCTION("""COMPUTED_VALUE"""),"TRIMESTRE 4")</f>
        <v>TRIMESTRE 4</v>
      </c>
      <c r="M1137" s="42" t="str">
        <f ca="1">IFERROR(__xludf.DUMMYFUNCTION("""COMPUTED_VALUE"""),"ADULTO MAYOR HOMBRE")</f>
        <v>ADULTO MAYOR HOMBRE</v>
      </c>
    </row>
    <row r="1138" spans="1:13">
      <c r="A1138" s="42" t="str">
        <f ca="1">IFERROR(__xludf.DUMMYFUNCTION("""COMPUTED_VALUE"""),"2.1.1.9")</f>
        <v>2.1.1.9</v>
      </c>
      <c r="B1138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38" s="42" t="str">
        <f ca="1">IFERROR(__xludf.DUMMYFUNCTION("""COMPUTED_VALUE"""),"3. Operación")</f>
        <v>3. Operación</v>
      </c>
      <c r="D1138" s="42" t="str">
        <f ca="1">IFERROR(__xludf.DUMMYFUNCTION("""COMPUTED_VALUE"""),"Guadalajara en Paz")</f>
        <v>Guadalajara en Paz</v>
      </c>
      <c r="E1138" s="42" t="str">
        <f ca="1">IFERROR(__xludf.DUMMYFUNCTION("""COMPUTED_VALUE"""),"Atención Psicológica")</f>
        <v>Atención Psicológica</v>
      </c>
      <c r="F1138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138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138" s="42" t="str">
        <f ca="1">IFERROR(__xludf.DUMMYFUNCTION("""COMPUTED_VALUE"""),"NAS Diciembre")</f>
        <v>NAS Diciembre</v>
      </c>
      <c r="I1138" s="42" t="str">
        <f ca="1">IFERROR(__xludf.DUMMYFUNCTION("""COMPUTED_VALUE"""),"Diciembre")</f>
        <v>Diciembre</v>
      </c>
      <c r="J1138" s="42" t="str">
        <f ca="1">IFERROR(__xludf.DUMMYFUNCTION("""COMPUTED_VALUE"""),"NAS")</f>
        <v>NAS</v>
      </c>
      <c r="K1138" s="98"/>
      <c r="L1138" s="42" t="str">
        <f ca="1">IFERROR(__xludf.DUMMYFUNCTION("""COMPUTED_VALUE"""),"TRIMESTRE 4")</f>
        <v>TRIMESTRE 4</v>
      </c>
      <c r="M1138" s="42" t="str">
        <f ca="1">IFERROR(__xludf.DUMMYFUNCTION("""COMPUTED_VALUE"""),"NIÑAS")</f>
        <v>NIÑAS</v>
      </c>
    </row>
    <row r="1139" spans="1:13">
      <c r="A1139" s="42" t="str">
        <f ca="1">IFERROR(__xludf.DUMMYFUNCTION("""COMPUTED_VALUE"""),"2.1.1.9")</f>
        <v>2.1.1.9</v>
      </c>
      <c r="B1139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39" s="42" t="str">
        <f ca="1">IFERROR(__xludf.DUMMYFUNCTION("""COMPUTED_VALUE"""),"3. Operación")</f>
        <v>3. Operación</v>
      </c>
      <c r="D1139" s="42" t="str">
        <f ca="1">IFERROR(__xludf.DUMMYFUNCTION("""COMPUTED_VALUE"""),"Guadalajara en Paz")</f>
        <v>Guadalajara en Paz</v>
      </c>
      <c r="E1139" s="42" t="str">
        <f ca="1">IFERROR(__xludf.DUMMYFUNCTION("""COMPUTED_VALUE"""),"Atención Psicológica")</f>
        <v>Atención Psicológica</v>
      </c>
      <c r="F1139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139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139" s="42" t="str">
        <f ca="1">IFERROR(__xludf.DUMMYFUNCTION("""COMPUTED_VALUE"""),"NOS Diciembre")</f>
        <v>NOS Diciembre</v>
      </c>
      <c r="I1139" s="42" t="str">
        <f ca="1">IFERROR(__xludf.DUMMYFUNCTION("""COMPUTED_VALUE"""),"Diciembre")</f>
        <v>Diciembre</v>
      </c>
      <c r="J1139" s="42" t="str">
        <f ca="1">IFERROR(__xludf.DUMMYFUNCTION("""COMPUTED_VALUE"""),"NOS")</f>
        <v>NOS</v>
      </c>
      <c r="K1139" s="98"/>
      <c r="L1139" s="42" t="str">
        <f ca="1">IFERROR(__xludf.DUMMYFUNCTION("""COMPUTED_VALUE"""),"TRIMESTRE 4")</f>
        <v>TRIMESTRE 4</v>
      </c>
      <c r="M1139" s="42" t="str">
        <f ca="1">IFERROR(__xludf.DUMMYFUNCTION("""COMPUTED_VALUE"""),"NIÑOS")</f>
        <v>NIÑOS</v>
      </c>
    </row>
    <row r="1140" spans="1:13">
      <c r="A1140" s="42" t="str">
        <f ca="1">IFERROR(__xludf.DUMMYFUNCTION("""COMPUTED_VALUE"""),"2.1.1.9")</f>
        <v>2.1.1.9</v>
      </c>
      <c r="B1140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40" s="42" t="str">
        <f ca="1">IFERROR(__xludf.DUMMYFUNCTION("""COMPUTED_VALUE"""),"3. Operación")</f>
        <v>3. Operación</v>
      </c>
      <c r="D1140" s="42" t="str">
        <f ca="1">IFERROR(__xludf.DUMMYFUNCTION("""COMPUTED_VALUE"""),"Guadalajara en Paz")</f>
        <v>Guadalajara en Paz</v>
      </c>
      <c r="E1140" s="42" t="str">
        <f ca="1">IFERROR(__xludf.DUMMYFUNCTION("""COMPUTED_VALUE"""),"Atención Psicológica")</f>
        <v>Atención Psicológica</v>
      </c>
      <c r="F1140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140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140" s="42" t="str">
        <f ca="1">IFERROR(__xludf.DUMMYFUNCTION("""COMPUTED_VALUE"""),"AM DICIEMBRE")</f>
        <v>AM DICIEMBRE</v>
      </c>
      <c r="I1140" s="42" t="str">
        <f ca="1">IFERROR(__xludf.DUMMYFUNCTION("""COMPUTED_VALUE"""),"Diciembre")</f>
        <v>Diciembre</v>
      </c>
      <c r="J1140" s="42" t="str">
        <f ca="1">IFERROR(__xludf.DUMMYFUNCTION("""COMPUTED_VALUE"""),"AM")</f>
        <v>AM</v>
      </c>
      <c r="K1140" s="98"/>
      <c r="L1140" s="42" t="str">
        <f ca="1">IFERROR(__xludf.DUMMYFUNCTION("""COMPUTED_VALUE"""),"TRIMESTRE 4")</f>
        <v>TRIMESTRE 4</v>
      </c>
      <c r="M1140" s="42" t="str">
        <f ca="1">IFERROR(__xludf.DUMMYFUNCTION("""COMPUTED_VALUE"""),"ADOLESCENTES MUJERES")</f>
        <v>ADOLESCENTES MUJERES</v>
      </c>
    </row>
    <row r="1141" spans="1:13">
      <c r="A1141" s="42" t="str">
        <f ca="1">IFERROR(__xludf.DUMMYFUNCTION("""COMPUTED_VALUE"""),"2.1.1.9")</f>
        <v>2.1.1.9</v>
      </c>
      <c r="B1141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41" s="42" t="str">
        <f ca="1">IFERROR(__xludf.DUMMYFUNCTION("""COMPUTED_VALUE"""),"3. Operación")</f>
        <v>3. Operación</v>
      </c>
      <c r="D1141" s="42" t="str">
        <f ca="1">IFERROR(__xludf.DUMMYFUNCTION("""COMPUTED_VALUE"""),"Guadalajara en Paz")</f>
        <v>Guadalajara en Paz</v>
      </c>
      <c r="E1141" s="42" t="str">
        <f ca="1">IFERROR(__xludf.DUMMYFUNCTION("""COMPUTED_VALUE"""),"Atención Psicológica")</f>
        <v>Atención Psicológica</v>
      </c>
      <c r="F1141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141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141" s="42" t="str">
        <f ca="1">IFERROR(__xludf.DUMMYFUNCTION("""COMPUTED_VALUE"""),"AH DICIEMBRE")</f>
        <v>AH DICIEMBRE</v>
      </c>
      <c r="I1141" s="42" t="str">
        <f ca="1">IFERROR(__xludf.DUMMYFUNCTION("""COMPUTED_VALUE"""),"Diciembre")</f>
        <v>Diciembre</v>
      </c>
      <c r="J1141" s="42" t="str">
        <f ca="1">IFERROR(__xludf.DUMMYFUNCTION("""COMPUTED_VALUE"""),"AH")</f>
        <v>AH</v>
      </c>
      <c r="K1141" s="98"/>
      <c r="L1141" s="42" t="str">
        <f ca="1">IFERROR(__xludf.DUMMYFUNCTION("""COMPUTED_VALUE"""),"TRIMESTRE 4")</f>
        <v>TRIMESTRE 4</v>
      </c>
      <c r="M1141" s="42" t="str">
        <f ca="1">IFERROR(__xludf.DUMMYFUNCTION("""COMPUTED_VALUE"""),"ADOLESCENTES HOMBRES")</f>
        <v>ADOLESCENTES HOMBRES</v>
      </c>
    </row>
    <row r="1142" spans="1:13">
      <c r="A1142" s="42" t="str">
        <f ca="1">IFERROR(__xludf.DUMMYFUNCTION("""COMPUTED_VALUE"""),"2.1.1.9")</f>
        <v>2.1.1.9</v>
      </c>
      <c r="B1142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42" s="42" t="str">
        <f ca="1">IFERROR(__xludf.DUMMYFUNCTION("""COMPUTED_VALUE"""),"3. Operación")</f>
        <v>3. Operación</v>
      </c>
      <c r="D1142" s="42" t="str">
        <f ca="1">IFERROR(__xludf.DUMMYFUNCTION("""COMPUTED_VALUE"""),"Guadalajara en Paz")</f>
        <v>Guadalajara en Paz</v>
      </c>
      <c r="E1142" s="42" t="str">
        <f ca="1">IFERROR(__xludf.DUMMYFUNCTION("""COMPUTED_VALUE"""),"Atención Psicológica")</f>
        <v>Atención Psicológica</v>
      </c>
      <c r="F1142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142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142" s="42" t="str">
        <f ca="1">IFERROR(__xludf.DUMMYFUNCTION("""COMPUTED_VALUE"""),"MUJ Diciembre")</f>
        <v>MUJ Diciembre</v>
      </c>
      <c r="I1142" s="42" t="str">
        <f ca="1">IFERROR(__xludf.DUMMYFUNCTION("""COMPUTED_VALUE"""),"Diciembre")</f>
        <v>Diciembre</v>
      </c>
      <c r="J1142" s="42" t="str">
        <f ca="1">IFERROR(__xludf.DUMMYFUNCTION("""COMPUTED_VALUE"""),"MUJ")</f>
        <v>MUJ</v>
      </c>
      <c r="K1142" s="98"/>
      <c r="L1142" s="42" t="str">
        <f ca="1">IFERROR(__xludf.DUMMYFUNCTION("""COMPUTED_VALUE"""),"TRIMESTRE 4")</f>
        <v>TRIMESTRE 4</v>
      </c>
      <c r="M1142" s="42" t="str">
        <f ca="1">IFERROR(__xludf.DUMMYFUNCTION("""COMPUTED_VALUE"""),"MUJERES ADULTAS")</f>
        <v>MUJERES ADULTAS</v>
      </c>
    </row>
    <row r="1143" spans="1:13">
      <c r="A1143" s="42" t="str">
        <f ca="1">IFERROR(__xludf.DUMMYFUNCTION("""COMPUTED_VALUE"""),"2.1.1.9")</f>
        <v>2.1.1.9</v>
      </c>
      <c r="B1143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43" s="42" t="str">
        <f ca="1">IFERROR(__xludf.DUMMYFUNCTION("""COMPUTED_VALUE"""),"3. Operación")</f>
        <v>3. Operación</v>
      </c>
      <c r="D1143" s="42" t="str">
        <f ca="1">IFERROR(__xludf.DUMMYFUNCTION("""COMPUTED_VALUE"""),"Guadalajara en Paz")</f>
        <v>Guadalajara en Paz</v>
      </c>
      <c r="E1143" s="42" t="str">
        <f ca="1">IFERROR(__xludf.DUMMYFUNCTION("""COMPUTED_VALUE"""),"Atención Psicológica")</f>
        <v>Atención Psicológica</v>
      </c>
      <c r="F1143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143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143" s="42" t="str">
        <f ca="1">IFERROR(__xludf.DUMMYFUNCTION("""COMPUTED_VALUE"""),"HOM Diciembre")</f>
        <v>HOM Diciembre</v>
      </c>
      <c r="I1143" s="42" t="str">
        <f ca="1">IFERROR(__xludf.DUMMYFUNCTION("""COMPUTED_VALUE"""),"Diciembre")</f>
        <v>Diciembre</v>
      </c>
      <c r="J1143" s="42" t="str">
        <f ca="1">IFERROR(__xludf.DUMMYFUNCTION("""COMPUTED_VALUE"""),"HOM")</f>
        <v>HOM</v>
      </c>
      <c r="K1143" s="98"/>
      <c r="L1143" s="42" t="str">
        <f ca="1">IFERROR(__xludf.DUMMYFUNCTION("""COMPUTED_VALUE"""),"TRIMESTRE 4")</f>
        <v>TRIMESTRE 4</v>
      </c>
      <c r="M1143" s="42" t="str">
        <f ca="1">IFERROR(__xludf.DUMMYFUNCTION("""COMPUTED_VALUE"""),"HOMBRES ADULTOS")</f>
        <v>HOMBRES ADULTOS</v>
      </c>
    </row>
    <row r="1144" spans="1:13">
      <c r="A1144" s="42" t="str">
        <f ca="1">IFERROR(__xludf.DUMMYFUNCTION("""COMPUTED_VALUE"""),"2.1.1.9")</f>
        <v>2.1.1.9</v>
      </c>
      <c r="B1144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44" s="42" t="str">
        <f ca="1">IFERROR(__xludf.DUMMYFUNCTION("""COMPUTED_VALUE"""),"3. Operación")</f>
        <v>3. Operación</v>
      </c>
      <c r="D1144" s="42" t="str">
        <f ca="1">IFERROR(__xludf.DUMMYFUNCTION("""COMPUTED_VALUE"""),"Guadalajara en Paz")</f>
        <v>Guadalajara en Paz</v>
      </c>
      <c r="E1144" s="42" t="str">
        <f ca="1">IFERROR(__xludf.DUMMYFUNCTION("""COMPUTED_VALUE"""),"Atención Psicológica")</f>
        <v>Atención Psicológica</v>
      </c>
      <c r="F1144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144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144" s="42" t="str">
        <f ca="1">IFERROR(__xludf.DUMMYFUNCTION("""COMPUTED_VALUE"""),"AMM Diciembre")</f>
        <v>AMM Diciembre</v>
      </c>
      <c r="I1144" s="42" t="str">
        <f ca="1">IFERROR(__xludf.DUMMYFUNCTION("""COMPUTED_VALUE"""),"Diciembre")</f>
        <v>Diciembre</v>
      </c>
      <c r="J1144" s="42" t="str">
        <f ca="1">IFERROR(__xludf.DUMMYFUNCTION("""COMPUTED_VALUE"""),"AMM")</f>
        <v>AMM</v>
      </c>
      <c r="K1144" s="98"/>
      <c r="L1144" s="42" t="str">
        <f ca="1">IFERROR(__xludf.DUMMYFUNCTION("""COMPUTED_VALUE"""),"TRIMESTRE 4")</f>
        <v>TRIMESTRE 4</v>
      </c>
      <c r="M1144" s="42" t="str">
        <f ca="1">IFERROR(__xludf.DUMMYFUNCTION("""COMPUTED_VALUE"""),"ADULTA MAYOR MUJER")</f>
        <v>ADULTA MAYOR MUJER</v>
      </c>
    </row>
    <row r="1145" spans="1:13">
      <c r="A1145" s="42" t="str">
        <f ca="1">IFERROR(__xludf.DUMMYFUNCTION("""COMPUTED_VALUE"""),"2.1.1.9")</f>
        <v>2.1.1.9</v>
      </c>
      <c r="B1145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45" s="42" t="str">
        <f ca="1">IFERROR(__xludf.DUMMYFUNCTION("""COMPUTED_VALUE"""),"3. Operación")</f>
        <v>3. Operación</v>
      </c>
      <c r="D1145" s="42" t="str">
        <f ca="1">IFERROR(__xludf.DUMMYFUNCTION("""COMPUTED_VALUE"""),"Guadalajara en Paz")</f>
        <v>Guadalajara en Paz</v>
      </c>
      <c r="E1145" s="42" t="str">
        <f ca="1">IFERROR(__xludf.DUMMYFUNCTION("""COMPUTED_VALUE"""),"Atención Psicológica")</f>
        <v>Atención Psicológica</v>
      </c>
      <c r="F1145" s="42" t="str">
        <f ca="1">IFERROR(__xludf.DUMMYFUNCTION("""COMPUTED_VALUE"""),"A9C1 Personas en situación de vulnerabilidad que recibieron atención psicológica en CDC, y CAETF en 2023")</f>
        <v>A9C1 Personas en situación de vulnerabilidad que recibieron atención psicológica en CDC, y CAETF en 2023</v>
      </c>
      <c r="G1145" s="42" t="str">
        <f ca="1">IFERROR(__xludf.DUMMYFUNCTION("""COMPUTED_VALUE"""),"Promedio de personas que recibieron servicio de consulta psicológica, en 2023")</f>
        <v>Promedio de personas que recibieron servicio de consulta psicológica, en 2023</v>
      </c>
      <c r="H1145" s="42" t="str">
        <f ca="1">IFERROR(__xludf.DUMMYFUNCTION("""COMPUTED_VALUE"""),"AMH Diciembre")</f>
        <v>AMH Diciembre</v>
      </c>
      <c r="I1145" s="42" t="str">
        <f ca="1">IFERROR(__xludf.DUMMYFUNCTION("""COMPUTED_VALUE"""),"Diciembre")</f>
        <v>Diciembre</v>
      </c>
      <c r="J1145" s="42" t="str">
        <f ca="1">IFERROR(__xludf.DUMMYFUNCTION("""COMPUTED_VALUE"""),"AMH")</f>
        <v>AMH</v>
      </c>
      <c r="K1145" s="98"/>
      <c r="L1145" s="42" t="str">
        <f ca="1">IFERROR(__xludf.DUMMYFUNCTION("""COMPUTED_VALUE"""),"TRIMESTRE 4")</f>
        <v>TRIMESTRE 4</v>
      </c>
      <c r="M1145" s="42" t="str">
        <f ca="1">IFERROR(__xludf.DUMMYFUNCTION("""COMPUTED_VALUE"""),"ADULTO MAYOR HOMBRE")</f>
        <v>ADULTO MAYOR HOMBRE</v>
      </c>
    </row>
    <row r="1146" spans="1:13">
      <c r="A1146" s="42" t="str">
        <f ca="1">IFERROR(__xludf.DUMMYFUNCTION("""COMPUTED_VALUE"""),"2.1.1.10")</f>
        <v>2.1.1.10</v>
      </c>
      <c r="B1146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46" s="42" t="str">
        <f ca="1">IFERROR(__xludf.DUMMYFUNCTION("""COMPUTED_VALUE"""),"3. Operación")</f>
        <v>3. Operación</v>
      </c>
      <c r="D1146" s="42" t="str">
        <f ca="1">IFERROR(__xludf.DUMMYFUNCTION("""COMPUTED_VALUE"""),"Guadalajara en Paz")</f>
        <v>Guadalajara en Paz</v>
      </c>
      <c r="E1146" s="42" t="str">
        <f ca="1">IFERROR(__xludf.DUMMYFUNCTION("""COMPUTED_VALUE"""),"Atención Psicológica")</f>
        <v>Atención Psicológica</v>
      </c>
      <c r="F1146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146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146" s="42" t="str">
        <f ca="1">IFERROR(__xludf.DUMMYFUNCTION("""COMPUTED_VALUE"""),"NAS Diciembre")</f>
        <v>NAS Diciembre</v>
      </c>
      <c r="I1146" s="42" t="str">
        <f ca="1">IFERROR(__xludf.DUMMYFUNCTION("""COMPUTED_VALUE"""),"Diciembre")</f>
        <v>Diciembre</v>
      </c>
      <c r="J1146" s="42" t="str">
        <f ca="1">IFERROR(__xludf.DUMMYFUNCTION("""COMPUTED_VALUE"""),"NAS")</f>
        <v>NAS</v>
      </c>
      <c r="K1146" s="98"/>
      <c r="L1146" s="42" t="str">
        <f ca="1">IFERROR(__xludf.DUMMYFUNCTION("""COMPUTED_VALUE"""),"TRIMESTRE 4")</f>
        <v>TRIMESTRE 4</v>
      </c>
      <c r="M1146" s="42" t="str">
        <f ca="1">IFERROR(__xludf.DUMMYFUNCTION("""COMPUTED_VALUE"""),"NIÑAS")</f>
        <v>NIÑAS</v>
      </c>
    </row>
    <row r="1147" spans="1:13">
      <c r="A1147" s="42" t="str">
        <f ca="1">IFERROR(__xludf.DUMMYFUNCTION("""COMPUTED_VALUE"""),"2.1.1.10")</f>
        <v>2.1.1.10</v>
      </c>
      <c r="B1147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47" s="42" t="str">
        <f ca="1">IFERROR(__xludf.DUMMYFUNCTION("""COMPUTED_VALUE"""),"3. Operación")</f>
        <v>3. Operación</v>
      </c>
      <c r="D1147" s="42" t="str">
        <f ca="1">IFERROR(__xludf.DUMMYFUNCTION("""COMPUTED_VALUE"""),"Guadalajara en Paz")</f>
        <v>Guadalajara en Paz</v>
      </c>
      <c r="E1147" s="42" t="str">
        <f ca="1">IFERROR(__xludf.DUMMYFUNCTION("""COMPUTED_VALUE"""),"Atención Psicológica")</f>
        <v>Atención Psicológica</v>
      </c>
      <c r="F1147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147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147" s="42" t="str">
        <f ca="1">IFERROR(__xludf.DUMMYFUNCTION("""COMPUTED_VALUE"""),"NOS Diciembre")</f>
        <v>NOS Diciembre</v>
      </c>
      <c r="I1147" s="42" t="str">
        <f ca="1">IFERROR(__xludf.DUMMYFUNCTION("""COMPUTED_VALUE"""),"Diciembre")</f>
        <v>Diciembre</v>
      </c>
      <c r="J1147" s="42" t="str">
        <f ca="1">IFERROR(__xludf.DUMMYFUNCTION("""COMPUTED_VALUE"""),"NOS")</f>
        <v>NOS</v>
      </c>
      <c r="K1147" s="98"/>
      <c r="L1147" s="42" t="str">
        <f ca="1">IFERROR(__xludf.DUMMYFUNCTION("""COMPUTED_VALUE"""),"TRIMESTRE 4")</f>
        <v>TRIMESTRE 4</v>
      </c>
      <c r="M1147" s="42" t="str">
        <f ca="1">IFERROR(__xludf.DUMMYFUNCTION("""COMPUTED_VALUE"""),"NIÑOS")</f>
        <v>NIÑOS</v>
      </c>
    </row>
    <row r="1148" spans="1:13">
      <c r="A1148" s="42" t="str">
        <f ca="1">IFERROR(__xludf.DUMMYFUNCTION("""COMPUTED_VALUE"""),"2.1.1.10")</f>
        <v>2.1.1.10</v>
      </c>
      <c r="B1148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48" s="42" t="str">
        <f ca="1">IFERROR(__xludf.DUMMYFUNCTION("""COMPUTED_VALUE"""),"3. Operación")</f>
        <v>3. Operación</v>
      </c>
      <c r="D1148" s="42" t="str">
        <f ca="1">IFERROR(__xludf.DUMMYFUNCTION("""COMPUTED_VALUE"""),"Guadalajara en Paz")</f>
        <v>Guadalajara en Paz</v>
      </c>
      <c r="E1148" s="42" t="str">
        <f ca="1">IFERROR(__xludf.DUMMYFUNCTION("""COMPUTED_VALUE"""),"Atención Psicológica")</f>
        <v>Atención Psicológica</v>
      </c>
      <c r="F1148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148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148" s="42" t="str">
        <f ca="1">IFERROR(__xludf.DUMMYFUNCTION("""COMPUTED_VALUE"""),"AM DICIEMBRE")</f>
        <v>AM DICIEMBRE</v>
      </c>
      <c r="I1148" s="42" t="str">
        <f ca="1">IFERROR(__xludf.DUMMYFUNCTION("""COMPUTED_VALUE"""),"Diciembre")</f>
        <v>Diciembre</v>
      </c>
      <c r="J1148" s="42" t="str">
        <f ca="1">IFERROR(__xludf.DUMMYFUNCTION("""COMPUTED_VALUE"""),"AM")</f>
        <v>AM</v>
      </c>
      <c r="K1148" s="98"/>
      <c r="L1148" s="42" t="str">
        <f ca="1">IFERROR(__xludf.DUMMYFUNCTION("""COMPUTED_VALUE"""),"TRIMESTRE 4")</f>
        <v>TRIMESTRE 4</v>
      </c>
      <c r="M1148" s="42" t="str">
        <f ca="1">IFERROR(__xludf.DUMMYFUNCTION("""COMPUTED_VALUE"""),"ADOLESCENTES MUJERES")</f>
        <v>ADOLESCENTES MUJERES</v>
      </c>
    </row>
    <row r="1149" spans="1:13">
      <c r="A1149" s="42" t="str">
        <f ca="1">IFERROR(__xludf.DUMMYFUNCTION("""COMPUTED_VALUE"""),"2.1.1.10")</f>
        <v>2.1.1.10</v>
      </c>
      <c r="B1149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49" s="42" t="str">
        <f ca="1">IFERROR(__xludf.DUMMYFUNCTION("""COMPUTED_VALUE"""),"3. Operación")</f>
        <v>3. Operación</v>
      </c>
      <c r="D1149" s="42" t="str">
        <f ca="1">IFERROR(__xludf.DUMMYFUNCTION("""COMPUTED_VALUE"""),"Guadalajara en Paz")</f>
        <v>Guadalajara en Paz</v>
      </c>
      <c r="E1149" s="42" t="str">
        <f ca="1">IFERROR(__xludf.DUMMYFUNCTION("""COMPUTED_VALUE"""),"Atención Psicológica")</f>
        <v>Atención Psicológica</v>
      </c>
      <c r="F1149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149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149" s="42" t="str">
        <f ca="1">IFERROR(__xludf.DUMMYFUNCTION("""COMPUTED_VALUE"""),"AH DICIEMBRE")</f>
        <v>AH DICIEMBRE</v>
      </c>
      <c r="I1149" s="42" t="str">
        <f ca="1">IFERROR(__xludf.DUMMYFUNCTION("""COMPUTED_VALUE"""),"Diciembre")</f>
        <v>Diciembre</v>
      </c>
      <c r="J1149" s="42" t="str">
        <f ca="1">IFERROR(__xludf.DUMMYFUNCTION("""COMPUTED_VALUE"""),"AH")</f>
        <v>AH</v>
      </c>
      <c r="K1149" s="98"/>
      <c r="L1149" s="42" t="str">
        <f ca="1">IFERROR(__xludf.DUMMYFUNCTION("""COMPUTED_VALUE"""),"TRIMESTRE 4")</f>
        <v>TRIMESTRE 4</v>
      </c>
      <c r="M1149" s="42" t="str">
        <f ca="1">IFERROR(__xludf.DUMMYFUNCTION("""COMPUTED_VALUE"""),"ADOLESCENTES HOMBRES")</f>
        <v>ADOLESCENTES HOMBRES</v>
      </c>
    </row>
    <row r="1150" spans="1:13">
      <c r="A1150" s="42" t="str">
        <f ca="1">IFERROR(__xludf.DUMMYFUNCTION("""COMPUTED_VALUE"""),"2.1.1.10")</f>
        <v>2.1.1.10</v>
      </c>
      <c r="B1150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50" s="42" t="str">
        <f ca="1">IFERROR(__xludf.DUMMYFUNCTION("""COMPUTED_VALUE"""),"3. Operación")</f>
        <v>3. Operación</v>
      </c>
      <c r="D1150" s="42" t="str">
        <f ca="1">IFERROR(__xludf.DUMMYFUNCTION("""COMPUTED_VALUE"""),"Guadalajara en Paz")</f>
        <v>Guadalajara en Paz</v>
      </c>
      <c r="E1150" s="42" t="str">
        <f ca="1">IFERROR(__xludf.DUMMYFUNCTION("""COMPUTED_VALUE"""),"Atención Psicológica")</f>
        <v>Atención Psicológica</v>
      </c>
      <c r="F1150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150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150" s="42" t="str">
        <f ca="1">IFERROR(__xludf.DUMMYFUNCTION("""COMPUTED_VALUE"""),"MUJ Diciembre")</f>
        <v>MUJ Diciembre</v>
      </c>
      <c r="I1150" s="42" t="str">
        <f ca="1">IFERROR(__xludf.DUMMYFUNCTION("""COMPUTED_VALUE"""),"Diciembre")</f>
        <v>Diciembre</v>
      </c>
      <c r="J1150" s="42" t="str">
        <f ca="1">IFERROR(__xludf.DUMMYFUNCTION("""COMPUTED_VALUE"""),"MUJ")</f>
        <v>MUJ</v>
      </c>
      <c r="K1150" s="98"/>
      <c r="L1150" s="42" t="str">
        <f ca="1">IFERROR(__xludf.DUMMYFUNCTION("""COMPUTED_VALUE"""),"TRIMESTRE 4")</f>
        <v>TRIMESTRE 4</v>
      </c>
      <c r="M1150" s="42" t="str">
        <f ca="1">IFERROR(__xludf.DUMMYFUNCTION("""COMPUTED_VALUE"""),"MUJERES ADULTAS")</f>
        <v>MUJERES ADULTAS</v>
      </c>
    </row>
    <row r="1151" spans="1:13">
      <c r="A1151" s="42" t="str">
        <f ca="1">IFERROR(__xludf.DUMMYFUNCTION("""COMPUTED_VALUE"""),"2.1.1.10")</f>
        <v>2.1.1.10</v>
      </c>
      <c r="B1151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51" s="42" t="str">
        <f ca="1">IFERROR(__xludf.DUMMYFUNCTION("""COMPUTED_VALUE"""),"3. Operación")</f>
        <v>3. Operación</v>
      </c>
      <c r="D1151" s="42" t="str">
        <f ca="1">IFERROR(__xludf.DUMMYFUNCTION("""COMPUTED_VALUE"""),"Guadalajara en Paz")</f>
        <v>Guadalajara en Paz</v>
      </c>
      <c r="E1151" s="42" t="str">
        <f ca="1">IFERROR(__xludf.DUMMYFUNCTION("""COMPUTED_VALUE"""),"Atención Psicológica")</f>
        <v>Atención Psicológica</v>
      </c>
      <c r="F1151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151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151" s="42" t="str">
        <f ca="1">IFERROR(__xludf.DUMMYFUNCTION("""COMPUTED_VALUE"""),"HOM Diciembre")</f>
        <v>HOM Diciembre</v>
      </c>
      <c r="I1151" s="42" t="str">
        <f ca="1">IFERROR(__xludf.DUMMYFUNCTION("""COMPUTED_VALUE"""),"Diciembre")</f>
        <v>Diciembre</v>
      </c>
      <c r="J1151" s="42" t="str">
        <f ca="1">IFERROR(__xludf.DUMMYFUNCTION("""COMPUTED_VALUE"""),"HOM")</f>
        <v>HOM</v>
      </c>
      <c r="K1151" s="98"/>
      <c r="L1151" s="42" t="str">
        <f ca="1">IFERROR(__xludf.DUMMYFUNCTION("""COMPUTED_VALUE"""),"TRIMESTRE 4")</f>
        <v>TRIMESTRE 4</v>
      </c>
      <c r="M1151" s="42" t="str">
        <f ca="1">IFERROR(__xludf.DUMMYFUNCTION("""COMPUTED_VALUE"""),"HOMBRES ADULTOS")</f>
        <v>HOMBRES ADULTOS</v>
      </c>
    </row>
    <row r="1152" spans="1:13">
      <c r="A1152" s="42" t="str">
        <f ca="1">IFERROR(__xludf.DUMMYFUNCTION("""COMPUTED_VALUE"""),"2.1.1.10")</f>
        <v>2.1.1.10</v>
      </c>
      <c r="B1152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52" s="42" t="str">
        <f ca="1">IFERROR(__xludf.DUMMYFUNCTION("""COMPUTED_VALUE"""),"3. Operación")</f>
        <v>3. Operación</v>
      </c>
      <c r="D1152" s="42" t="str">
        <f ca="1">IFERROR(__xludf.DUMMYFUNCTION("""COMPUTED_VALUE"""),"Guadalajara en Paz")</f>
        <v>Guadalajara en Paz</v>
      </c>
      <c r="E1152" s="42" t="str">
        <f ca="1">IFERROR(__xludf.DUMMYFUNCTION("""COMPUTED_VALUE"""),"Atención Psicológica")</f>
        <v>Atención Psicológica</v>
      </c>
      <c r="F1152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152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152" s="42" t="str">
        <f ca="1">IFERROR(__xludf.DUMMYFUNCTION("""COMPUTED_VALUE"""),"AMM Diciembre")</f>
        <v>AMM Diciembre</v>
      </c>
      <c r="I1152" s="42" t="str">
        <f ca="1">IFERROR(__xludf.DUMMYFUNCTION("""COMPUTED_VALUE"""),"Diciembre")</f>
        <v>Diciembre</v>
      </c>
      <c r="J1152" s="42" t="str">
        <f ca="1">IFERROR(__xludf.DUMMYFUNCTION("""COMPUTED_VALUE"""),"AMM")</f>
        <v>AMM</v>
      </c>
      <c r="K1152" s="98"/>
      <c r="L1152" s="42" t="str">
        <f ca="1">IFERROR(__xludf.DUMMYFUNCTION("""COMPUTED_VALUE"""),"TRIMESTRE 4")</f>
        <v>TRIMESTRE 4</v>
      </c>
      <c r="M1152" s="42" t="str">
        <f ca="1">IFERROR(__xludf.DUMMYFUNCTION("""COMPUTED_VALUE"""),"ADULTA MAYOR MUJER")</f>
        <v>ADULTA MAYOR MUJER</v>
      </c>
    </row>
    <row r="1153" spans="1:13">
      <c r="A1153" s="42" t="str">
        <f ca="1">IFERROR(__xludf.DUMMYFUNCTION("""COMPUTED_VALUE"""),"2.1.1.10")</f>
        <v>2.1.1.10</v>
      </c>
      <c r="B1153" s="42" t="str">
        <f ca="1">IFERROR(__xludf.DUMMYFUNCTION("""COMPUTED_VALUE"""),"Atención Psicológica/Jefatura del Departamento de Psicología/Dirección del Área de Salud y Bienestar/Coord.3. Operación")</f>
        <v>Atención Psicológica/Jefatura del Departamento de Psicología/Dirección del Área de Salud y Bienestar/Coord.3. Operación</v>
      </c>
      <c r="C1153" s="42" t="str">
        <f ca="1">IFERROR(__xludf.DUMMYFUNCTION("""COMPUTED_VALUE"""),"3. Operación")</f>
        <v>3. Operación</v>
      </c>
      <c r="D1153" s="42" t="str">
        <f ca="1">IFERROR(__xludf.DUMMYFUNCTION("""COMPUTED_VALUE"""),"Guadalajara en Paz")</f>
        <v>Guadalajara en Paz</v>
      </c>
      <c r="E1153" s="42" t="str">
        <f ca="1">IFERROR(__xludf.DUMMYFUNCTION("""COMPUTED_VALUE"""),"Atención Psicológica")</f>
        <v>Atención Psicológica</v>
      </c>
      <c r="F1153" s="42" t="str">
        <f ca="1">IFERROR(__xludf.DUMMYFUNCTION("""COMPUTED_VALUE"""),"A10C1 Sesiones de atención psicológica brindadas en CDC, y CAETF en 2023")</f>
        <v>A10C1 Sesiones de atención psicológica brindadas en CDC, y CAETF en 2023</v>
      </c>
      <c r="G1153" s="42" t="str">
        <f ca="1">IFERROR(__xludf.DUMMYFUNCTION("""COMPUTED_VALUE"""),"Porcentaje de sesiones de los servicios de consulta psicológica, en 2023")</f>
        <v>Porcentaje de sesiones de los servicios de consulta psicológica, en 2023</v>
      </c>
      <c r="H1153" s="42" t="str">
        <f ca="1">IFERROR(__xludf.DUMMYFUNCTION("""COMPUTED_VALUE"""),"AMH Diciembre")</f>
        <v>AMH Diciembre</v>
      </c>
      <c r="I1153" s="42" t="str">
        <f ca="1">IFERROR(__xludf.DUMMYFUNCTION("""COMPUTED_VALUE"""),"Diciembre")</f>
        <v>Diciembre</v>
      </c>
      <c r="J1153" s="42" t="str">
        <f ca="1">IFERROR(__xludf.DUMMYFUNCTION("""COMPUTED_VALUE"""),"AMH")</f>
        <v>AMH</v>
      </c>
      <c r="K1153" s="98"/>
      <c r="L1153" s="42" t="str">
        <f ca="1">IFERROR(__xludf.DUMMYFUNCTION("""COMPUTED_VALUE"""),"TRIMESTRE 4")</f>
        <v>TRIMESTRE 4</v>
      </c>
      <c r="M1153" s="42" t="str">
        <f ca="1">IFERROR(__xludf.DUMMYFUNCTION("""COMPUTED_VALUE"""),"ADULTO MAYOR HOMBRE")</f>
        <v>ADULTO MAYOR HOMBRE</v>
      </c>
    </row>
    <row r="1154" spans="1:13">
      <c r="A1154" s="42" t="str">
        <f ca="1">IFERROR(__xludf.DUMMYFUNCTION("""COMPUTED_VALUE"""),"2.1.1.12")</f>
        <v>2.1.1.12</v>
      </c>
      <c r="B1154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154" s="42" t="str">
        <f ca="1">IFERROR(__xludf.DUMMYFUNCTION("""COMPUTED_VALUE"""),"3. Operación")</f>
        <v>3. Operación</v>
      </c>
      <c r="D1154" s="42" t="str">
        <f ca="1">IFERROR(__xludf.DUMMYFUNCTION("""COMPUTED_VALUE"""),"Guadalajara en Paz")</f>
        <v>Guadalajara en Paz</v>
      </c>
      <c r="E1154" s="42" t="str">
        <f ca="1">IFERROR(__xludf.DUMMYFUNCTION("""COMPUTED_VALUE"""),"Comedores Comunitarios")</f>
        <v>Comedores Comunitarios</v>
      </c>
      <c r="F1154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154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154" s="42" t="str">
        <f ca="1">IFERROR(__xludf.DUMMYFUNCTION("""COMPUTED_VALUE"""),"NAS enero")</f>
        <v>NAS enero</v>
      </c>
      <c r="I1154" s="42" t="str">
        <f ca="1">IFERROR(__xludf.DUMMYFUNCTION("""COMPUTED_VALUE"""),"Enero")</f>
        <v>Enero</v>
      </c>
      <c r="J1154" s="42" t="str">
        <f ca="1">IFERROR(__xludf.DUMMYFUNCTION("""COMPUTED_VALUE"""),"NAS")</f>
        <v>NAS</v>
      </c>
      <c r="K1154" s="98">
        <f ca="1">IFERROR(__xludf.DUMMYFUNCTION("""COMPUTED_VALUE"""),26)</f>
        <v>26</v>
      </c>
      <c r="L1154" s="42" t="str">
        <f ca="1">IFERROR(__xludf.DUMMYFUNCTION("""COMPUTED_VALUE"""),"TRIMESTRE 1")</f>
        <v>TRIMESTRE 1</v>
      </c>
      <c r="M1154" s="42" t="str">
        <f ca="1">IFERROR(__xludf.DUMMYFUNCTION("""COMPUTED_VALUE"""),"NIÑAS")</f>
        <v>NIÑAS</v>
      </c>
    </row>
    <row r="1155" spans="1:13">
      <c r="A1155" s="42" t="str">
        <f ca="1">IFERROR(__xludf.DUMMYFUNCTION("""COMPUTED_VALUE"""),"2.1.1.12")</f>
        <v>2.1.1.12</v>
      </c>
      <c r="B1155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155" s="42" t="str">
        <f ca="1">IFERROR(__xludf.DUMMYFUNCTION("""COMPUTED_VALUE"""),"3. Operación")</f>
        <v>3. Operación</v>
      </c>
      <c r="D1155" s="42" t="str">
        <f ca="1">IFERROR(__xludf.DUMMYFUNCTION("""COMPUTED_VALUE"""),"Guadalajara en Paz")</f>
        <v>Guadalajara en Paz</v>
      </c>
      <c r="E1155" s="42" t="str">
        <f ca="1">IFERROR(__xludf.DUMMYFUNCTION("""COMPUTED_VALUE"""),"Comedores Comunitarios")</f>
        <v>Comedores Comunitarios</v>
      </c>
      <c r="F1155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155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155" s="42" t="str">
        <f ca="1">IFERROR(__xludf.DUMMYFUNCTION("""COMPUTED_VALUE"""),"NOS enero")</f>
        <v>NOS enero</v>
      </c>
      <c r="I1155" s="42" t="str">
        <f ca="1">IFERROR(__xludf.DUMMYFUNCTION("""COMPUTED_VALUE"""),"Enero")</f>
        <v>Enero</v>
      </c>
      <c r="J1155" s="42" t="str">
        <f ca="1">IFERROR(__xludf.DUMMYFUNCTION("""COMPUTED_VALUE"""),"NOS")</f>
        <v>NOS</v>
      </c>
      <c r="K1155" s="98">
        <f ca="1">IFERROR(__xludf.DUMMYFUNCTION("""COMPUTED_VALUE"""),28)</f>
        <v>28</v>
      </c>
      <c r="L1155" s="42" t="str">
        <f ca="1">IFERROR(__xludf.DUMMYFUNCTION("""COMPUTED_VALUE"""),"TRIMESTRE 1")</f>
        <v>TRIMESTRE 1</v>
      </c>
      <c r="M1155" s="42" t="str">
        <f ca="1">IFERROR(__xludf.DUMMYFUNCTION("""COMPUTED_VALUE"""),"NIÑOS")</f>
        <v>NIÑOS</v>
      </c>
    </row>
    <row r="1156" spans="1:13">
      <c r="A1156" s="42" t="str">
        <f ca="1">IFERROR(__xludf.DUMMYFUNCTION("""COMPUTED_VALUE"""),"2.1.1.12")</f>
        <v>2.1.1.12</v>
      </c>
      <c r="B1156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156" s="42" t="str">
        <f ca="1">IFERROR(__xludf.DUMMYFUNCTION("""COMPUTED_VALUE"""),"3. Operación")</f>
        <v>3. Operación</v>
      </c>
      <c r="D1156" s="42" t="str">
        <f ca="1">IFERROR(__xludf.DUMMYFUNCTION("""COMPUTED_VALUE"""),"Guadalajara en Paz")</f>
        <v>Guadalajara en Paz</v>
      </c>
      <c r="E1156" s="42" t="str">
        <f ca="1">IFERROR(__xludf.DUMMYFUNCTION("""COMPUTED_VALUE"""),"Comedores Comunitarios")</f>
        <v>Comedores Comunitarios</v>
      </c>
      <c r="F1156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156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156" s="42" t="str">
        <f ca="1">IFERROR(__xludf.DUMMYFUNCTION("""COMPUTED_VALUE"""),"AM enero")</f>
        <v>AM enero</v>
      </c>
      <c r="I1156" s="42" t="str">
        <f ca="1">IFERROR(__xludf.DUMMYFUNCTION("""COMPUTED_VALUE"""),"Enero")</f>
        <v>Enero</v>
      </c>
      <c r="J1156" s="42" t="str">
        <f ca="1">IFERROR(__xludf.DUMMYFUNCTION("""COMPUTED_VALUE"""),"AM")</f>
        <v>AM</v>
      </c>
      <c r="K1156" s="98">
        <f ca="1">IFERROR(__xludf.DUMMYFUNCTION("""COMPUTED_VALUE"""),24)</f>
        <v>24</v>
      </c>
      <c r="L1156" s="42" t="str">
        <f ca="1">IFERROR(__xludf.DUMMYFUNCTION("""COMPUTED_VALUE"""),"TRIMESTRE 1")</f>
        <v>TRIMESTRE 1</v>
      </c>
      <c r="M1156" s="42" t="str">
        <f ca="1">IFERROR(__xludf.DUMMYFUNCTION("""COMPUTED_VALUE"""),"ADOLESCENTES MUJERES")</f>
        <v>ADOLESCENTES MUJERES</v>
      </c>
    </row>
    <row r="1157" spans="1:13">
      <c r="A1157" s="42" t="str">
        <f ca="1">IFERROR(__xludf.DUMMYFUNCTION("""COMPUTED_VALUE"""),"2.1.1.12")</f>
        <v>2.1.1.12</v>
      </c>
      <c r="B1157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157" s="42" t="str">
        <f ca="1">IFERROR(__xludf.DUMMYFUNCTION("""COMPUTED_VALUE"""),"3. Operación")</f>
        <v>3. Operación</v>
      </c>
      <c r="D1157" s="42" t="str">
        <f ca="1">IFERROR(__xludf.DUMMYFUNCTION("""COMPUTED_VALUE"""),"Guadalajara en Paz")</f>
        <v>Guadalajara en Paz</v>
      </c>
      <c r="E1157" s="42" t="str">
        <f ca="1">IFERROR(__xludf.DUMMYFUNCTION("""COMPUTED_VALUE"""),"Comedores Comunitarios")</f>
        <v>Comedores Comunitarios</v>
      </c>
      <c r="F1157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157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157" s="42" t="str">
        <f ca="1">IFERROR(__xludf.DUMMYFUNCTION("""COMPUTED_VALUE"""),"AH enero")</f>
        <v>AH enero</v>
      </c>
      <c r="I1157" s="42" t="str">
        <f ca="1">IFERROR(__xludf.DUMMYFUNCTION("""COMPUTED_VALUE"""),"Enero")</f>
        <v>Enero</v>
      </c>
      <c r="J1157" s="42" t="str">
        <f ca="1">IFERROR(__xludf.DUMMYFUNCTION("""COMPUTED_VALUE"""),"AH")</f>
        <v>AH</v>
      </c>
      <c r="K1157" s="98">
        <f ca="1">IFERROR(__xludf.DUMMYFUNCTION("""COMPUTED_VALUE"""),22)</f>
        <v>22</v>
      </c>
      <c r="L1157" s="42" t="str">
        <f ca="1">IFERROR(__xludf.DUMMYFUNCTION("""COMPUTED_VALUE"""),"TRIMESTRE 1")</f>
        <v>TRIMESTRE 1</v>
      </c>
      <c r="M1157" s="42" t="str">
        <f ca="1">IFERROR(__xludf.DUMMYFUNCTION("""COMPUTED_VALUE"""),"ADOLESCENTES HOMBRES")</f>
        <v>ADOLESCENTES HOMBRES</v>
      </c>
    </row>
    <row r="1158" spans="1:13">
      <c r="A1158" s="42" t="str">
        <f ca="1">IFERROR(__xludf.DUMMYFUNCTION("""COMPUTED_VALUE"""),"2.1.1.12")</f>
        <v>2.1.1.12</v>
      </c>
      <c r="B1158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158" s="42" t="str">
        <f ca="1">IFERROR(__xludf.DUMMYFUNCTION("""COMPUTED_VALUE"""),"3. Operación")</f>
        <v>3. Operación</v>
      </c>
      <c r="D1158" s="42" t="str">
        <f ca="1">IFERROR(__xludf.DUMMYFUNCTION("""COMPUTED_VALUE"""),"Guadalajara en Paz")</f>
        <v>Guadalajara en Paz</v>
      </c>
      <c r="E1158" s="42" t="str">
        <f ca="1">IFERROR(__xludf.DUMMYFUNCTION("""COMPUTED_VALUE"""),"Comedores Comunitarios")</f>
        <v>Comedores Comunitarios</v>
      </c>
      <c r="F1158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158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158" s="42" t="str">
        <f ca="1">IFERROR(__xludf.DUMMYFUNCTION("""COMPUTED_VALUE"""),"MUJ enero")</f>
        <v>MUJ enero</v>
      </c>
      <c r="I1158" s="42" t="str">
        <f ca="1">IFERROR(__xludf.DUMMYFUNCTION("""COMPUTED_VALUE"""),"Enero")</f>
        <v>Enero</v>
      </c>
      <c r="J1158" s="42" t="str">
        <f ca="1">IFERROR(__xludf.DUMMYFUNCTION("""COMPUTED_VALUE"""),"MUJ")</f>
        <v>MUJ</v>
      </c>
      <c r="K1158" s="98">
        <f ca="1">IFERROR(__xludf.DUMMYFUNCTION("""COMPUTED_VALUE"""),97)</f>
        <v>97</v>
      </c>
      <c r="L1158" s="42" t="str">
        <f ca="1">IFERROR(__xludf.DUMMYFUNCTION("""COMPUTED_VALUE"""),"TRIMESTRE 1")</f>
        <v>TRIMESTRE 1</v>
      </c>
      <c r="M1158" s="42" t="str">
        <f ca="1">IFERROR(__xludf.DUMMYFUNCTION("""COMPUTED_VALUE"""),"MUJERES ADULTAS")</f>
        <v>MUJERES ADULTAS</v>
      </c>
    </row>
    <row r="1159" spans="1:13">
      <c r="A1159" s="42" t="str">
        <f ca="1">IFERROR(__xludf.DUMMYFUNCTION("""COMPUTED_VALUE"""),"2.1.1.12")</f>
        <v>2.1.1.12</v>
      </c>
      <c r="B1159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159" s="42" t="str">
        <f ca="1">IFERROR(__xludf.DUMMYFUNCTION("""COMPUTED_VALUE"""),"3. Operación")</f>
        <v>3. Operación</v>
      </c>
      <c r="D1159" s="42" t="str">
        <f ca="1">IFERROR(__xludf.DUMMYFUNCTION("""COMPUTED_VALUE"""),"Guadalajara en Paz")</f>
        <v>Guadalajara en Paz</v>
      </c>
      <c r="E1159" s="42" t="str">
        <f ca="1">IFERROR(__xludf.DUMMYFUNCTION("""COMPUTED_VALUE"""),"Comedores Comunitarios")</f>
        <v>Comedores Comunitarios</v>
      </c>
      <c r="F1159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159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159" s="42" t="str">
        <f ca="1">IFERROR(__xludf.DUMMYFUNCTION("""COMPUTED_VALUE"""),"HOM enero")</f>
        <v>HOM enero</v>
      </c>
      <c r="I1159" s="42" t="str">
        <f ca="1">IFERROR(__xludf.DUMMYFUNCTION("""COMPUTED_VALUE"""),"Enero")</f>
        <v>Enero</v>
      </c>
      <c r="J1159" s="42" t="str">
        <f ca="1">IFERROR(__xludf.DUMMYFUNCTION("""COMPUTED_VALUE"""),"HOM")</f>
        <v>HOM</v>
      </c>
      <c r="K1159" s="98">
        <f ca="1">IFERROR(__xludf.DUMMYFUNCTION("""COMPUTED_VALUE"""),54)</f>
        <v>54</v>
      </c>
      <c r="L1159" s="42" t="str">
        <f ca="1">IFERROR(__xludf.DUMMYFUNCTION("""COMPUTED_VALUE"""),"TRIMESTRE 1")</f>
        <v>TRIMESTRE 1</v>
      </c>
      <c r="M1159" s="42" t="str">
        <f ca="1">IFERROR(__xludf.DUMMYFUNCTION("""COMPUTED_VALUE"""),"HOMBRES ADULTOS")</f>
        <v>HOMBRES ADULTOS</v>
      </c>
    </row>
    <row r="1160" spans="1:13">
      <c r="A1160" s="42" t="str">
        <f ca="1">IFERROR(__xludf.DUMMYFUNCTION("""COMPUTED_VALUE"""),"2.1.1.12")</f>
        <v>2.1.1.12</v>
      </c>
      <c r="B1160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160" s="42" t="str">
        <f ca="1">IFERROR(__xludf.DUMMYFUNCTION("""COMPUTED_VALUE"""),"3. Operación")</f>
        <v>3. Operación</v>
      </c>
      <c r="D1160" s="42" t="str">
        <f ca="1">IFERROR(__xludf.DUMMYFUNCTION("""COMPUTED_VALUE"""),"Guadalajara en Paz")</f>
        <v>Guadalajara en Paz</v>
      </c>
      <c r="E1160" s="42" t="str">
        <f ca="1">IFERROR(__xludf.DUMMYFUNCTION("""COMPUTED_VALUE"""),"Comedores Comunitarios")</f>
        <v>Comedores Comunitarios</v>
      </c>
      <c r="F1160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160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160" s="42" t="str">
        <f ca="1">IFERROR(__xludf.DUMMYFUNCTION("""COMPUTED_VALUE"""),"AMM enero")</f>
        <v>AMM enero</v>
      </c>
      <c r="I1160" s="42" t="str">
        <f ca="1">IFERROR(__xludf.DUMMYFUNCTION("""COMPUTED_VALUE"""),"Enero")</f>
        <v>Enero</v>
      </c>
      <c r="J1160" s="42" t="str">
        <f ca="1">IFERROR(__xludf.DUMMYFUNCTION("""COMPUTED_VALUE"""),"AMM")</f>
        <v>AMM</v>
      </c>
      <c r="K1160" s="98">
        <f ca="1">IFERROR(__xludf.DUMMYFUNCTION("""COMPUTED_VALUE"""),173)</f>
        <v>173</v>
      </c>
      <c r="L1160" s="42" t="str">
        <f ca="1">IFERROR(__xludf.DUMMYFUNCTION("""COMPUTED_VALUE"""),"TRIMESTRE 1")</f>
        <v>TRIMESTRE 1</v>
      </c>
      <c r="M1160" s="42" t="str">
        <f ca="1">IFERROR(__xludf.DUMMYFUNCTION("""COMPUTED_VALUE"""),"ADULTA MAYOR MUJER")</f>
        <v>ADULTA MAYOR MUJER</v>
      </c>
    </row>
    <row r="1161" spans="1:13">
      <c r="A1161" s="42" t="str">
        <f ca="1">IFERROR(__xludf.DUMMYFUNCTION("""COMPUTED_VALUE"""),"2.1.1.12")</f>
        <v>2.1.1.12</v>
      </c>
      <c r="B1161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161" s="42" t="str">
        <f ca="1">IFERROR(__xludf.DUMMYFUNCTION("""COMPUTED_VALUE"""),"3. Operación")</f>
        <v>3. Operación</v>
      </c>
      <c r="D1161" s="42" t="str">
        <f ca="1">IFERROR(__xludf.DUMMYFUNCTION("""COMPUTED_VALUE"""),"Guadalajara en Paz")</f>
        <v>Guadalajara en Paz</v>
      </c>
      <c r="E1161" s="42" t="str">
        <f ca="1">IFERROR(__xludf.DUMMYFUNCTION("""COMPUTED_VALUE"""),"Comedores Comunitarios")</f>
        <v>Comedores Comunitarios</v>
      </c>
      <c r="F1161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161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161" s="42" t="str">
        <f ca="1">IFERROR(__xludf.DUMMYFUNCTION("""COMPUTED_VALUE"""),"AMH enero")</f>
        <v>AMH enero</v>
      </c>
      <c r="I1161" s="42" t="str">
        <f ca="1">IFERROR(__xludf.DUMMYFUNCTION("""COMPUTED_VALUE"""),"Enero")</f>
        <v>Enero</v>
      </c>
      <c r="J1161" s="42" t="str">
        <f ca="1">IFERROR(__xludf.DUMMYFUNCTION("""COMPUTED_VALUE"""),"AMH")</f>
        <v>AMH</v>
      </c>
      <c r="K1161" s="98">
        <f ca="1">IFERROR(__xludf.DUMMYFUNCTION("""COMPUTED_VALUE"""),86)</f>
        <v>86</v>
      </c>
      <c r="L1161" s="42" t="str">
        <f ca="1">IFERROR(__xludf.DUMMYFUNCTION("""COMPUTED_VALUE"""),"TRIMESTRE 1")</f>
        <v>TRIMESTRE 1</v>
      </c>
      <c r="M1161" s="42" t="str">
        <f ca="1">IFERROR(__xludf.DUMMYFUNCTION("""COMPUTED_VALUE"""),"ADULTO MAYOR HOMBRE")</f>
        <v>ADULTO MAYOR HOMBRE</v>
      </c>
    </row>
    <row r="1162" spans="1:13">
      <c r="A1162" s="42" t="str">
        <f ca="1">IFERROR(__xludf.DUMMYFUNCTION("""COMPUTED_VALUE"""),"2.1.1.12")</f>
        <v>2.1.1.12</v>
      </c>
      <c r="B1162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162" s="42" t="str">
        <f ca="1">IFERROR(__xludf.DUMMYFUNCTION("""COMPUTED_VALUE"""),"3. Operación")</f>
        <v>3. Operación</v>
      </c>
      <c r="D1162" s="42" t="str">
        <f ca="1">IFERROR(__xludf.DUMMYFUNCTION("""COMPUTED_VALUE"""),"Guadalajara en Paz")</f>
        <v>Guadalajara en Paz</v>
      </c>
      <c r="E1162" s="42" t="str">
        <f ca="1">IFERROR(__xludf.DUMMYFUNCTION("""COMPUTED_VALUE"""),"Comedores Comunitarios")</f>
        <v>Comedores Comunitarios</v>
      </c>
      <c r="F1162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162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162" s="42" t="str">
        <f ca="1">IFERROR(__xludf.DUMMYFUNCTION("""COMPUTED_VALUE"""),"NAS FEBRERO")</f>
        <v>NAS FEBRERO</v>
      </c>
      <c r="I1162" s="42" t="str">
        <f ca="1">IFERROR(__xludf.DUMMYFUNCTION("""COMPUTED_VALUE"""),"Febrero")</f>
        <v>Febrero</v>
      </c>
      <c r="J1162" s="42" t="str">
        <f ca="1">IFERROR(__xludf.DUMMYFUNCTION("""COMPUTED_VALUE"""),"NAS")</f>
        <v>NAS</v>
      </c>
      <c r="K1162" s="98">
        <f ca="1">IFERROR(__xludf.DUMMYFUNCTION("""COMPUTED_VALUE"""),22)</f>
        <v>22</v>
      </c>
      <c r="L1162" s="42" t="str">
        <f ca="1">IFERROR(__xludf.DUMMYFUNCTION("""COMPUTED_VALUE"""),"TRIMESTRE 1")</f>
        <v>TRIMESTRE 1</v>
      </c>
      <c r="M1162" s="42" t="str">
        <f ca="1">IFERROR(__xludf.DUMMYFUNCTION("""COMPUTED_VALUE"""),"NIÑAS")</f>
        <v>NIÑAS</v>
      </c>
    </row>
    <row r="1163" spans="1:13">
      <c r="A1163" s="42" t="str">
        <f ca="1">IFERROR(__xludf.DUMMYFUNCTION("""COMPUTED_VALUE"""),"2.1.1.12")</f>
        <v>2.1.1.12</v>
      </c>
      <c r="B1163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163" s="42" t="str">
        <f ca="1">IFERROR(__xludf.DUMMYFUNCTION("""COMPUTED_VALUE"""),"3. Operación")</f>
        <v>3. Operación</v>
      </c>
      <c r="D1163" s="42" t="str">
        <f ca="1">IFERROR(__xludf.DUMMYFUNCTION("""COMPUTED_VALUE"""),"Guadalajara en Paz")</f>
        <v>Guadalajara en Paz</v>
      </c>
      <c r="E1163" s="42" t="str">
        <f ca="1">IFERROR(__xludf.DUMMYFUNCTION("""COMPUTED_VALUE"""),"Comedores Comunitarios")</f>
        <v>Comedores Comunitarios</v>
      </c>
      <c r="F1163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163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163" s="42" t="str">
        <f ca="1">IFERROR(__xludf.DUMMYFUNCTION("""COMPUTED_VALUE"""),"NOS FEBRERO")</f>
        <v>NOS FEBRERO</v>
      </c>
      <c r="I1163" s="42" t="str">
        <f ca="1">IFERROR(__xludf.DUMMYFUNCTION("""COMPUTED_VALUE"""),"Febrero")</f>
        <v>Febrero</v>
      </c>
      <c r="J1163" s="42" t="str">
        <f ca="1">IFERROR(__xludf.DUMMYFUNCTION("""COMPUTED_VALUE"""),"NOS")</f>
        <v>NOS</v>
      </c>
      <c r="K1163" s="98">
        <f ca="1">IFERROR(__xludf.DUMMYFUNCTION("""COMPUTED_VALUE"""),29)</f>
        <v>29</v>
      </c>
      <c r="L1163" s="42" t="str">
        <f ca="1">IFERROR(__xludf.DUMMYFUNCTION("""COMPUTED_VALUE"""),"TRIMESTRE 1")</f>
        <v>TRIMESTRE 1</v>
      </c>
      <c r="M1163" s="42" t="str">
        <f ca="1">IFERROR(__xludf.DUMMYFUNCTION("""COMPUTED_VALUE"""),"NIÑOS")</f>
        <v>NIÑOS</v>
      </c>
    </row>
    <row r="1164" spans="1:13">
      <c r="A1164" s="42" t="str">
        <f ca="1">IFERROR(__xludf.DUMMYFUNCTION("""COMPUTED_VALUE"""),"2.1.1.12")</f>
        <v>2.1.1.12</v>
      </c>
      <c r="B1164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164" s="42" t="str">
        <f ca="1">IFERROR(__xludf.DUMMYFUNCTION("""COMPUTED_VALUE"""),"3. Operación")</f>
        <v>3. Operación</v>
      </c>
      <c r="D1164" s="42" t="str">
        <f ca="1">IFERROR(__xludf.DUMMYFUNCTION("""COMPUTED_VALUE"""),"Guadalajara en Paz")</f>
        <v>Guadalajara en Paz</v>
      </c>
      <c r="E1164" s="42" t="str">
        <f ca="1">IFERROR(__xludf.DUMMYFUNCTION("""COMPUTED_VALUE"""),"Comedores Comunitarios")</f>
        <v>Comedores Comunitarios</v>
      </c>
      <c r="F1164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164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164" s="42" t="str">
        <f ca="1">IFERROR(__xludf.DUMMYFUNCTION("""COMPUTED_VALUE"""),"AM FEBRERO")</f>
        <v>AM FEBRERO</v>
      </c>
      <c r="I1164" s="42" t="str">
        <f ca="1">IFERROR(__xludf.DUMMYFUNCTION("""COMPUTED_VALUE"""),"Febrero")</f>
        <v>Febrero</v>
      </c>
      <c r="J1164" s="42" t="str">
        <f ca="1">IFERROR(__xludf.DUMMYFUNCTION("""COMPUTED_VALUE"""),"AM")</f>
        <v>AM</v>
      </c>
      <c r="K1164" s="98">
        <f ca="1">IFERROR(__xludf.DUMMYFUNCTION("""COMPUTED_VALUE"""),24)</f>
        <v>24</v>
      </c>
      <c r="L1164" s="42" t="str">
        <f ca="1">IFERROR(__xludf.DUMMYFUNCTION("""COMPUTED_VALUE"""),"TRIMESTRE 1")</f>
        <v>TRIMESTRE 1</v>
      </c>
      <c r="M1164" s="42" t="str">
        <f ca="1">IFERROR(__xludf.DUMMYFUNCTION("""COMPUTED_VALUE"""),"ADOLESCENTES MUJERES")</f>
        <v>ADOLESCENTES MUJERES</v>
      </c>
    </row>
    <row r="1165" spans="1:13">
      <c r="A1165" s="42" t="str">
        <f ca="1">IFERROR(__xludf.DUMMYFUNCTION("""COMPUTED_VALUE"""),"2.1.1.12")</f>
        <v>2.1.1.12</v>
      </c>
      <c r="B1165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165" s="42" t="str">
        <f ca="1">IFERROR(__xludf.DUMMYFUNCTION("""COMPUTED_VALUE"""),"3. Operación")</f>
        <v>3. Operación</v>
      </c>
      <c r="D1165" s="42" t="str">
        <f ca="1">IFERROR(__xludf.DUMMYFUNCTION("""COMPUTED_VALUE"""),"Guadalajara en Paz")</f>
        <v>Guadalajara en Paz</v>
      </c>
      <c r="E1165" s="42" t="str">
        <f ca="1">IFERROR(__xludf.DUMMYFUNCTION("""COMPUTED_VALUE"""),"Comedores Comunitarios")</f>
        <v>Comedores Comunitarios</v>
      </c>
      <c r="F1165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165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165" s="42" t="str">
        <f ca="1">IFERROR(__xludf.DUMMYFUNCTION("""COMPUTED_VALUE"""),"AH FEBRERO")</f>
        <v>AH FEBRERO</v>
      </c>
      <c r="I1165" s="42" t="str">
        <f ca="1">IFERROR(__xludf.DUMMYFUNCTION("""COMPUTED_VALUE"""),"Febrero")</f>
        <v>Febrero</v>
      </c>
      <c r="J1165" s="42" t="str">
        <f ca="1">IFERROR(__xludf.DUMMYFUNCTION("""COMPUTED_VALUE"""),"AH")</f>
        <v>AH</v>
      </c>
      <c r="K1165" s="98">
        <f ca="1">IFERROR(__xludf.DUMMYFUNCTION("""COMPUTED_VALUE"""),23)</f>
        <v>23</v>
      </c>
      <c r="L1165" s="42" t="str">
        <f ca="1">IFERROR(__xludf.DUMMYFUNCTION("""COMPUTED_VALUE"""),"TRIMESTRE 1")</f>
        <v>TRIMESTRE 1</v>
      </c>
      <c r="M1165" s="42" t="str">
        <f ca="1">IFERROR(__xludf.DUMMYFUNCTION("""COMPUTED_VALUE"""),"ADOLESCENTES HOMBRES")</f>
        <v>ADOLESCENTES HOMBRES</v>
      </c>
    </row>
    <row r="1166" spans="1:13">
      <c r="A1166" s="42" t="str">
        <f ca="1">IFERROR(__xludf.DUMMYFUNCTION("""COMPUTED_VALUE"""),"2.1.1.12")</f>
        <v>2.1.1.12</v>
      </c>
      <c r="B1166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166" s="42" t="str">
        <f ca="1">IFERROR(__xludf.DUMMYFUNCTION("""COMPUTED_VALUE"""),"3. Operación")</f>
        <v>3. Operación</v>
      </c>
      <c r="D1166" s="42" t="str">
        <f ca="1">IFERROR(__xludf.DUMMYFUNCTION("""COMPUTED_VALUE"""),"Guadalajara en Paz")</f>
        <v>Guadalajara en Paz</v>
      </c>
      <c r="E1166" s="42" t="str">
        <f ca="1">IFERROR(__xludf.DUMMYFUNCTION("""COMPUTED_VALUE"""),"Comedores Comunitarios")</f>
        <v>Comedores Comunitarios</v>
      </c>
      <c r="F1166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166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166" s="42" t="str">
        <f ca="1">IFERROR(__xludf.DUMMYFUNCTION("""COMPUTED_VALUE"""),"MUJ FEBRERO")</f>
        <v>MUJ FEBRERO</v>
      </c>
      <c r="I1166" s="42" t="str">
        <f ca="1">IFERROR(__xludf.DUMMYFUNCTION("""COMPUTED_VALUE"""),"Febrero")</f>
        <v>Febrero</v>
      </c>
      <c r="J1166" s="42" t="str">
        <f ca="1">IFERROR(__xludf.DUMMYFUNCTION("""COMPUTED_VALUE"""),"MUJ")</f>
        <v>MUJ</v>
      </c>
      <c r="K1166" s="98">
        <f ca="1">IFERROR(__xludf.DUMMYFUNCTION("""COMPUTED_VALUE"""),95)</f>
        <v>95</v>
      </c>
      <c r="L1166" s="42" t="str">
        <f ca="1">IFERROR(__xludf.DUMMYFUNCTION("""COMPUTED_VALUE"""),"TRIMESTRE 1")</f>
        <v>TRIMESTRE 1</v>
      </c>
      <c r="M1166" s="42" t="str">
        <f ca="1">IFERROR(__xludf.DUMMYFUNCTION("""COMPUTED_VALUE"""),"MUJERES ADULTAS")</f>
        <v>MUJERES ADULTAS</v>
      </c>
    </row>
    <row r="1167" spans="1:13">
      <c r="A1167" s="42" t="str">
        <f ca="1">IFERROR(__xludf.DUMMYFUNCTION("""COMPUTED_VALUE"""),"2.1.1.12")</f>
        <v>2.1.1.12</v>
      </c>
      <c r="B1167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167" s="42" t="str">
        <f ca="1">IFERROR(__xludf.DUMMYFUNCTION("""COMPUTED_VALUE"""),"3. Operación")</f>
        <v>3. Operación</v>
      </c>
      <c r="D1167" s="42" t="str">
        <f ca="1">IFERROR(__xludf.DUMMYFUNCTION("""COMPUTED_VALUE"""),"Guadalajara en Paz")</f>
        <v>Guadalajara en Paz</v>
      </c>
      <c r="E1167" s="42" t="str">
        <f ca="1">IFERROR(__xludf.DUMMYFUNCTION("""COMPUTED_VALUE"""),"Comedores Comunitarios")</f>
        <v>Comedores Comunitarios</v>
      </c>
      <c r="F1167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167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167" s="42" t="str">
        <f ca="1">IFERROR(__xludf.DUMMYFUNCTION("""COMPUTED_VALUE"""),"HOM FEBRERO")</f>
        <v>HOM FEBRERO</v>
      </c>
      <c r="I1167" s="42" t="str">
        <f ca="1">IFERROR(__xludf.DUMMYFUNCTION("""COMPUTED_VALUE"""),"Febrero")</f>
        <v>Febrero</v>
      </c>
      <c r="J1167" s="42" t="str">
        <f ca="1">IFERROR(__xludf.DUMMYFUNCTION("""COMPUTED_VALUE"""),"HOM")</f>
        <v>HOM</v>
      </c>
      <c r="K1167" s="98">
        <f ca="1">IFERROR(__xludf.DUMMYFUNCTION("""COMPUTED_VALUE"""),57)</f>
        <v>57</v>
      </c>
      <c r="L1167" s="42" t="str">
        <f ca="1">IFERROR(__xludf.DUMMYFUNCTION("""COMPUTED_VALUE"""),"TRIMESTRE 1")</f>
        <v>TRIMESTRE 1</v>
      </c>
      <c r="M1167" s="42" t="str">
        <f ca="1">IFERROR(__xludf.DUMMYFUNCTION("""COMPUTED_VALUE"""),"HOMBRES ADULTOS")</f>
        <v>HOMBRES ADULTOS</v>
      </c>
    </row>
    <row r="1168" spans="1:13">
      <c r="A1168" s="42" t="str">
        <f ca="1">IFERROR(__xludf.DUMMYFUNCTION("""COMPUTED_VALUE"""),"2.1.1.12")</f>
        <v>2.1.1.12</v>
      </c>
      <c r="B1168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168" s="42" t="str">
        <f ca="1">IFERROR(__xludf.DUMMYFUNCTION("""COMPUTED_VALUE"""),"3. Operación")</f>
        <v>3. Operación</v>
      </c>
      <c r="D1168" s="42" t="str">
        <f ca="1">IFERROR(__xludf.DUMMYFUNCTION("""COMPUTED_VALUE"""),"Guadalajara en Paz")</f>
        <v>Guadalajara en Paz</v>
      </c>
      <c r="E1168" s="42" t="str">
        <f ca="1">IFERROR(__xludf.DUMMYFUNCTION("""COMPUTED_VALUE"""),"Comedores Comunitarios")</f>
        <v>Comedores Comunitarios</v>
      </c>
      <c r="F1168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168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168" s="42" t="str">
        <f ca="1">IFERROR(__xludf.DUMMYFUNCTION("""COMPUTED_VALUE"""),"AMM FEBRERO")</f>
        <v>AMM FEBRERO</v>
      </c>
      <c r="I1168" s="42" t="str">
        <f ca="1">IFERROR(__xludf.DUMMYFUNCTION("""COMPUTED_VALUE"""),"Febrero")</f>
        <v>Febrero</v>
      </c>
      <c r="J1168" s="42" t="str">
        <f ca="1">IFERROR(__xludf.DUMMYFUNCTION("""COMPUTED_VALUE"""),"AMM")</f>
        <v>AMM</v>
      </c>
      <c r="K1168" s="98">
        <f ca="1">IFERROR(__xludf.DUMMYFUNCTION("""COMPUTED_VALUE"""),164)</f>
        <v>164</v>
      </c>
      <c r="L1168" s="42" t="str">
        <f ca="1">IFERROR(__xludf.DUMMYFUNCTION("""COMPUTED_VALUE"""),"TRIMESTRE 1")</f>
        <v>TRIMESTRE 1</v>
      </c>
      <c r="M1168" s="42" t="str">
        <f ca="1">IFERROR(__xludf.DUMMYFUNCTION("""COMPUTED_VALUE"""),"ADULTA MAYOR MUJER")</f>
        <v>ADULTA MAYOR MUJER</v>
      </c>
    </row>
    <row r="1169" spans="1:13">
      <c r="A1169" s="42" t="str">
        <f ca="1">IFERROR(__xludf.DUMMYFUNCTION("""COMPUTED_VALUE"""),"2.1.1.12")</f>
        <v>2.1.1.12</v>
      </c>
      <c r="B1169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169" s="42" t="str">
        <f ca="1">IFERROR(__xludf.DUMMYFUNCTION("""COMPUTED_VALUE"""),"3. Operación")</f>
        <v>3. Operación</v>
      </c>
      <c r="D1169" s="42" t="str">
        <f ca="1">IFERROR(__xludf.DUMMYFUNCTION("""COMPUTED_VALUE"""),"Guadalajara en Paz")</f>
        <v>Guadalajara en Paz</v>
      </c>
      <c r="E1169" s="42" t="str">
        <f ca="1">IFERROR(__xludf.DUMMYFUNCTION("""COMPUTED_VALUE"""),"Comedores Comunitarios")</f>
        <v>Comedores Comunitarios</v>
      </c>
      <c r="F1169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169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169" s="42" t="str">
        <f ca="1">IFERROR(__xludf.DUMMYFUNCTION("""COMPUTED_VALUE"""),"AMH FEBRERO")</f>
        <v>AMH FEBRERO</v>
      </c>
      <c r="I1169" s="42" t="str">
        <f ca="1">IFERROR(__xludf.DUMMYFUNCTION("""COMPUTED_VALUE"""),"Febrero")</f>
        <v>Febrero</v>
      </c>
      <c r="J1169" s="42" t="str">
        <f ca="1">IFERROR(__xludf.DUMMYFUNCTION("""COMPUTED_VALUE"""),"AMH")</f>
        <v>AMH</v>
      </c>
      <c r="K1169" s="98">
        <f ca="1">IFERROR(__xludf.DUMMYFUNCTION("""COMPUTED_VALUE"""),96)</f>
        <v>96</v>
      </c>
      <c r="L1169" s="42" t="str">
        <f ca="1">IFERROR(__xludf.DUMMYFUNCTION("""COMPUTED_VALUE"""),"TRIMESTRE 1")</f>
        <v>TRIMESTRE 1</v>
      </c>
      <c r="M1169" s="42" t="str">
        <f ca="1">IFERROR(__xludf.DUMMYFUNCTION("""COMPUTED_VALUE"""),"ADULTO MAYOR HOMBRE")</f>
        <v>ADULTO MAYOR HOMBRE</v>
      </c>
    </row>
    <row r="1170" spans="1:13">
      <c r="A1170" s="42" t="str">
        <f ca="1">IFERROR(__xludf.DUMMYFUNCTION("""COMPUTED_VALUE"""),"2.1.1.12")</f>
        <v>2.1.1.12</v>
      </c>
      <c r="B1170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170" s="42" t="str">
        <f ca="1">IFERROR(__xludf.DUMMYFUNCTION("""COMPUTED_VALUE"""),"3. Operación")</f>
        <v>3. Operación</v>
      </c>
      <c r="D1170" s="42" t="str">
        <f ca="1">IFERROR(__xludf.DUMMYFUNCTION("""COMPUTED_VALUE"""),"Guadalajara en Paz")</f>
        <v>Guadalajara en Paz</v>
      </c>
      <c r="E1170" s="42" t="str">
        <f ca="1">IFERROR(__xludf.DUMMYFUNCTION("""COMPUTED_VALUE"""),"Comedores Comunitarios")</f>
        <v>Comedores Comunitarios</v>
      </c>
      <c r="F1170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170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170" s="42" t="str">
        <f ca="1">IFERROR(__xludf.DUMMYFUNCTION("""COMPUTED_VALUE"""),"NAS Marzo")</f>
        <v>NAS Marzo</v>
      </c>
      <c r="I1170" s="42" t="str">
        <f ca="1">IFERROR(__xludf.DUMMYFUNCTION("""COMPUTED_VALUE"""),"Marzo")</f>
        <v>Marzo</v>
      </c>
      <c r="J1170" s="42" t="str">
        <f ca="1">IFERROR(__xludf.DUMMYFUNCTION("""COMPUTED_VALUE"""),"NAS")</f>
        <v>NAS</v>
      </c>
      <c r="K1170" s="98">
        <f ca="1">IFERROR(__xludf.DUMMYFUNCTION("""COMPUTED_VALUE"""),21)</f>
        <v>21</v>
      </c>
      <c r="L1170" s="42" t="str">
        <f ca="1">IFERROR(__xludf.DUMMYFUNCTION("""COMPUTED_VALUE"""),"TRIMESTRE 1")</f>
        <v>TRIMESTRE 1</v>
      </c>
      <c r="M1170" s="42" t="str">
        <f ca="1">IFERROR(__xludf.DUMMYFUNCTION("""COMPUTED_VALUE"""),"NIÑAS")</f>
        <v>NIÑAS</v>
      </c>
    </row>
    <row r="1171" spans="1:13">
      <c r="A1171" s="42" t="str">
        <f ca="1">IFERROR(__xludf.DUMMYFUNCTION("""COMPUTED_VALUE"""),"2.1.1.12")</f>
        <v>2.1.1.12</v>
      </c>
      <c r="B1171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171" s="42" t="str">
        <f ca="1">IFERROR(__xludf.DUMMYFUNCTION("""COMPUTED_VALUE"""),"3. Operación")</f>
        <v>3. Operación</v>
      </c>
      <c r="D1171" s="42" t="str">
        <f ca="1">IFERROR(__xludf.DUMMYFUNCTION("""COMPUTED_VALUE"""),"Guadalajara en Paz")</f>
        <v>Guadalajara en Paz</v>
      </c>
      <c r="E1171" s="42" t="str">
        <f ca="1">IFERROR(__xludf.DUMMYFUNCTION("""COMPUTED_VALUE"""),"Comedores Comunitarios")</f>
        <v>Comedores Comunitarios</v>
      </c>
      <c r="F1171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171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171" s="42" t="str">
        <f ca="1">IFERROR(__xludf.DUMMYFUNCTION("""COMPUTED_VALUE"""),"NOS Marzo")</f>
        <v>NOS Marzo</v>
      </c>
      <c r="I1171" s="42" t="str">
        <f ca="1">IFERROR(__xludf.DUMMYFUNCTION("""COMPUTED_VALUE"""),"Marzo")</f>
        <v>Marzo</v>
      </c>
      <c r="J1171" s="42" t="str">
        <f ca="1">IFERROR(__xludf.DUMMYFUNCTION("""COMPUTED_VALUE"""),"NOS")</f>
        <v>NOS</v>
      </c>
      <c r="K1171" s="98">
        <f ca="1">IFERROR(__xludf.DUMMYFUNCTION("""COMPUTED_VALUE"""),29)</f>
        <v>29</v>
      </c>
      <c r="L1171" s="42" t="str">
        <f ca="1">IFERROR(__xludf.DUMMYFUNCTION("""COMPUTED_VALUE"""),"TRIMESTRE 1")</f>
        <v>TRIMESTRE 1</v>
      </c>
      <c r="M1171" s="42" t="str">
        <f ca="1">IFERROR(__xludf.DUMMYFUNCTION("""COMPUTED_VALUE"""),"NIÑOS")</f>
        <v>NIÑOS</v>
      </c>
    </row>
    <row r="1172" spans="1:13">
      <c r="A1172" s="42" t="str">
        <f ca="1">IFERROR(__xludf.DUMMYFUNCTION("""COMPUTED_VALUE"""),"2.1.1.12")</f>
        <v>2.1.1.12</v>
      </c>
      <c r="B1172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172" s="42" t="str">
        <f ca="1">IFERROR(__xludf.DUMMYFUNCTION("""COMPUTED_VALUE"""),"3. Operación")</f>
        <v>3. Operación</v>
      </c>
      <c r="D1172" s="42" t="str">
        <f ca="1">IFERROR(__xludf.DUMMYFUNCTION("""COMPUTED_VALUE"""),"Guadalajara en Paz")</f>
        <v>Guadalajara en Paz</v>
      </c>
      <c r="E1172" s="42" t="str">
        <f ca="1">IFERROR(__xludf.DUMMYFUNCTION("""COMPUTED_VALUE"""),"Comedores Comunitarios")</f>
        <v>Comedores Comunitarios</v>
      </c>
      <c r="F1172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172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172" s="42" t="str">
        <f ca="1">IFERROR(__xludf.DUMMYFUNCTION("""COMPUTED_VALUE"""),"AM MARZO")</f>
        <v>AM MARZO</v>
      </c>
      <c r="I1172" s="42" t="str">
        <f ca="1">IFERROR(__xludf.DUMMYFUNCTION("""COMPUTED_VALUE"""),"Marzo")</f>
        <v>Marzo</v>
      </c>
      <c r="J1172" s="42" t="str">
        <f ca="1">IFERROR(__xludf.DUMMYFUNCTION("""COMPUTED_VALUE"""),"AM")</f>
        <v>AM</v>
      </c>
      <c r="K1172" s="98">
        <f ca="1">IFERROR(__xludf.DUMMYFUNCTION("""COMPUTED_VALUE"""),24)</f>
        <v>24</v>
      </c>
      <c r="L1172" s="42" t="str">
        <f ca="1">IFERROR(__xludf.DUMMYFUNCTION("""COMPUTED_VALUE"""),"TRIMESTRE 1")</f>
        <v>TRIMESTRE 1</v>
      </c>
      <c r="M1172" s="42" t="str">
        <f ca="1">IFERROR(__xludf.DUMMYFUNCTION("""COMPUTED_VALUE"""),"ADOLESCENTES MUJERES")</f>
        <v>ADOLESCENTES MUJERES</v>
      </c>
    </row>
    <row r="1173" spans="1:13">
      <c r="A1173" s="42" t="str">
        <f ca="1">IFERROR(__xludf.DUMMYFUNCTION("""COMPUTED_VALUE"""),"2.1.1.12")</f>
        <v>2.1.1.12</v>
      </c>
      <c r="B1173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173" s="42" t="str">
        <f ca="1">IFERROR(__xludf.DUMMYFUNCTION("""COMPUTED_VALUE"""),"3. Operación")</f>
        <v>3. Operación</v>
      </c>
      <c r="D1173" s="42" t="str">
        <f ca="1">IFERROR(__xludf.DUMMYFUNCTION("""COMPUTED_VALUE"""),"Guadalajara en Paz")</f>
        <v>Guadalajara en Paz</v>
      </c>
      <c r="E1173" s="42" t="str">
        <f ca="1">IFERROR(__xludf.DUMMYFUNCTION("""COMPUTED_VALUE"""),"Comedores Comunitarios")</f>
        <v>Comedores Comunitarios</v>
      </c>
      <c r="F1173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173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173" s="42" t="str">
        <f ca="1">IFERROR(__xludf.DUMMYFUNCTION("""COMPUTED_VALUE"""),"AH MARZO")</f>
        <v>AH MARZO</v>
      </c>
      <c r="I1173" s="42" t="str">
        <f ca="1">IFERROR(__xludf.DUMMYFUNCTION("""COMPUTED_VALUE"""),"Marzo")</f>
        <v>Marzo</v>
      </c>
      <c r="J1173" s="42" t="str">
        <f ca="1">IFERROR(__xludf.DUMMYFUNCTION("""COMPUTED_VALUE"""),"AH")</f>
        <v>AH</v>
      </c>
      <c r="K1173" s="98">
        <f ca="1">IFERROR(__xludf.DUMMYFUNCTION("""COMPUTED_VALUE"""),23)</f>
        <v>23</v>
      </c>
      <c r="L1173" s="42" t="str">
        <f ca="1">IFERROR(__xludf.DUMMYFUNCTION("""COMPUTED_VALUE"""),"TRIMESTRE 1")</f>
        <v>TRIMESTRE 1</v>
      </c>
      <c r="M1173" s="42" t="str">
        <f ca="1">IFERROR(__xludf.DUMMYFUNCTION("""COMPUTED_VALUE"""),"ADOLESCENTES HOMBRES")</f>
        <v>ADOLESCENTES HOMBRES</v>
      </c>
    </row>
    <row r="1174" spans="1:13">
      <c r="A1174" s="42" t="str">
        <f ca="1">IFERROR(__xludf.DUMMYFUNCTION("""COMPUTED_VALUE"""),"2.1.1.12")</f>
        <v>2.1.1.12</v>
      </c>
      <c r="B1174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174" s="42" t="str">
        <f ca="1">IFERROR(__xludf.DUMMYFUNCTION("""COMPUTED_VALUE"""),"3. Operación")</f>
        <v>3. Operación</v>
      </c>
      <c r="D1174" s="42" t="str">
        <f ca="1">IFERROR(__xludf.DUMMYFUNCTION("""COMPUTED_VALUE"""),"Guadalajara en Paz")</f>
        <v>Guadalajara en Paz</v>
      </c>
      <c r="E1174" s="42" t="str">
        <f ca="1">IFERROR(__xludf.DUMMYFUNCTION("""COMPUTED_VALUE"""),"Comedores Comunitarios")</f>
        <v>Comedores Comunitarios</v>
      </c>
      <c r="F1174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174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174" s="42" t="str">
        <f ca="1">IFERROR(__xludf.DUMMYFUNCTION("""COMPUTED_VALUE"""),"MUJ Marzo")</f>
        <v>MUJ Marzo</v>
      </c>
      <c r="I1174" s="42" t="str">
        <f ca="1">IFERROR(__xludf.DUMMYFUNCTION("""COMPUTED_VALUE"""),"Marzo")</f>
        <v>Marzo</v>
      </c>
      <c r="J1174" s="42" t="str">
        <f ca="1">IFERROR(__xludf.DUMMYFUNCTION("""COMPUTED_VALUE"""),"MUJ")</f>
        <v>MUJ</v>
      </c>
      <c r="K1174" s="98">
        <f ca="1">IFERROR(__xludf.DUMMYFUNCTION("""COMPUTED_VALUE"""),94)</f>
        <v>94</v>
      </c>
      <c r="L1174" s="42" t="str">
        <f ca="1">IFERROR(__xludf.DUMMYFUNCTION("""COMPUTED_VALUE"""),"TRIMESTRE 1")</f>
        <v>TRIMESTRE 1</v>
      </c>
      <c r="M1174" s="42" t="str">
        <f ca="1">IFERROR(__xludf.DUMMYFUNCTION("""COMPUTED_VALUE"""),"MUJERES ADULTAS")</f>
        <v>MUJERES ADULTAS</v>
      </c>
    </row>
    <row r="1175" spans="1:13">
      <c r="A1175" s="42" t="str">
        <f ca="1">IFERROR(__xludf.DUMMYFUNCTION("""COMPUTED_VALUE"""),"2.1.1.12")</f>
        <v>2.1.1.12</v>
      </c>
      <c r="B1175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175" s="42" t="str">
        <f ca="1">IFERROR(__xludf.DUMMYFUNCTION("""COMPUTED_VALUE"""),"3. Operación")</f>
        <v>3. Operación</v>
      </c>
      <c r="D1175" s="42" t="str">
        <f ca="1">IFERROR(__xludf.DUMMYFUNCTION("""COMPUTED_VALUE"""),"Guadalajara en Paz")</f>
        <v>Guadalajara en Paz</v>
      </c>
      <c r="E1175" s="42" t="str">
        <f ca="1">IFERROR(__xludf.DUMMYFUNCTION("""COMPUTED_VALUE"""),"Comedores Comunitarios")</f>
        <v>Comedores Comunitarios</v>
      </c>
      <c r="F1175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175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175" s="42" t="str">
        <f ca="1">IFERROR(__xludf.DUMMYFUNCTION("""COMPUTED_VALUE"""),"HOM Marzo")</f>
        <v>HOM Marzo</v>
      </c>
      <c r="I1175" s="42" t="str">
        <f ca="1">IFERROR(__xludf.DUMMYFUNCTION("""COMPUTED_VALUE"""),"Marzo")</f>
        <v>Marzo</v>
      </c>
      <c r="J1175" s="42" t="str">
        <f ca="1">IFERROR(__xludf.DUMMYFUNCTION("""COMPUTED_VALUE"""),"HOM")</f>
        <v>HOM</v>
      </c>
      <c r="K1175" s="98">
        <f ca="1">IFERROR(__xludf.DUMMYFUNCTION("""COMPUTED_VALUE"""),56)</f>
        <v>56</v>
      </c>
      <c r="L1175" s="42" t="str">
        <f ca="1">IFERROR(__xludf.DUMMYFUNCTION("""COMPUTED_VALUE"""),"TRIMESTRE 1")</f>
        <v>TRIMESTRE 1</v>
      </c>
      <c r="M1175" s="42" t="str">
        <f ca="1">IFERROR(__xludf.DUMMYFUNCTION("""COMPUTED_VALUE"""),"HOMBRES ADULTOS")</f>
        <v>HOMBRES ADULTOS</v>
      </c>
    </row>
    <row r="1176" spans="1:13">
      <c r="A1176" s="42" t="str">
        <f ca="1">IFERROR(__xludf.DUMMYFUNCTION("""COMPUTED_VALUE"""),"2.1.1.12")</f>
        <v>2.1.1.12</v>
      </c>
      <c r="B1176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176" s="42" t="str">
        <f ca="1">IFERROR(__xludf.DUMMYFUNCTION("""COMPUTED_VALUE"""),"3. Operación")</f>
        <v>3. Operación</v>
      </c>
      <c r="D1176" s="42" t="str">
        <f ca="1">IFERROR(__xludf.DUMMYFUNCTION("""COMPUTED_VALUE"""),"Guadalajara en Paz")</f>
        <v>Guadalajara en Paz</v>
      </c>
      <c r="E1176" s="42" t="str">
        <f ca="1">IFERROR(__xludf.DUMMYFUNCTION("""COMPUTED_VALUE"""),"Comedores Comunitarios")</f>
        <v>Comedores Comunitarios</v>
      </c>
      <c r="F1176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176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176" s="42" t="str">
        <f ca="1">IFERROR(__xludf.DUMMYFUNCTION("""COMPUTED_VALUE"""),"AMM Marzo")</f>
        <v>AMM Marzo</v>
      </c>
      <c r="I1176" s="42" t="str">
        <f ca="1">IFERROR(__xludf.DUMMYFUNCTION("""COMPUTED_VALUE"""),"Marzo")</f>
        <v>Marzo</v>
      </c>
      <c r="J1176" s="42" t="str">
        <f ca="1">IFERROR(__xludf.DUMMYFUNCTION("""COMPUTED_VALUE"""),"AMM")</f>
        <v>AMM</v>
      </c>
      <c r="K1176" s="98">
        <f ca="1">IFERROR(__xludf.DUMMYFUNCTION("""COMPUTED_VALUE"""),166)</f>
        <v>166</v>
      </c>
      <c r="L1176" s="42" t="str">
        <f ca="1">IFERROR(__xludf.DUMMYFUNCTION("""COMPUTED_VALUE"""),"TRIMESTRE 1")</f>
        <v>TRIMESTRE 1</v>
      </c>
      <c r="M1176" s="42" t="str">
        <f ca="1">IFERROR(__xludf.DUMMYFUNCTION("""COMPUTED_VALUE"""),"ADULTA MAYOR MUJER")</f>
        <v>ADULTA MAYOR MUJER</v>
      </c>
    </row>
    <row r="1177" spans="1:13">
      <c r="A1177" s="42" t="str">
        <f ca="1">IFERROR(__xludf.DUMMYFUNCTION("""COMPUTED_VALUE"""),"2.1.1.12")</f>
        <v>2.1.1.12</v>
      </c>
      <c r="B1177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177" s="42" t="str">
        <f ca="1">IFERROR(__xludf.DUMMYFUNCTION("""COMPUTED_VALUE"""),"3. Operación")</f>
        <v>3. Operación</v>
      </c>
      <c r="D1177" s="42" t="str">
        <f ca="1">IFERROR(__xludf.DUMMYFUNCTION("""COMPUTED_VALUE"""),"Guadalajara en Paz")</f>
        <v>Guadalajara en Paz</v>
      </c>
      <c r="E1177" s="42" t="str">
        <f ca="1">IFERROR(__xludf.DUMMYFUNCTION("""COMPUTED_VALUE"""),"Comedores Comunitarios")</f>
        <v>Comedores Comunitarios</v>
      </c>
      <c r="F1177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177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177" s="42" t="str">
        <f ca="1">IFERROR(__xludf.DUMMYFUNCTION("""COMPUTED_VALUE"""),"AMH Marzo")</f>
        <v>AMH Marzo</v>
      </c>
      <c r="I1177" s="42" t="str">
        <f ca="1">IFERROR(__xludf.DUMMYFUNCTION("""COMPUTED_VALUE"""),"Marzo")</f>
        <v>Marzo</v>
      </c>
      <c r="J1177" s="42" t="str">
        <f ca="1">IFERROR(__xludf.DUMMYFUNCTION("""COMPUTED_VALUE"""),"AMH")</f>
        <v>AMH</v>
      </c>
      <c r="K1177" s="98">
        <f ca="1">IFERROR(__xludf.DUMMYFUNCTION("""COMPUTED_VALUE"""),97)</f>
        <v>97</v>
      </c>
      <c r="L1177" s="42" t="str">
        <f ca="1">IFERROR(__xludf.DUMMYFUNCTION("""COMPUTED_VALUE"""),"TRIMESTRE 1")</f>
        <v>TRIMESTRE 1</v>
      </c>
      <c r="M1177" s="42" t="str">
        <f ca="1">IFERROR(__xludf.DUMMYFUNCTION("""COMPUTED_VALUE"""),"ADULTO MAYOR HOMBRE")</f>
        <v>ADULTO MAYOR HOMBRE</v>
      </c>
    </row>
    <row r="1178" spans="1:13">
      <c r="A1178" s="42" t="str">
        <f ca="1">IFERROR(__xludf.DUMMYFUNCTION("""COMPUTED_VALUE"""),"2.1.1.12")</f>
        <v>2.1.1.12</v>
      </c>
      <c r="B1178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178" s="42" t="str">
        <f ca="1">IFERROR(__xludf.DUMMYFUNCTION("""COMPUTED_VALUE"""),"3. Operación")</f>
        <v>3. Operación</v>
      </c>
      <c r="D1178" s="42" t="str">
        <f ca="1">IFERROR(__xludf.DUMMYFUNCTION("""COMPUTED_VALUE"""),"Guadalajara en Paz")</f>
        <v>Guadalajara en Paz</v>
      </c>
      <c r="E1178" s="42" t="str">
        <f ca="1">IFERROR(__xludf.DUMMYFUNCTION("""COMPUTED_VALUE"""),"Comedores Comunitarios")</f>
        <v>Comedores Comunitarios</v>
      </c>
      <c r="F1178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178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178" s="42" t="str">
        <f ca="1">IFERROR(__xludf.DUMMYFUNCTION("""COMPUTED_VALUE"""),"NAS Abril")</f>
        <v>NAS Abril</v>
      </c>
      <c r="I1178" s="42" t="str">
        <f ca="1">IFERROR(__xludf.DUMMYFUNCTION("""COMPUTED_VALUE"""),"Abril")</f>
        <v>Abril</v>
      </c>
      <c r="J1178" s="42" t="str">
        <f ca="1">IFERROR(__xludf.DUMMYFUNCTION("""COMPUTED_VALUE"""),"NAS")</f>
        <v>NAS</v>
      </c>
      <c r="K1178" s="98">
        <f ca="1">IFERROR(__xludf.DUMMYFUNCTION("""COMPUTED_VALUE"""),18)</f>
        <v>18</v>
      </c>
      <c r="L1178" s="42" t="str">
        <f ca="1">IFERROR(__xludf.DUMMYFUNCTION("""COMPUTED_VALUE"""),"TRIMESTRE 2")</f>
        <v>TRIMESTRE 2</v>
      </c>
      <c r="M1178" s="42" t="str">
        <f ca="1">IFERROR(__xludf.DUMMYFUNCTION("""COMPUTED_VALUE"""),"NIÑAS")</f>
        <v>NIÑAS</v>
      </c>
    </row>
    <row r="1179" spans="1:13">
      <c r="A1179" s="42" t="str">
        <f ca="1">IFERROR(__xludf.DUMMYFUNCTION("""COMPUTED_VALUE"""),"2.1.1.12")</f>
        <v>2.1.1.12</v>
      </c>
      <c r="B1179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179" s="42" t="str">
        <f ca="1">IFERROR(__xludf.DUMMYFUNCTION("""COMPUTED_VALUE"""),"3. Operación")</f>
        <v>3. Operación</v>
      </c>
      <c r="D1179" s="42" t="str">
        <f ca="1">IFERROR(__xludf.DUMMYFUNCTION("""COMPUTED_VALUE"""),"Guadalajara en Paz")</f>
        <v>Guadalajara en Paz</v>
      </c>
      <c r="E1179" s="42" t="str">
        <f ca="1">IFERROR(__xludf.DUMMYFUNCTION("""COMPUTED_VALUE"""),"Comedores Comunitarios")</f>
        <v>Comedores Comunitarios</v>
      </c>
      <c r="F1179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179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179" s="42" t="str">
        <f ca="1">IFERROR(__xludf.DUMMYFUNCTION("""COMPUTED_VALUE"""),"NOS Abril")</f>
        <v>NOS Abril</v>
      </c>
      <c r="I1179" s="42" t="str">
        <f ca="1">IFERROR(__xludf.DUMMYFUNCTION("""COMPUTED_VALUE"""),"Abril")</f>
        <v>Abril</v>
      </c>
      <c r="J1179" s="42" t="str">
        <f ca="1">IFERROR(__xludf.DUMMYFUNCTION("""COMPUTED_VALUE"""),"NOS")</f>
        <v>NOS</v>
      </c>
      <c r="K1179" s="98">
        <f ca="1">IFERROR(__xludf.DUMMYFUNCTION("""COMPUTED_VALUE"""),26)</f>
        <v>26</v>
      </c>
      <c r="L1179" s="42" t="str">
        <f ca="1">IFERROR(__xludf.DUMMYFUNCTION("""COMPUTED_VALUE"""),"TRIMESTRE 2")</f>
        <v>TRIMESTRE 2</v>
      </c>
      <c r="M1179" s="42" t="str">
        <f ca="1">IFERROR(__xludf.DUMMYFUNCTION("""COMPUTED_VALUE"""),"NIÑOS")</f>
        <v>NIÑOS</v>
      </c>
    </row>
    <row r="1180" spans="1:13">
      <c r="A1180" s="42" t="str">
        <f ca="1">IFERROR(__xludf.DUMMYFUNCTION("""COMPUTED_VALUE"""),"2.1.1.12")</f>
        <v>2.1.1.12</v>
      </c>
      <c r="B1180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180" s="42" t="str">
        <f ca="1">IFERROR(__xludf.DUMMYFUNCTION("""COMPUTED_VALUE"""),"3. Operación")</f>
        <v>3. Operación</v>
      </c>
      <c r="D1180" s="42" t="str">
        <f ca="1">IFERROR(__xludf.DUMMYFUNCTION("""COMPUTED_VALUE"""),"Guadalajara en Paz")</f>
        <v>Guadalajara en Paz</v>
      </c>
      <c r="E1180" s="42" t="str">
        <f ca="1">IFERROR(__xludf.DUMMYFUNCTION("""COMPUTED_VALUE"""),"Comedores Comunitarios")</f>
        <v>Comedores Comunitarios</v>
      </c>
      <c r="F1180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180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180" s="42" t="str">
        <f ca="1">IFERROR(__xludf.DUMMYFUNCTION("""COMPUTED_VALUE"""),"AM ABRIL")</f>
        <v>AM ABRIL</v>
      </c>
      <c r="I1180" s="42" t="str">
        <f ca="1">IFERROR(__xludf.DUMMYFUNCTION("""COMPUTED_VALUE"""),"Abril")</f>
        <v>Abril</v>
      </c>
      <c r="J1180" s="42" t="str">
        <f ca="1">IFERROR(__xludf.DUMMYFUNCTION("""COMPUTED_VALUE"""),"AM")</f>
        <v>AM</v>
      </c>
      <c r="K1180" s="98">
        <f ca="1">IFERROR(__xludf.DUMMYFUNCTION("""COMPUTED_VALUE"""),26)</f>
        <v>26</v>
      </c>
      <c r="L1180" s="42" t="str">
        <f ca="1">IFERROR(__xludf.DUMMYFUNCTION("""COMPUTED_VALUE"""),"TRIMESTRE 2")</f>
        <v>TRIMESTRE 2</v>
      </c>
      <c r="M1180" s="42" t="str">
        <f ca="1">IFERROR(__xludf.DUMMYFUNCTION("""COMPUTED_VALUE"""),"ADOLESCENTES MUJERES")</f>
        <v>ADOLESCENTES MUJERES</v>
      </c>
    </row>
    <row r="1181" spans="1:13">
      <c r="A1181" s="42" t="str">
        <f ca="1">IFERROR(__xludf.DUMMYFUNCTION("""COMPUTED_VALUE"""),"2.1.1.12")</f>
        <v>2.1.1.12</v>
      </c>
      <c r="B1181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181" s="42" t="str">
        <f ca="1">IFERROR(__xludf.DUMMYFUNCTION("""COMPUTED_VALUE"""),"3. Operación")</f>
        <v>3. Operación</v>
      </c>
      <c r="D1181" s="42" t="str">
        <f ca="1">IFERROR(__xludf.DUMMYFUNCTION("""COMPUTED_VALUE"""),"Guadalajara en Paz")</f>
        <v>Guadalajara en Paz</v>
      </c>
      <c r="E1181" s="42" t="str">
        <f ca="1">IFERROR(__xludf.DUMMYFUNCTION("""COMPUTED_VALUE"""),"Comedores Comunitarios")</f>
        <v>Comedores Comunitarios</v>
      </c>
      <c r="F1181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181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181" s="42" t="str">
        <f ca="1">IFERROR(__xludf.DUMMYFUNCTION("""COMPUTED_VALUE"""),"AH ABRIL")</f>
        <v>AH ABRIL</v>
      </c>
      <c r="I1181" s="42" t="str">
        <f ca="1">IFERROR(__xludf.DUMMYFUNCTION("""COMPUTED_VALUE"""),"Abril")</f>
        <v>Abril</v>
      </c>
      <c r="J1181" s="42" t="str">
        <f ca="1">IFERROR(__xludf.DUMMYFUNCTION("""COMPUTED_VALUE"""),"AH")</f>
        <v>AH</v>
      </c>
      <c r="K1181" s="98">
        <f ca="1">IFERROR(__xludf.DUMMYFUNCTION("""COMPUTED_VALUE"""),23)</f>
        <v>23</v>
      </c>
      <c r="L1181" s="42" t="str">
        <f ca="1">IFERROR(__xludf.DUMMYFUNCTION("""COMPUTED_VALUE"""),"TRIMESTRE 2")</f>
        <v>TRIMESTRE 2</v>
      </c>
      <c r="M1181" s="42" t="str">
        <f ca="1">IFERROR(__xludf.DUMMYFUNCTION("""COMPUTED_VALUE"""),"ADOLESCENTES HOMBRES")</f>
        <v>ADOLESCENTES HOMBRES</v>
      </c>
    </row>
    <row r="1182" spans="1:13">
      <c r="A1182" s="42" t="str">
        <f ca="1">IFERROR(__xludf.DUMMYFUNCTION("""COMPUTED_VALUE"""),"2.1.1.12")</f>
        <v>2.1.1.12</v>
      </c>
      <c r="B1182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182" s="42" t="str">
        <f ca="1">IFERROR(__xludf.DUMMYFUNCTION("""COMPUTED_VALUE"""),"3. Operación")</f>
        <v>3. Operación</v>
      </c>
      <c r="D1182" s="42" t="str">
        <f ca="1">IFERROR(__xludf.DUMMYFUNCTION("""COMPUTED_VALUE"""),"Guadalajara en Paz")</f>
        <v>Guadalajara en Paz</v>
      </c>
      <c r="E1182" s="42" t="str">
        <f ca="1">IFERROR(__xludf.DUMMYFUNCTION("""COMPUTED_VALUE"""),"Comedores Comunitarios")</f>
        <v>Comedores Comunitarios</v>
      </c>
      <c r="F1182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182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182" s="42" t="str">
        <f ca="1">IFERROR(__xludf.DUMMYFUNCTION("""COMPUTED_VALUE"""),"MUJ Abril")</f>
        <v>MUJ Abril</v>
      </c>
      <c r="I1182" s="42" t="str">
        <f ca="1">IFERROR(__xludf.DUMMYFUNCTION("""COMPUTED_VALUE"""),"Abril")</f>
        <v>Abril</v>
      </c>
      <c r="J1182" s="42" t="str">
        <f ca="1">IFERROR(__xludf.DUMMYFUNCTION("""COMPUTED_VALUE"""),"MUJ")</f>
        <v>MUJ</v>
      </c>
      <c r="K1182" s="98">
        <f ca="1">IFERROR(__xludf.DUMMYFUNCTION("""COMPUTED_VALUE"""),97)</f>
        <v>97</v>
      </c>
      <c r="L1182" s="42" t="str">
        <f ca="1">IFERROR(__xludf.DUMMYFUNCTION("""COMPUTED_VALUE"""),"TRIMESTRE 2")</f>
        <v>TRIMESTRE 2</v>
      </c>
      <c r="M1182" s="42" t="str">
        <f ca="1">IFERROR(__xludf.DUMMYFUNCTION("""COMPUTED_VALUE"""),"MUJERES ADULTAS")</f>
        <v>MUJERES ADULTAS</v>
      </c>
    </row>
    <row r="1183" spans="1:13">
      <c r="A1183" s="42" t="str">
        <f ca="1">IFERROR(__xludf.DUMMYFUNCTION("""COMPUTED_VALUE"""),"2.1.1.12")</f>
        <v>2.1.1.12</v>
      </c>
      <c r="B1183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183" s="42" t="str">
        <f ca="1">IFERROR(__xludf.DUMMYFUNCTION("""COMPUTED_VALUE"""),"3. Operación")</f>
        <v>3. Operación</v>
      </c>
      <c r="D1183" s="42" t="str">
        <f ca="1">IFERROR(__xludf.DUMMYFUNCTION("""COMPUTED_VALUE"""),"Guadalajara en Paz")</f>
        <v>Guadalajara en Paz</v>
      </c>
      <c r="E1183" s="42" t="str">
        <f ca="1">IFERROR(__xludf.DUMMYFUNCTION("""COMPUTED_VALUE"""),"Comedores Comunitarios")</f>
        <v>Comedores Comunitarios</v>
      </c>
      <c r="F1183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183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183" s="42" t="str">
        <f ca="1">IFERROR(__xludf.DUMMYFUNCTION("""COMPUTED_VALUE"""),"HOM Abril")</f>
        <v>HOM Abril</v>
      </c>
      <c r="I1183" s="42" t="str">
        <f ca="1">IFERROR(__xludf.DUMMYFUNCTION("""COMPUTED_VALUE"""),"Abril")</f>
        <v>Abril</v>
      </c>
      <c r="J1183" s="42" t="str">
        <f ca="1">IFERROR(__xludf.DUMMYFUNCTION("""COMPUTED_VALUE"""),"HOM")</f>
        <v>HOM</v>
      </c>
      <c r="K1183" s="98">
        <f ca="1">IFERROR(__xludf.DUMMYFUNCTION("""COMPUTED_VALUE"""),53)</f>
        <v>53</v>
      </c>
      <c r="L1183" s="42" t="str">
        <f ca="1">IFERROR(__xludf.DUMMYFUNCTION("""COMPUTED_VALUE"""),"TRIMESTRE 2")</f>
        <v>TRIMESTRE 2</v>
      </c>
      <c r="M1183" s="42" t="str">
        <f ca="1">IFERROR(__xludf.DUMMYFUNCTION("""COMPUTED_VALUE"""),"HOMBRES ADULTOS")</f>
        <v>HOMBRES ADULTOS</v>
      </c>
    </row>
    <row r="1184" spans="1:13">
      <c r="A1184" s="42" t="str">
        <f ca="1">IFERROR(__xludf.DUMMYFUNCTION("""COMPUTED_VALUE"""),"2.1.1.12")</f>
        <v>2.1.1.12</v>
      </c>
      <c r="B1184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184" s="42" t="str">
        <f ca="1">IFERROR(__xludf.DUMMYFUNCTION("""COMPUTED_VALUE"""),"3. Operación")</f>
        <v>3. Operación</v>
      </c>
      <c r="D1184" s="42" t="str">
        <f ca="1">IFERROR(__xludf.DUMMYFUNCTION("""COMPUTED_VALUE"""),"Guadalajara en Paz")</f>
        <v>Guadalajara en Paz</v>
      </c>
      <c r="E1184" s="42" t="str">
        <f ca="1">IFERROR(__xludf.DUMMYFUNCTION("""COMPUTED_VALUE"""),"Comedores Comunitarios")</f>
        <v>Comedores Comunitarios</v>
      </c>
      <c r="F1184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184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184" s="42" t="str">
        <f ca="1">IFERROR(__xludf.DUMMYFUNCTION("""COMPUTED_VALUE"""),"AMM Abril")</f>
        <v>AMM Abril</v>
      </c>
      <c r="I1184" s="42" t="str">
        <f ca="1">IFERROR(__xludf.DUMMYFUNCTION("""COMPUTED_VALUE"""),"Abril")</f>
        <v>Abril</v>
      </c>
      <c r="J1184" s="42" t="str">
        <f ca="1">IFERROR(__xludf.DUMMYFUNCTION("""COMPUTED_VALUE"""),"AMM")</f>
        <v>AMM</v>
      </c>
      <c r="K1184" s="98">
        <f ca="1">IFERROR(__xludf.DUMMYFUNCTION("""COMPUTED_VALUE"""),167)</f>
        <v>167</v>
      </c>
      <c r="L1184" s="42" t="str">
        <f ca="1">IFERROR(__xludf.DUMMYFUNCTION("""COMPUTED_VALUE"""),"TRIMESTRE 2")</f>
        <v>TRIMESTRE 2</v>
      </c>
      <c r="M1184" s="42" t="str">
        <f ca="1">IFERROR(__xludf.DUMMYFUNCTION("""COMPUTED_VALUE"""),"ADULTA MAYOR MUJER")</f>
        <v>ADULTA MAYOR MUJER</v>
      </c>
    </row>
    <row r="1185" spans="1:13">
      <c r="A1185" s="42" t="str">
        <f ca="1">IFERROR(__xludf.DUMMYFUNCTION("""COMPUTED_VALUE"""),"2.1.1.12")</f>
        <v>2.1.1.12</v>
      </c>
      <c r="B1185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185" s="42" t="str">
        <f ca="1">IFERROR(__xludf.DUMMYFUNCTION("""COMPUTED_VALUE"""),"3. Operación")</f>
        <v>3. Operación</v>
      </c>
      <c r="D1185" s="42" t="str">
        <f ca="1">IFERROR(__xludf.DUMMYFUNCTION("""COMPUTED_VALUE"""),"Guadalajara en Paz")</f>
        <v>Guadalajara en Paz</v>
      </c>
      <c r="E1185" s="42" t="str">
        <f ca="1">IFERROR(__xludf.DUMMYFUNCTION("""COMPUTED_VALUE"""),"Comedores Comunitarios")</f>
        <v>Comedores Comunitarios</v>
      </c>
      <c r="F1185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185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185" s="42" t="str">
        <f ca="1">IFERROR(__xludf.DUMMYFUNCTION("""COMPUTED_VALUE"""),"AMH Abril")</f>
        <v>AMH Abril</v>
      </c>
      <c r="I1185" s="42" t="str">
        <f ca="1">IFERROR(__xludf.DUMMYFUNCTION("""COMPUTED_VALUE"""),"Abril")</f>
        <v>Abril</v>
      </c>
      <c r="J1185" s="42" t="str">
        <f ca="1">IFERROR(__xludf.DUMMYFUNCTION("""COMPUTED_VALUE"""),"AMH")</f>
        <v>AMH</v>
      </c>
      <c r="K1185" s="98">
        <f ca="1">IFERROR(__xludf.DUMMYFUNCTION("""COMPUTED_VALUE"""),100)</f>
        <v>100</v>
      </c>
      <c r="L1185" s="42" t="str">
        <f ca="1">IFERROR(__xludf.DUMMYFUNCTION("""COMPUTED_VALUE"""),"TRIMESTRE 2")</f>
        <v>TRIMESTRE 2</v>
      </c>
      <c r="M1185" s="42" t="str">
        <f ca="1">IFERROR(__xludf.DUMMYFUNCTION("""COMPUTED_VALUE"""),"ADULTO MAYOR HOMBRE")</f>
        <v>ADULTO MAYOR HOMBRE</v>
      </c>
    </row>
    <row r="1186" spans="1:13">
      <c r="A1186" s="42" t="str">
        <f ca="1">IFERROR(__xludf.DUMMYFUNCTION("""COMPUTED_VALUE"""),"2.1.1.12")</f>
        <v>2.1.1.12</v>
      </c>
      <c r="B1186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186" s="42" t="str">
        <f ca="1">IFERROR(__xludf.DUMMYFUNCTION("""COMPUTED_VALUE"""),"3. Operación")</f>
        <v>3. Operación</v>
      </c>
      <c r="D1186" s="42" t="str">
        <f ca="1">IFERROR(__xludf.DUMMYFUNCTION("""COMPUTED_VALUE"""),"Guadalajara en Paz")</f>
        <v>Guadalajara en Paz</v>
      </c>
      <c r="E1186" s="42" t="str">
        <f ca="1">IFERROR(__xludf.DUMMYFUNCTION("""COMPUTED_VALUE"""),"Comedores Comunitarios")</f>
        <v>Comedores Comunitarios</v>
      </c>
      <c r="F1186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186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186" s="42" t="str">
        <f ca="1">IFERROR(__xludf.DUMMYFUNCTION("""COMPUTED_VALUE"""),"NAS Mayo")</f>
        <v>NAS Mayo</v>
      </c>
      <c r="I1186" s="42" t="str">
        <f ca="1">IFERROR(__xludf.DUMMYFUNCTION("""COMPUTED_VALUE"""),"Mayo")</f>
        <v>Mayo</v>
      </c>
      <c r="J1186" s="42" t="str">
        <f ca="1">IFERROR(__xludf.DUMMYFUNCTION("""COMPUTED_VALUE"""),"NAS")</f>
        <v>NAS</v>
      </c>
      <c r="K1186" s="98">
        <f ca="1">IFERROR(__xludf.DUMMYFUNCTION("""COMPUTED_VALUE"""),20)</f>
        <v>20</v>
      </c>
      <c r="L1186" s="42" t="str">
        <f ca="1">IFERROR(__xludf.DUMMYFUNCTION("""COMPUTED_VALUE"""),"TRIMESTRE 2")</f>
        <v>TRIMESTRE 2</v>
      </c>
      <c r="M1186" s="42" t="str">
        <f ca="1">IFERROR(__xludf.DUMMYFUNCTION("""COMPUTED_VALUE"""),"NIÑAS")</f>
        <v>NIÑAS</v>
      </c>
    </row>
    <row r="1187" spans="1:13">
      <c r="A1187" s="42" t="str">
        <f ca="1">IFERROR(__xludf.DUMMYFUNCTION("""COMPUTED_VALUE"""),"2.1.1.12")</f>
        <v>2.1.1.12</v>
      </c>
      <c r="B1187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187" s="42" t="str">
        <f ca="1">IFERROR(__xludf.DUMMYFUNCTION("""COMPUTED_VALUE"""),"3. Operación")</f>
        <v>3. Operación</v>
      </c>
      <c r="D1187" s="42" t="str">
        <f ca="1">IFERROR(__xludf.DUMMYFUNCTION("""COMPUTED_VALUE"""),"Guadalajara en Paz")</f>
        <v>Guadalajara en Paz</v>
      </c>
      <c r="E1187" s="42" t="str">
        <f ca="1">IFERROR(__xludf.DUMMYFUNCTION("""COMPUTED_VALUE"""),"Comedores Comunitarios")</f>
        <v>Comedores Comunitarios</v>
      </c>
      <c r="F1187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187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187" s="42" t="str">
        <f ca="1">IFERROR(__xludf.DUMMYFUNCTION("""COMPUTED_VALUE"""),"NOS Mayo")</f>
        <v>NOS Mayo</v>
      </c>
      <c r="I1187" s="42" t="str">
        <f ca="1">IFERROR(__xludf.DUMMYFUNCTION("""COMPUTED_VALUE"""),"Mayo")</f>
        <v>Mayo</v>
      </c>
      <c r="J1187" s="42" t="str">
        <f ca="1">IFERROR(__xludf.DUMMYFUNCTION("""COMPUTED_VALUE"""),"NOS")</f>
        <v>NOS</v>
      </c>
      <c r="K1187" s="98">
        <f ca="1">IFERROR(__xludf.DUMMYFUNCTION("""COMPUTED_VALUE"""),26)</f>
        <v>26</v>
      </c>
      <c r="L1187" s="42" t="str">
        <f ca="1">IFERROR(__xludf.DUMMYFUNCTION("""COMPUTED_VALUE"""),"TRIMESTRE 2")</f>
        <v>TRIMESTRE 2</v>
      </c>
      <c r="M1187" s="42" t="str">
        <f ca="1">IFERROR(__xludf.DUMMYFUNCTION("""COMPUTED_VALUE"""),"NIÑOS")</f>
        <v>NIÑOS</v>
      </c>
    </row>
    <row r="1188" spans="1:13">
      <c r="A1188" s="42" t="str">
        <f ca="1">IFERROR(__xludf.DUMMYFUNCTION("""COMPUTED_VALUE"""),"2.1.1.12")</f>
        <v>2.1.1.12</v>
      </c>
      <c r="B1188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188" s="42" t="str">
        <f ca="1">IFERROR(__xludf.DUMMYFUNCTION("""COMPUTED_VALUE"""),"3. Operación")</f>
        <v>3. Operación</v>
      </c>
      <c r="D1188" s="42" t="str">
        <f ca="1">IFERROR(__xludf.DUMMYFUNCTION("""COMPUTED_VALUE"""),"Guadalajara en Paz")</f>
        <v>Guadalajara en Paz</v>
      </c>
      <c r="E1188" s="42" t="str">
        <f ca="1">IFERROR(__xludf.DUMMYFUNCTION("""COMPUTED_VALUE"""),"Comedores Comunitarios")</f>
        <v>Comedores Comunitarios</v>
      </c>
      <c r="F1188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188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188" s="42" t="str">
        <f ca="1">IFERROR(__xludf.DUMMYFUNCTION("""COMPUTED_VALUE"""),"AM MAYO")</f>
        <v>AM MAYO</v>
      </c>
      <c r="I1188" s="42" t="str">
        <f ca="1">IFERROR(__xludf.DUMMYFUNCTION("""COMPUTED_VALUE"""),"Mayo")</f>
        <v>Mayo</v>
      </c>
      <c r="J1188" s="42" t="str">
        <f ca="1">IFERROR(__xludf.DUMMYFUNCTION("""COMPUTED_VALUE"""),"AM")</f>
        <v>AM</v>
      </c>
      <c r="K1188" s="98">
        <f ca="1">IFERROR(__xludf.DUMMYFUNCTION("""COMPUTED_VALUE"""),26)</f>
        <v>26</v>
      </c>
      <c r="L1188" s="42" t="str">
        <f ca="1">IFERROR(__xludf.DUMMYFUNCTION("""COMPUTED_VALUE"""),"TRIMESTRE 2")</f>
        <v>TRIMESTRE 2</v>
      </c>
      <c r="M1188" s="42" t="str">
        <f ca="1">IFERROR(__xludf.DUMMYFUNCTION("""COMPUTED_VALUE"""),"ADOLESCENTES MUJERES")</f>
        <v>ADOLESCENTES MUJERES</v>
      </c>
    </row>
    <row r="1189" spans="1:13">
      <c r="A1189" s="42" t="str">
        <f ca="1">IFERROR(__xludf.DUMMYFUNCTION("""COMPUTED_VALUE"""),"2.1.1.12")</f>
        <v>2.1.1.12</v>
      </c>
      <c r="B1189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189" s="42" t="str">
        <f ca="1">IFERROR(__xludf.DUMMYFUNCTION("""COMPUTED_VALUE"""),"3. Operación")</f>
        <v>3. Operación</v>
      </c>
      <c r="D1189" s="42" t="str">
        <f ca="1">IFERROR(__xludf.DUMMYFUNCTION("""COMPUTED_VALUE"""),"Guadalajara en Paz")</f>
        <v>Guadalajara en Paz</v>
      </c>
      <c r="E1189" s="42" t="str">
        <f ca="1">IFERROR(__xludf.DUMMYFUNCTION("""COMPUTED_VALUE"""),"Comedores Comunitarios")</f>
        <v>Comedores Comunitarios</v>
      </c>
      <c r="F1189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189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189" s="42" t="str">
        <f ca="1">IFERROR(__xludf.DUMMYFUNCTION("""COMPUTED_VALUE"""),"AH MAYO")</f>
        <v>AH MAYO</v>
      </c>
      <c r="I1189" s="42" t="str">
        <f ca="1">IFERROR(__xludf.DUMMYFUNCTION("""COMPUTED_VALUE"""),"Mayo")</f>
        <v>Mayo</v>
      </c>
      <c r="J1189" s="42" t="str">
        <f ca="1">IFERROR(__xludf.DUMMYFUNCTION("""COMPUTED_VALUE"""),"AH")</f>
        <v>AH</v>
      </c>
      <c r="K1189" s="98">
        <f ca="1">IFERROR(__xludf.DUMMYFUNCTION("""COMPUTED_VALUE"""),23)</f>
        <v>23</v>
      </c>
      <c r="L1189" s="42" t="str">
        <f ca="1">IFERROR(__xludf.DUMMYFUNCTION("""COMPUTED_VALUE"""),"TRIMESTRE 2")</f>
        <v>TRIMESTRE 2</v>
      </c>
      <c r="M1189" s="42" t="str">
        <f ca="1">IFERROR(__xludf.DUMMYFUNCTION("""COMPUTED_VALUE"""),"ADOLESCENTES HOMBRES")</f>
        <v>ADOLESCENTES HOMBRES</v>
      </c>
    </row>
    <row r="1190" spans="1:13">
      <c r="A1190" s="42" t="str">
        <f ca="1">IFERROR(__xludf.DUMMYFUNCTION("""COMPUTED_VALUE"""),"2.1.1.12")</f>
        <v>2.1.1.12</v>
      </c>
      <c r="B1190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190" s="42" t="str">
        <f ca="1">IFERROR(__xludf.DUMMYFUNCTION("""COMPUTED_VALUE"""),"3. Operación")</f>
        <v>3. Operación</v>
      </c>
      <c r="D1190" s="42" t="str">
        <f ca="1">IFERROR(__xludf.DUMMYFUNCTION("""COMPUTED_VALUE"""),"Guadalajara en Paz")</f>
        <v>Guadalajara en Paz</v>
      </c>
      <c r="E1190" s="42" t="str">
        <f ca="1">IFERROR(__xludf.DUMMYFUNCTION("""COMPUTED_VALUE"""),"Comedores Comunitarios")</f>
        <v>Comedores Comunitarios</v>
      </c>
      <c r="F1190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190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190" s="42" t="str">
        <f ca="1">IFERROR(__xludf.DUMMYFUNCTION("""COMPUTED_VALUE"""),"MUJ Mayo")</f>
        <v>MUJ Mayo</v>
      </c>
      <c r="I1190" s="42" t="str">
        <f ca="1">IFERROR(__xludf.DUMMYFUNCTION("""COMPUTED_VALUE"""),"Mayo")</f>
        <v>Mayo</v>
      </c>
      <c r="J1190" s="42" t="str">
        <f ca="1">IFERROR(__xludf.DUMMYFUNCTION("""COMPUTED_VALUE"""),"MUJ")</f>
        <v>MUJ</v>
      </c>
      <c r="K1190" s="98">
        <f ca="1">IFERROR(__xludf.DUMMYFUNCTION("""COMPUTED_VALUE"""),96)</f>
        <v>96</v>
      </c>
      <c r="L1190" s="42" t="str">
        <f ca="1">IFERROR(__xludf.DUMMYFUNCTION("""COMPUTED_VALUE"""),"TRIMESTRE 2")</f>
        <v>TRIMESTRE 2</v>
      </c>
      <c r="M1190" s="42" t="str">
        <f ca="1">IFERROR(__xludf.DUMMYFUNCTION("""COMPUTED_VALUE"""),"MUJERES ADULTAS")</f>
        <v>MUJERES ADULTAS</v>
      </c>
    </row>
    <row r="1191" spans="1:13">
      <c r="A1191" s="42" t="str">
        <f ca="1">IFERROR(__xludf.DUMMYFUNCTION("""COMPUTED_VALUE"""),"2.1.1.12")</f>
        <v>2.1.1.12</v>
      </c>
      <c r="B1191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191" s="42" t="str">
        <f ca="1">IFERROR(__xludf.DUMMYFUNCTION("""COMPUTED_VALUE"""),"3. Operación")</f>
        <v>3. Operación</v>
      </c>
      <c r="D1191" s="42" t="str">
        <f ca="1">IFERROR(__xludf.DUMMYFUNCTION("""COMPUTED_VALUE"""),"Guadalajara en Paz")</f>
        <v>Guadalajara en Paz</v>
      </c>
      <c r="E1191" s="42" t="str">
        <f ca="1">IFERROR(__xludf.DUMMYFUNCTION("""COMPUTED_VALUE"""),"Comedores Comunitarios")</f>
        <v>Comedores Comunitarios</v>
      </c>
      <c r="F1191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191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191" s="42" t="str">
        <f ca="1">IFERROR(__xludf.DUMMYFUNCTION("""COMPUTED_VALUE"""),"HOM Mayo")</f>
        <v>HOM Mayo</v>
      </c>
      <c r="I1191" s="42" t="str">
        <f ca="1">IFERROR(__xludf.DUMMYFUNCTION("""COMPUTED_VALUE"""),"Mayo")</f>
        <v>Mayo</v>
      </c>
      <c r="J1191" s="42" t="str">
        <f ca="1">IFERROR(__xludf.DUMMYFUNCTION("""COMPUTED_VALUE"""),"HOM")</f>
        <v>HOM</v>
      </c>
      <c r="K1191" s="98">
        <f ca="1">IFERROR(__xludf.DUMMYFUNCTION("""COMPUTED_VALUE"""),53)</f>
        <v>53</v>
      </c>
      <c r="L1191" s="42" t="str">
        <f ca="1">IFERROR(__xludf.DUMMYFUNCTION("""COMPUTED_VALUE"""),"TRIMESTRE 2")</f>
        <v>TRIMESTRE 2</v>
      </c>
      <c r="M1191" s="42" t="str">
        <f ca="1">IFERROR(__xludf.DUMMYFUNCTION("""COMPUTED_VALUE"""),"HOMBRES ADULTOS")</f>
        <v>HOMBRES ADULTOS</v>
      </c>
    </row>
    <row r="1192" spans="1:13">
      <c r="A1192" s="42" t="str">
        <f ca="1">IFERROR(__xludf.DUMMYFUNCTION("""COMPUTED_VALUE"""),"2.1.1.12")</f>
        <v>2.1.1.12</v>
      </c>
      <c r="B1192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192" s="42" t="str">
        <f ca="1">IFERROR(__xludf.DUMMYFUNCTION("""COMPUTED_VALUE"""),"3. Operación")</f>
        <v>3. Operación</v>
      </c>
      <c r="D1192" s="42" t="str">
        <f ca="1">IFERROR(__xludf.DUMMYFUNCTION("""COMPUTED_VALUE"""),"Guadalajara en Paz")</f>
        <v>Guadalajara en Paz</v>
      </c>
      <c r="E1192" s="42" t="str">
        <f ca="1">IFERROR(__xludf.DUMMYFUNCTION("""COMPUTED_VALUE"""),"Comedores Comunitarios")</f>
        <v>Comedores Comunitarios</v>
      </c>
      <c r="F1192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192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192" s="42" t="str">
        <f ca="1">IFERROR(__xludf.DUMMYFUNCTION("""COMPUTED_VALUE"""),"AMM Mayo")</f>
        <v>AMM Mayo</v>
      </c>
      <c r="I1192" s="42" t="str">
        <f ca="1">IFERROR(__xludf.DUMMYFUNCTION("""COMPUTED_VALUE"""),"Mayo")</f>
        <v>Mayo</v>
      </c>
      <c r="J1192" s="42" t="str">
        <f ca="1">IFERROR(__xludf.DUMMYFUNCTION("""COMPUTED_VALUE"""),"AMM")</f>
        <v>AMM</v>
      </c>
      <c r="K1192" s="98">
        <f ca="1">IFERROR(__xludf.DUMMYFUNCTION("""COMPUTED_VALUE"""),167)</f>
        <v>167</v>
      </c>
      <c r="L1192" s="42" t="str">
        <f ca="1">IFERROR(__xludf.DUMMYFUNCTION("""COMPUTED_VALUE"""),"TRIMESTRE 2")</f>
        <v>TRIMESTRE 2</v>
      </c>
      <c r="M1192" s="42" t="str">
        <f ca="1">IFERROR(__xludf.DUMMYFUNCTION("""COMPUTED_VALUE"""),"ADULTA MAYOR MUJER")</f>
        <v>ADULTA MAYOR MUJER</v>
      </c>
    </row>
    <row r="1193" spans="1:13">
      <c r="A1193" s="42" t="str">
        <f ca="1">IFERROR(__xludf.DUMMYFUNCTION("""COMPUTED_VALUE"""),"2.1.1.12")</f>
        <v>2.1.1.12</v>
      </c>
      <c r="B1193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193" s="42" t="str">
        <f ca="1">IFERROR(__xludf.DUMMYFUNCTION("""COMPUTED_VALUE"""),"3. Operación")</f>
        <v>3. Operación</v>
      </c>
      <c r="D1193" s="42" t="str">
        <f ca="1">IFERROR(__xludf.DUMMYFUNCTION("""COMPUTED_VALUE"""),"Guadalajara en Paz")</f>
        <v>Guadalajara en Paz</v>
      </c>
      <c r="E1193" s="42" t="str">
        <f ca="1">IFERROR(__xludf.DUMMYFUNCTION("""COMPUTED_VALUE"""),"Comedores Comunitarios")</f>
        <v>Comedores Comunitarios</v>
      </c>
      <c r="F1193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193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193" s="42" t="str">
        <f ca="1">IFERROR(__xludf.DUMMYFUNCTION("""COMPUTED_VALUE"""),"AMH Mayo")</f>
        <v>AMH Mayo</v>
      </c>
      <c r="I1193" s="42" t="str">
        <f ca="1">IFERROR(__xludf.DUMMYFUNCTION("""COMPUTED_VALUE"""),"Mayo")</f>
        <v>Mayo</v>
      </c>
      <c r="J1193" s="42" t="str">
        <f ca="1">IFERROR(__xludf.DUMMYFUNCTION("""COMPUTED_VALUE"""),"AMH")</f>
        <v>AMH</v>
      </c>
      <c r="K1193" s="98">
        <f ca="1">IFERROR(__xludf.DUMMYFUNCTION("""COMPUTED_VALUE"""),99)</f>
        <v>99</v>
      </c>
      <c r="L1193" s="42" t="str">
        <f ca="1">IFERROR(__xludf.DUMMYFUNCTION("""COMPUTED_VALUE"""),"TRIMESTRE 2")</f>
        <v>TRIMESTRE 2</v>
      </c>
      <c r="M1193" s="42" t="str">
        <f ca="1">IFERROR(__xludf.DUMMYFUNCTION("""COMPUTED_VALUE"""),"ADULTO MAYOR HOMBRE")</f>
        <v>ADULTO MAYOR HOMBRE</v>
      </c>
    </row>
    <row r="1194" spans="1:13">
      <c r="A1194" s="42" t="str">
        <f ca="1">IFERROR(__xludf.DUMMYFUNCTION("""COMPUTED_VALUE"""),"2.1.1.12")</f>
        <v>2.1.1.12</v>
      </c>
      <c r="B1194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194" s="42" t="str">
        <f ca="1">IFERROR(__xludf.DUMMYFUNCTION("""COMPUTED_VALUE"""),"3. Operación")</f>
        <v>3. Operación</v>
      </c>
      <c r="D1194" s="42" t="str">
        <f ca="1">IFERROR(__xludf.DUMMYFUNCTION("""COMPUTED_VALUE"""),"Guadalajara en Paz")</f>
        <v>Guadalajara en Paz</v>
      </c>
      <c r="E1194" s="42" t="str">
        <f ca="1">IFERROR(__xludf.DUMMYFUNCTION("""COMPUTED_VALUE"""),"Comedores Comunitarios")</f>
        <v>Comedores Comunitarios</v>
      </c>
      <c r="F1194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194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194" s="42" t="str">
        <f ca="1">IFERROR(__xludf.DUMMYFUNCTION("""COMPUTED_VALUE"""),"NAS Junio")</f>
        <v>NAS Junio</v>
      </c>
      <c r="I1194" s="42" t="str">
        <f ca="1">IFERROR(__xludf.DUMMYFUNCTION("""COMPUTED_VALUE"""),"Junio")</f>
        <v>Junio</v>
      </c>
      <c r="J1194" s="42" t="str">
        <f ca="1">IFERROR(__xludf.DUMMYFUNCTION("""COMPUTED_VALUE"""),"NAS")</f>
        <v>NAS</v>
      </c>
      <c r="K1194" s="98">
        <f ca="1">IFERROR(__xludf.DUMMYFUNCTION("""COMPUTED_VALUE"""),20)</f>
        <v>20</v>
      </c>
      <c r="L1194" s="42" t="str">
        <f ca="1">IFERROR(__xludf.DUMMYFUNCTION("""COMPUTED_VALUE"""),"TRIMESTRE 2")</f>
        <v>TRIMESTRE 2</v>
      </c>
      <c r="M1194" s="42" t="str">
        <f ca="1">IFERROR(__xludf.DUMMYFUNCTION("""COMPUTED_VALUE"""),"NIÑAS")</f>
        <v>NIÑAS</v>
      </c>
    </row>
    <row r="1195" spans="1:13">
      <c r="A1195" s="42" t="str">
        <f ca="1">IFERROR(__xludf.DUMMYFUNCTION("""COMPUTED_VALUE"""),"2.1.1.12")</f>
        <v>2.1.1.12</v>
      </c>
      <c r="B1195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195" s="42" t="str">
        <f ca="1">IFERROR(__xludf.DUMMYFUNCTION("""COMPUTED_VALUE"""),"3. Operación")</f>
        <v>3. Operación</v>
      </c>
      <c r="D1195" s="42" t="str">
        <f ca="1">IFERROR(__xludf.DUMMYFUNCTION("""COMPUTED_VALUE"""),"Guadalajara en Paz")</f>
        <v>Guadalajara en Paz</v>
      </c>
      <c r="E1195" s="42" t="str">
        <f ca="1">IFERROR(__xludf.DUMMYFUNCTION("""COMPUTED_VALUE"""),"Comedores Comunitarios")</f>
        <v>Comedores Comunitarios</v>
      </c>
      <c r="F1195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195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195" s="42" t="str">
        <f ca="1">IFERROR(__xludf.DUMMYFUNCTION("""COMPUTED_VALUE"""),"NOS Junio")</f>
        <v>NOS Junio</v>
      </c>
      <c r="I1195" s="42" t="str">
        <f ca="1">IFERROR(__xludf.DUMMYFUNCTION("""COMPUTED_VALUE"""),"Junio")</f>
        <v>Junio</v>
      </c>
      <c r="J1195" s="42" t="str">
        <f ca="1">IFERROR(__xludf.DUMMYFUNCTION("""COMPUTED_VALUE"""),"NOS")</f>
        <v>NOS</v>
      </c>
      <c r="K1195" s="98">
        <f ca="1">IFERROR(__xludf.DUMMYFUNCTION("""COMPUTED_VALUE"""),26)</f>
        <v>26</v>
      </c>
      <c r="L1195" s="42" t="str">
        <f ca="1">IFERROR(__xludf.DUMMYFUNCTION("""COMPUTED_VALUE"""),"TRIMESTRE 2")</f>
        <v>TRIMESTRE 2</v>
      </c>
      <c r="M1195" s="42" t="str">
        <f ca="1">IFERROR(__xludf.DUMMYFUNCTION("""COMPUTED_VALUE"""),"NIÑOS")</f>
        <v>NIÑOS</v>
      </c>
    </row>
    <row r="1196" spans="1:13">
      <c r="A1196" s="42" t="str">
        <f ca="1">IFERROR(__xludf.DUMMYFUNCTION("""COMPUTED_VALUE"""),"2.1.1.12")</f>
        <v>2.1.1.12</v>
      </c>
      <c r="B1196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196" s="42" t="str">
        <f ca="1">IFERROR(__xludf.DUMMYFUNCTION("""COMPUTED_VALUE"""),"3. Operación")</f>
        <v>3. Operación</v>
      </c>
      <c r="D1196" s="42" t="str">
        <f ca="1">IFERROR(__xludf.DUMMYFUNCTION("""COMPUTED_VALUE"""),"Guadalajara en Paz")</f>
        <v>Guadalajara en Paz</v>
      </c>
      <c r="E1196" s="42" t="str">
        <f ca="1">IFERROR(__xludf.DUMMYFUNCTION("""COMPUTED_VALUE"""),"Comedores Comunitarios")</f>
        <v>Comedores Comunitarios</v>
      </c>
      <c r="F1196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196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196" s="42" t="str">
        <f ca="1">IFERROR(__xludf.DUMMYFUNCTION("""COMPUTED_VALUE"""),"AM JUNIO")</f>
        <v>AM JUNIO</v>
      </c>
      <c r="I1196" s="42" t="str">
        <f ca="1">IFERROR(__xludf.DUMMYFUNCTION("""COMPUTED_VALUE"""),"Junio")</f>
        <v>Junio</v>
      </c>
      <c r="J1196" s="42" t="str">
        <f ca="1">IFERROR(__xludf.DUMMYFUNCTION("""COMPUTED_VALUE"""),"AM")</f>
        <v>AM</v>
      </c>
      <c r="K1196" s="98">
        <f ca="1">IFERROR(__xludf.DUMMYFUNCTION("""COMPUTED_VALUE"""),27)</f>
        <v>27</v>
      </c>
      <c r="L1196" s="42" t="str">
        <f ca="1">IFERROR(__xludf.DUMMYFUNCTION("""COMPUTED_VALUE"""),"TRIMESTRE 2")</f>
        <v>TRIMESTRE 2</v>
      </c>
      <c r="M1196" s="42" t="str">
        <f ca="1">IFERROR(__xludf.DUMMYFUNCTION("""COMPUTED_VALUE"""),"ADOLESCENTES MUJERES")</f>
        <v>ADOLESCENTES MUJERES</v>
      </c>
    </row>
    <row r="1197" spans="1:13">
      <c r="A1197" s="42" t="str">
        <f ca="1">IFERROR(__xludf.DUMMYFUNCTION("""COMPUTED_VALUE"""),"2.1.1.12")</f>
        <v>2.1.1.12</v>
      </c>
      <c r="B1197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197" s="42" t="str">
        <f ca="1">IFERROR(__xludf.DUMMYFUNCTION("""COMPUTED_VALUE"""),"3. Operación")</f>
        <v>3. Operación</v>
      </c>
      <c r="D1197" s="42" t="str">
        <f ca="1">IFERROR(__xludf.DUMMYFUNCTION("""COMPUTED_VALUE"""),"Guadalajara en Paz")</f>
        <v>Guadalajara en Paz</v>
      </c>
      <c r="E1197" s="42" t="str">
        <f ca="1">IFERROR(__xludf.DUMMYFUNCTION("""COMPUTED_VALUE"""),"Comedores Comunitarios")</f>
        <v>Comedores Comunitarios</v>
      </c>
      <c r="F1197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197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197" s="42" t="str">
        <f ca="1">IFERROR(__xludf.DUMMYFUNCTION("""COMPUTED_VALUE"""),"AH JUNIO")</f>
        <v>AH JUNIO</v>
      </c>
      <c r="I1197" s="42" t="str">
        <f ca="1">IFERROR(__xludf.DUMMYFUNCTION("""COMPUTED_VALUE"""),"Junio")</f>
        <v>Junio</v>
      </c>
      <c r="J1197" s="42" t="str">
        <f ca="1">IFERROR(__xludf.DUMMYFUNCTION("""COMPUTED_VALUE"""),"AH")</f>
        <v>AH</v>
      </c>
      <c r="K1197" s="98">
        <f ca="1">IFERROR(__xludf.DUMMYFUNCTION("""COMPUTED_VALUE"""),23)</f>
        <v>23</v>
      </c>
      <c r="L1197" s="42" t="str">
        <f ca="1">IFERROR(__xludf.DUMMYFUNCTION("""COMPUTED_VALUE"""),"TRIMESTRE 2")</f>
        <v>TRIMESTRE 2</v>
      </c>
      <c r="M1197" s="42" t="str">
        <f ca="1">IFERROR(__xludf.DUMMYFUNCTION("""COMPUTED_VALUE"""),"ADOLESCENTES HOMBRES")</f>
        <v>ADOLESCENTES HOMBRES</v>
      </c>
    </row>
    <row r="1198" spans="1:13">
      <c r="A1198" s="42" t="str">
        <f ca="1">IFERROR(__xludf.DUMMYFUNCTION("""COMPUTED_VALUE"""),"2.1.1.12")</f>
        <v>2.1.1.12</v>
      </c>
      <c r="B1198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198" s="42" t="str">
        <f ca="1">IFERROR(__xludf.DUMMYFUNCTION("""COMPUTED_VALUE"""),"3. Operación")</f>
        <v>3. Operación</v>
      </c>
      <c r="D1198" s="42" t="str">
        <f ca="1">IFERROR(__xludf.DUMMYFUNCTION("""COMPUTED_VALUE"""),"Guadalajara en Paz")</f>
        <v>Guadalajara en Paz</v>
      </c>
      <c r="E1198" s="42" t="str">
        <f ca="1">IFERROR(__xludf.DUMMYFUNCTION("""COMPUTED_VALUE"""),"Comedores Comunitarios")</f>
        <v>Comedores Comunitarios</v>
      </c>
      <c r="F1198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198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198" s="42" t="str">
        <f ca="1">IFERROR(__xludf.DUMMYFUNCTION("""COMPUTED_VALUE"""),"MUJ Junio")</f>
        <v>MUJ Junio</v>
      </c>
      <c r="I1198" s="42" t="str">
        <f ca="1">IFERROR(__xludf.DUMMYFUNCTION("""COMPUTED_VALUE"""),"Junio")</f>
        <v>Junio</v>
      </c>
      <c r="J1198" s="42" t="str">
        <f ca="1">IFERROR(__xludf.DUMMYFUNCTION("""COMPUTED_VALUE"""),"MUJ")</f>
        <v>MUJ</v>
      </c>
      <c r="K1198" s="98">
        <f ca="1">IFERROR(__xludf.DUMMYFUNCTION("""COMPUTED_VALUE"""),92)</f>
        <v>92</v>
      </c>
      <c r="L1198" s="42" t="str">
        <f ca="1">IFERROR(__xludf.DUMMYFUNCTION("""COMPUTED_VALUE"""),"TRIMESTRE 2")</f>
        <v>TRIMESTRE 2</v>
      </c>
      <c r="M1198" s="42" t="str">
        <f ca="1">IFERROR(__xludf.DUMMYFUNCTION("""COMPUTED_VALUE"""),"MUJERES ADULTAS")</f>
        <v>MUJERES ADULTAS</v>
      </c>
    </row>
    <row r="1199" spans="1:13">
      <c r="A1199" s="42" t="str">
        <f ca="1">IFERROR(__xludf.DUMMYFUNCTION("""COMPUTED_VALUE"""),"2.1.1.12")</f>
        <v>2.1.1.12</v>
      </c>
      <c r="B1199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199" s="42" t="str">
        <f ca="1">IFERROR(__xludf.DUMMYFUNCTION("""COMPUTED_VALUE"""),"3. Operación")</f>
        <v>3. Operación</v>
      </c>
      <c r="D1199" s="42" t="str">
        <f ca="1">IFERROR(__xludf.DUMMYFUNCTION("""COMPUTED_VALUE"""),"Guadalajara en Paz")</f>
        <v>Guadalajara en Paz</v>
      </c>
      <c r="E1199" s="42" t="str">
        <f ca="1">IFERROR(__xludf.DUMMYFUNCTION("""COMPUTED_VALUE"""),"Comedores Comunitarios")</f>
        <v>Comedores Comunitarios</v>
      </c>
      <c r="F1199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199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199" s="42" t="str">
        <f ca="1">IFERROR(__xludf.DUMMYFUNCTION("""COMPUTED_VALUE"""),"HOM Junio")</f>
        <v>HOM Junio</v>
      </c>
      <c r="I1199" s="42" t="str">
        <f ca="1">IFERROR(__xludf.DUMMYFUNCTION("""COMPUTED_VALUE"""),"Junio")</f>
        <v>Junio</v>
      </c>
      <c r="J1199" s="42" t="str">
        <f ca="1">IFERROR(__xludf.DUMMYFUNCTION("""COMPUTED_VALUE"""),"HOM")</f>
        <v>HOM</v>
      </c>
      <c r="K1199" s="98">
        <f ca="1">IFERROR(__xludf.DUMMYFUNCTION("""COMPUTED_VALUE"""),53)</f>
        <v>53</v>
      </c>
      <c r="L1199" s="42" t="str">
        <f ca="1">IFERROR(__xludf.DUMMYFUNCTION("""COMPUTED_VALUE"""),"TRIMESTRE 2")</f>
        <v>TRIMESTRE 2</v>
      </c>
      <c r="M1199" s="42" t="str">
        <f ca="1">IFERROR(__xludf.DUMMYFUNCTION("""COMPUTED_VALUE"""),"HOMBRES ADULTOS")</f>
        <v>HOMBRES ADULTOS</v>
      </c>
    </row>
    <row r="1200" spans="1:13">
      <c r="A1200" s="42" t="str">
        <f ca="1">IFERROR(__xludf.DUMMYFUNCTION("""COMPUTED_VALUE"""),"2.1.1.12")</f>
        <v>2.1.1.12</v>
      </c>
      <c r="B1200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200" s="42" t="str">
        <f ca="1">IFERROR(__xludf.DUMMYFUNCTION("""COMPUTED_VALUE"""),"3. Operación")</f>
        <v>3. Operación</v>
      </c>
      <c r="D1200" s="42" t="str">
        <f ca="1">IFERROR(__xludf.DUMMYFUNCTION("""COMPUTED_VALUE"""),"Guadalajara en Paz")</f>
        <v>Guadalajara en Paz</v>
      </c>
      <c r="E1200" s="42" t="str">
        <f ca="1">IFERROR(__xludf.DUMMYFUNCTION("""COMPUTED_VALUE"""),"Comedores Comunitarios")</f>
        <v>Comedores Comunitarios</v>
      </c>
      <c r="F1200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200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200" s="42" t="str">
        <f ca="1">IFERROR(__xludf.DUMMYFUNCTION("""COMPUTED_VALUE"""),"AMM Junio")</f>
        <v>AMM Junio</v>
      </c>
      <c r="I1200" s="42" t="str">
        <f ca="1">IFERROR(__xludf.DUMMYFUNCTION("""COMPUTED_VALUE"""),"Junio")</f>
        <v>Junio</v>
      </c>
      <c r="J1200" s="42" t="str">
        <f ca="1">IFERROR(__xludf.DUMMYFUNCTION("""COMPUTED_VALUE"""),"AMM")</f>
        <v>AMM</v>
      </c>
      <c r="K1200" s="98">
        <f ca="1">IFERROR(__xludf.DUMMYFUNCTION("""COMPUTED_VALUE"""),167)</f>
        <v>167</v>
      </c>
      <c r="L1200" s="42" t="str">
        <f ca="1">IFERROR(__xludf.DUMMYFUNCTION("""COMPUTED_VALUE"""),"TRIMESTRE 2")</f>
        <v>TRIMESTRE 2</v>
      </c>
      <c r="M1200" s="42" t="str">
        <f ca="1">IFERROR(__xludf.DUMMYFUNCTION("""COMPUTED_VALUE"""),"ADULTA MAYOR MUJER")</f>
        <v>ADULTA MAYOR MUJER</v>
      </c>
    </row>
    <row r="1201" spans="1:13">
      <c r="A1201" s="42" t="str">
        <f ca="1">IFERROR(__xludf.DUMMYFUNCTION("""COMPUTED_VALUE"""),"2.1.1.12")</f>
        <v>2.1.1.12</v>
      </c>
      <c r="B1201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201" s="42" t="str">
        <f ca="1">IFERROR(__xludf.DUMMYFUNCTION("""COMPUTED_VALUE"""),"3. Operación")</f>
        <v>3. Operación</v>
      </c>
      <c r="D1201" s="42" t="str">
        <f ca="1">IFERROR(__xludf.DUMMYFUNCTION("""COMPUTED_VALUE"""),"Guadalajara en Paz")</f>
        <v>Guadalajara en Paz</v>
      </c>
      <c r="E1201" s="42" t="str">
        <f ca="1">IFERROR(__xludf.DUMMYFUNCTION("""COMPUTED_VALUE"""),"Comedores Comunitarios")</f>
        <v>Comedores Comunitarios</v>
      </c>
      <c r="F1201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201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201" s="42" t="str">
        <f ca="1">IFERROR(__xludf.DUMMYFUNCTION("""COMPUTED_VALUE"""),"AMH Junio")</f>
        <v>AMH Junio</v>
      </c>
      <c r="I1201" s="42" t="str">
        <f ca="1">IFERROR(__xludf.DUMMYFUNCTION("""COMPUTED_VALUE"""),"Junio")</f>
        <v>Junio</v>
      </c>
      <c r="J1201" s="42" t="str">
        <f ca="1">IFERROR(__xludf.DUMMYFUNCTION("""COMPUTED_VALUE"""),"AMH")</f>
        <v>AMH</v>
      </c>
      <c r="K1201" s="98">
        <f ca="1">IFERROR(__xludf.DUMMYFUNCTION("""COMPUTED_VALUE"""),102)</f>
        <v>102</v>
      </c>
      <c r="L1201" s="42" t="str">
        <f ca="1">IFERROR(__xludf.DUMMYFUNCTION("""COMPUTED_VALUE"""),"TRIMESTRE 2")</f>
        <v>TRIMESTRE 2</v>
      </c>
      <c r="M1201" s="42" t="str">
        <f ca="1">IFERROR(__xludf.DUMMYFUNCTION("""COMPUTED_VALUE"""),"ADULTO MAYOR HOMBRE")</f>
        <v>ADULTO MAYOR HOMBRE</v>
      </c>
    </row>
    <row r="1202" spans="1:13">
      <c r="A1202" s="42" t="str">
        <f ca="1">IFERROR(__xludf.DUMMYFUNCTION("""COMPUTED_VALUE"""),"2.1.1.12")</f>
        <v>2.1.1.12</v>
      </c>
      <c r="B1202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202" s="42" t="str">
        <f ca="1">IFERROR(__xludf.DUMMYFUNCTION("""COMPUTED_VALUE"""),"3. Operación")</f>
        <v>3. Operación</v>
      </c>
      <c r="D1202" s="42" t="str">
        <f ca="1">IFERROR(__xludf.DUMMYFUNCTION("""COMPUTED_VALUE"""),"Guadalajara en Paz")</f>
        <v>Guadalajara en Paz</v>
      </c>
      <c r="E1202" s="42" t="str">
        <f ca="1">IFERROR(__xludf.DUMMYFUNCTION("""COMPUTED_VALUE"""),"Comedores Comunitarios")</f>
        <v>Comedores Comunitarios</v>
      </c>
      <c r="F1202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202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202" s="42" t="str">
        <f ca="1">IFERROR(__xludf.DUMMYFUNCTION("""COMPUTED_VALUE"""),"NAS Julio")</f>
        <v>NAS Julio</v>
      </c>
      <c r="I1202" s="42" t="str">
        <f ca="1">IFERROR(__xludf.DUMMYFUNCTION("""COMPUTED_VALUE"""),"Julio")</f>
        <v>Julio</v>
      </c>
      <c r="J1202" s="42" t="str">
        <f ca="1">IFERROR(__xludf.DUMMYFUNCTION("""COMPUTED_VALUE"""),"NAS")</f>
        <v>NAS</v>
      </c>
      <c r="K1202" s="98">
        <f ca="1">IFERROR(__xludf.DUMMYFUNCTION("""COMPUTED_VALUE"""),20)</f>
        <v>20</v>
      </c>
      <c r="L1202" s="42" t="str">
        <f ca="1">IFERROR(__xludf.DUMMYFUNCTION("""COMPUTED_VALUE"""),"TRIMESTRE 3")</f>
        <v>TRIMESTRE 3</v>
      </c>
      <c r="M1202" s="42" t="str">
        <f ca="1">IFERROR(__xludf.DUMMYFUNCTION("""COMPUTED_VALUE"""),"NIÑAS")</f>
        <v>NIÑAS</v>
      </c>
    </row>
    <row r="1203" spans="1:13">
      <c r="A1203" s="42" t="str">
        <f ca="1">IFERROR(__xludf.DUMMYFUNCTION("""COMPUTED_VALUE"""),"2.1.1.12")</f>
        <v>2.1.1.12</v>
      </c>
      <c r="B1203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203" s="42" t="str">
        <f ca="1">IFERROR(__xludf.DUMMYFUNCTION("""COMPUTED_VALUE"""),"3. Operación")</f>
        <v>3. Operación</v>
      </c>
      <c r="D1203" s="42" t="str">
        <f ca="1">IFERROR(__xludf.DUMMYFUNCTION("""COMPUTED_VALUE"""),"Guadalajara en Paz")</f>
        <v>Guadalajara en Paz</v>
      </c>
      <c r="E1203" s="42" t="str">
        <f ca="1">IFERROR(__xludf.DUMMYFUNCTION("""COMPUTED_VALUE"""),"Comedores Comunitarios")</f>
        <v>Comedores Comunitarios</v>
      </c>
      <c r="F1203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203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203" s="42" t="str">
        <f ca="1">IFERROR(__xludf.DUMMYFUNCTION("""COMPUTED_VALUE"""),"NOS Julio")</f>
        <v>NOS Julio</v>
      </c>
      <c r="I1203" s="42" t="str">
        <f ca="1">IFERROR(__xludf.DUMMYFUNCTION("""COMPUTED_VALUE"""),"Julio")</f>
        <v>Julio</v>
      </c>
      <c r="J1203" s="42" t="str">
        <f ca="1">IFERROR(__xludf.DUMMYFUNCTION("""COMPUTED_VALUE"""),"NOS")</f>
        <v>NOS</v>
      </c>
      <c r="K1203" s="98">
        <f ca="1">IFERROR(__xludf.DUMMYFUNCTION("""COMPUTED_VALUE"""),29)</f>
        <v>29</v>
      </c>
      <c r="L1203" s="42" t="str">
        <f ca="1">IFERROR(__xludf.DUMMYFUNCTION("""COMPUTED_VALUE"""),"TRIMESTRE 3")</f>
        <v>TRIMESTRE 3</v>
      </c>
      <c r="M1203" s="42" t="str">
        <f ca="1">IFERROR(__xludf.DUMMYFUNCTION("""COMPUTED_VALUE"""),"NIÑOS")</f>
        <v>NIÑOS</v>
      </c>
    </row>
    <row r="1204" spans="1:13">
      <c r="A1204" s="42" t="str">
        <f ca="1">IFERROR(__xludf.DUMMYFUNCTION("""COMPUTED_VALUE"""),"2.1.1.12")</f>
        <v>2.1.1.12</v>
      </c>
      <c r="B1204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204" s="42" t="str">
        <f ca="1">IFERROR(__xludf.DUMMYFUNCTION("""COMPUTED_VALUE"""),"3. Operación")</f>
        <v>3. Operación</v>
      </c>
      <c r="D1204" s="42" t="str">
        <f ca="1">IFERROR(__xludf.DUMMYFUNCTION("""COMPUTED_VALUE"""),"Guadalajara en Paz")</f>
        <v>Guadalajara en Paz</v>
      </c>
      <c r="E1204" s="42" t="str">
        <f ca="1">IFERROR(__xludf.DUMMYFUNCTION("""COMPUTED_VALUE"""),"Comedores Comunitarios")</f>
        <v>Comedores Comunitarios</v>
      </c>
      <c r="F1204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204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204" s="42" t="str">
        <f ca="1">IFERROR(__xludf.DUMMYFUNCTION("""COMPUTED_VALUE"""),"AM JULIO")</f>
        <v>AM JULIO</v>
      </c>
      <c r="I1204" s="42" t="str">
        <f ca="1">IFERROR(__xludf.DUMMYFUNCTION("""COMPUTED_VALUE"""),"Julio")</f>
        <v>Julio</v>
      </c>
      <c r="J1204" s="42" t="str">
        <f ca="1">IFERROR(__xludf.DUMMYFUNCTION("""COMPUTED_VALUE"""),"AM")</f>
        <v>AM</v>
      </c>
      <c r="K1204" s="98">
        <f ca="1">IFERROR(__xludf.DUMMYFUNCTION("""COMPUTED_VALUE"""),27)</f>
        <v>27</v>
      </c>
      <c r="L1204" s="42" t="str">
        <f ca="1">IFERROR(__xludf.DUMMYFUNCTION("""COMPUTED_VALUE"""),"TRIMESTRE 3")</f>
        <v>TRIMESTRE 3</v>
      </c>
      <c r="M1204" s="42" t="str">
        <f ca="1">IFERROR(__xludf.DUMMYFUNCTION("""COMPUTED_VALUE"""),"ADOLESCENTES MUJERES")</f>
        <v>ADOLESCENTES MUJERES</v>
      </c>
    </row>
    <row r="1205" spans="1:13">
      <c r="A1205" s="42" t="str">
        <f ca="1">IFERROR(__xludf.DUMMYFUNCTION("""COMPUTED_VALUE"""),"2.1.1.12")</f>
        <v>2.1.1.12</v>
      </c>
      <c r="B1205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205" s="42" t="str">
        <f ca="1">IFERROR(__xludf.DUMMYFUNCTION("""COMPUTED_VALUE"""),"3. Operación")</f>
        <v>3. Operación</v>
      </c>
      <c r="D1205" s="42" t="str">
        <f ca="1">IFERROR(__xludf.DUMMYFUNCTION("""COMPUTED_VALUE"""),"Guadalajara en Paz")</f>
        <v>Guadalajara en Paz</v>
      </c>
      <c r="E1205" s="42" t="str">
        <f ca="1">IFERROR(__xludf.DUMMYFUNCTION("""COMPUTED_VALUE"""),"Comedores Comunitarios")</f>
        <v>Comedores Comunitarios</v>
      </c>
      <c r="F1205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205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205" s="42" t="str">
        <f ca="1">IFERROR(__xludf.DUMMYFUNCTION("""COMPUTED_VALUE"""),"AH JULIO")</f>
        <v>AH JULIO</v>
      </c>
      <c r="I1205" s="42" t="str">
        <f ca="1">IFERROR(__xludf.DUMMYFUNCTION("""COMPUTED_VALUE"""),"Julio")</f>
        <v>Julio</v>
      </c>
      <c r="J1205" s="42" t="str">
        <f ca="1">IFERROR(__xludf.DUMMYFUNCTION("""COMPUTED_VALUE"""),"AH")</f>
        <v>AH</v>
      </c>
      <c r="K1205" s="98">
        <f ca="1">IFERROR(__xludf.DUMMYFUNCTION("""COMPUTED_VALUE"""),18)</f>
        <v>18</v>
      </c>
      <c r="L1205" s="42" t="str">
        <f ca="1">IFERROR(__xludf.DUMMYFUNCTION("""COMPUTED_VALUE"""),"TRIMESTRE 3")</f>
        <v>TRIMESTRE 3</v>
      </c>
      <c r="M1205" s="42" t="str">
        <f ca="1">IFERROR(__xludf.DUMMYFUNCTION("""COMPUTED_VALUE"""),"ADOLESCENTES HOMBRES")</f>
        <v>ADOLESCENTES HOMBRES</v>
      </c>
    </row>
    <row r="1206" spans="1:13">
      <c r="A1206" s="42" t="str">
        <f ca="1">IFERROR(__xludf.DUMMYFUNCTION("""COMPUTED_VALUE"""),"2.1.1.12")</f>
        <v>2.1.1.12</v>
      </c>
      <c r="B1206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206" s="42" t="str">
        <f ca="1">IFERROR(__xludf.DUMMYFUNCTION("""COMPUTED_VALUE"""),"3. Operación")</f>
        <v>3. Operación</v>
      </c>
      <c r="D1206" s="42" t="str">
        <f ca="1">IFERROR(__xludf.DUMMYFUNCTION("""COMPUTED_VALUE"""),"Guadalajara en Paz")</f>
        <v>Guadalajara en Paz</v>
      </c>
      <c r="E1206" s="42" t="str">
        <f ca="1">IFERROR(__xludf.DUMMYFUNCTION("""COMPUTED_VALUE"""),"Comedores Comunitarios")</f>
        <v>Comedores Comunitarios</v>
      </c>
      <c r="F1206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206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206" s="42" t="str">
        <f ca="1">IFERROR(__xludf.DUMMYFUNCTION("""COMPUTED_VALUE"""),"MUJ Julio")</f>
        <v>MUJ Julio</v>
      </c>
      <c r="I1206" s="42" t="str">
        <f ca="1">IFERROR(__xludf.DUMMYFUNCTION("""COMPUTED_VALUE"""),"Julio")</f>
        <v>Julio</v>
      </c>
      <c r="J1206" s="42" t="str">
        <f ca="1">IFERROR(__xludf.DUMMYFUNCTION("""COMPUTED_VALUE"""),"MUJ")</f>
        <v>MUJ</v>
      </c>
      <c r="K1206" s="98">
        <f ca="1">IFERROR(__xludf.DUMMYFUNCTION("""COMPUTED_VALUE"""),88)</f>
        <v>88</v>
      </c>
      <c r="L1206" s="42" t="str">
        <f ca="1">IFERROR(__xludf.DUMMYFUNCTION("""COMPUTED_VALUE"""),"TRIMESTRE 3")</f>
        <v>TRIMESTRE 3</v>
      </c>
      <c r="M1206" s="42" t="str">
        <f ca="1">IFERROR(__xludf.DUMMYFUNCTION("""COMPUTED_VALUE"""),"MUJERES ADULTAS")</f>
        <v>MUJERES ADULTAS</v>
      </c>
    </row>
    <row r="1207" spans="1:13">
      <c r="A1207" s="42" t="str">
        <f ca="1">IFERROR(__xludf.DUMMYFUNCTION("""COMPUTED_VALUE"""),"2.1.1.12")</f>
        <v>2.1.1.12</v>
      </c>
      <c r="B1207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207" s="42" t="str">
        <f ca="1">IFERROR(__xludf.DUMMYFUNCTION("""COMPUTED_VALUE"""),"3. Operación")</f>
        <v>3. Operación</v>
      </c>
      <c r="D1207" s="42" t="str">
        <f ca="1">IFERROR(__xludf.DUMMYFUNCTION("""COMPUTED_VALUE"""),"Guadalajara en Paz")</f>
        <v>Guadalajara en Paz</v>
      </c>
      <c r="E1207" s="42" t="str">
        <f ca="1">IFERROR(__xludf.DUMMYFUNCTION("""COMPUTED_VALUE"""),"Comedores Comunitarios")</f>
        <v>Comedores Comunitarios</v>
      </c>
      <c r="F1207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207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207" s="42" t="str">
        <f ca="1">IFERROR(__xludf.DUMMYFUNCTION("""COMPUTED_VALUE"""),"HOM Julio")</f>
        <v>HOM Julio</v>
      </c>
      <c r="I1207" s="42" t="str">
        <f ca="1">IFERROR(__xludf.DUMMYFUNCTION("""COMPUTED_VALUE"""),"Julio")</f>
        <v>Julio</v>
      </c>
      <c r="J1207" s="42" t="str">
        <f ca="1">IFERROR(__xludf.DUMMYFUNCTION("""COMPUTED_VALUE"""),"HOM")</f>
        <v>HOM</v>
      </c>
      <c r="K1207" s="98">
        <f ca="1">IFERROR(__xludf.DUMMYFUNCTION("""COMPUTED_VALUE"""),50)</f>
        <v>50</v>
      </c>
      <c r="L1207" s="42" t="str">
        <f ca="1">IFERROR(__xludf.DUMMYFUNCTION("""COMPUTED_VALUE"""),"TRIMESTRE 3")</f>
        <v>TRIMESTRE 3</v>
      </c>
      <c r="M1207" s="42" t="str">
        <f ca="1">IFERROR(__xludf.DUMMYFUNCTION("""COMPUTED_VALUE"""),"HOMBRES ADULTOS")</f>
        <v>HOMBRES ADULTOS</v>
      </c>
    </row>
    <row r="1208" spans="1:13">
      <c r="A1208" s="42" t="str">
        <f ca="1">IFERROR(__xludf.DUMMYFUNCTION("""COMPUTED_VALUE"""),"2.1.1.12")</f>
        <v>2.1.1.12</v>
      </c>
      <c r="B1208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208" s="42" t="str">
        <f ca="1">IFERROR(__xludf.DUMMYFUNCTION("""COMPUTED_VALUE"""),"3. Operación")</f>
        <v>3. Operación</v>
      </c>
      <c r="D1208" s="42" t="str">
        <f ca="1">IFERROR(__xludf.DUMMYFUNCTION("""COMPUTED_VALUE"""),"Guadalajara en Paz")</f>
        <v>Guadalajara en Paz</v>
      </c>
      <c r="E1208" s="42" t="str">
        <f ca="1">IFERROR(__xludf.DUMMYFUNCTION("""COMPUTED_VALUE"""),"Comedores Comunitarios")</f>
        <v>Comedores Comunitarios</v>
      </c>
      <c r="F1208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208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208" s="42" t="str">
        <f ca="1">IFERROR(__xludf.DUMMYFUNCTION("""COMPUTED_VALUE"""),"AMM Julio")</f>
        <v>AMM Julio</v>
      </c>
      <c r="I1208" s="42" t="str">
        <f ca="1">IFERROR(__xludf.DUMMYFUNCTION("""COMPUTED_VALUE"""),"Julio")</f>
        <v>Julio</v>
      </c>
      <c r="J1208" s="42" t="str">
        <f ca="1">IFERROR(__xludf.DUMMYFUNCTION("""COMPUTED_VALUE"""),"AMM")</f>
        <v>AMM</v>
      </c>
      <c r="K1208" s="98">
        <f ca="1">IFERROR(__xludf.DUMMYFUNCTION("""COMPUTED_VALUE"""),164)</f>
        <v>164</v>
      </c>
      <c r="L1208" s="42" t="str">
        <f ca="1">IFERROR(__xludf.DUMMYFUNCTION("""COMPUTED_VALUE"""),"TRIMESTRE 3")</f>
        <v>TRIMESTRE 3</v>
      </c>
      <c r="M1208" s="42" t="str">
        <f ca="1">IFERROR(__xludf.DUMMYFUNCTION("""COMPUTED_VALUE"""),"ADULTA MAYOR MUJER")</f>
        <v>ADULTA MAYOR MUJER</v>
      </c>
    </row>
    <row r="1209" spans="1:13">
      <c r="A1209" s="42" t="str">
        <f ca="1">IFERROR(__xludf.DUMMYFUNCTION("""COMPUTED_VALUE"""),"2.1.1.12")</f>
        <v>2.1.1.12</v>
      </c>
      <c r="B1209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209" s="42" t="str">
        <f ca="1">IFERROR(__xludf.DUMMYFUNCTION("""COMPUTED_VALUE"""),"3. Operación")</f>
        <v>3. Operación</v>
      </c>
      <c r="D1209" s="42" t="str">
        <f ca="1">IFERROR(__xludf.DUMMYFUNCTION("""COMPUTED_VALUE"""),"Guadalajara en Paz")</f>
        <v>Guadalajara en Paz</v>
      </c>
      <c r="E1209" s="42" t="str">
        <f ca="1">IFERROR(__xludf.DUMMYFUNCTION("""COMPUTED_VALUE"""),"Comedores Comunitarios")</f>
        <v>Comedores Comunitarios</v>
      </c>
      <c r="F1209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209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209" s="42" t="str">
        <f ca="1">IFERROR(__xludf.DUMMYFUNCTION("""COMPUTED_VALUE"""),"AMH Julio")</f>
        <v>AMH Julio</v>
      </c>
      <c r="I1209" s="42" t="str">
        <f ca="1">IFERROR(__xludf.DUMMYFUNCTION("""COMPUTED_VALUE"""),"Julio")</f>
        <v>Julio</v>
      </c>
      <c r="J1209" s="42" t="str">
        <f ca="1">IFERROR(__xludf.DUMMYFUNCTION("""COMPUTED_VALUE"""),"AMH")</f>
        <v>AMH</v>
      </c>
      <c r="K1209" s="98">
        <f ca="1">IFERROR(__xludf.DUMMYFUNCTION("""COMPUTED_VALUE"""),99)</f>
        <v>99</v>
      </c>
      <c r="L1209" s="42" t="str">
        <f ca="1">IFERROR(__xludf.DUMMYFUNCTION("""COMPUTED_VALUE"""),"TRIMESTRE 3")</f>
        <v>TRIMESTRE 3</v>
      </c>
      <c r="M1209" s="42" t="str">
        <f ca="1">IFERROR(__xludf.DUMMYFUNCTION("""COMPUTED_VALUE"""),"ADULTO MAYOR HOMBRE")</f>
        <v>ADULTO MAYOR HOMBRE</v>
      </c>
    </row>
    <row r="1210" spans="1:13">
      <c r="A1210" s="42" t="str">
        <f ca="1">IFERROR(__xludf.DUMMYFUNCTION("""COMPUTED_VALUE"""),"2.1.1.12")</f>
        <v>2.1.1.12</v>
      </c>
      <c r="B1210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210" s="42" t="str">
        <f ca="1">IFERROR(__xludf.DUMMYFUNCTION("""COMPUTED_VALUE"""),"3. Operación")</f>
        <v>3. Operación</v>
      </c>
      <c r="D1210" s="42" t="str">
        <f ca="1">IFERROR(__xludf.DUMMYFUNCTION("""COMPUTED_VALUE"""),"Guadalajara en Paz")</f>
        <v>Guadalajara en Paz</v>
      </c>
      <c r="E1210" s="42" t="str">
        <f ca="1">IFERROR(__xludf.DUMMYFUNCTION("""COMPUTED_VALUE"""),"Comedores Comunitarios")</f>
        <v>Comedores Comunitarios</v>
      </c>
      <c r="F1210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210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210" s="42" t="str">
        <f ca="1">IFERROR(__xludf.DUMMYFUNCTION("""COMPUTED_VALUE"""),"NAS Agosto")</f>
        <v>NAS Agosto</v>
      </c>
      <c r="I1210" s="42" t="str">
        <f ca="1">IFERROR(__xludf.DUMMYFUNCTION("""COMPUTED_VALUE"""),"Agosto")</f>
        <v>Agosto</v>
      </c>
      <c r="J1210" s="42" t="str">
        <f ca="1">IFERROR(__xludf.DUMMYFUNCTION("""COMPUTED_VALUE"""),"NAS")</f>
        <v>NAS</v>
      </c>
      <c r="K1210" s="98">
        <f ca="1">IFERROR(__xludf.DUMMYFUNCTION("""COMPUTED_VALUE"""),31)</f>
        <v>31</v>
      </c>
      <c r="L1210" s="42" t="str">
        <f ca="1">IFERROR(__xludf.DUMMYFUNCTION("""COMPUTED_VALUE"""),"TRIMESTRE 3")</f>
        <v>TRIMESTRE 3</v>
      </c>
      <c r="M1210" s="42" t="str">
        <f ca="1">IFERROR(__xludf.DUMMYFUNCTION("""COMPUTED_VALUE"""),"NIÑAS")</f>
        <v>NIÑAS</v>
      </c>
    </row>
    <row r="1211" spans="1:13">
      <c r="A1211" s="42" t="str">
        <f ca="1">IFERROR(__xludf.DUMMYFUNCTION("""COMPUTED_VALUE"""),"2.1.1.12")</f>
        <v>2.1.1.12</v>
      </c>
      <c r="B1211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211" s="42" t="str">
        <f ca="1">IFERROR(__xludf.DUMMYFUNCTION("""COMPUTED_VALUE"""),"3. Operación")</f>
        <v>3. Operación</v>
      </c>
      <c r="D1211" s="42" t="str">
        <f ca="1">IFERROR(__xludf.DUMMYFUNCTION("""COMPUTED_VALUE"""),"Guadalajara en Paz")</f>
        <v>Guadalajara en Paz</v>
      </c>
      <c r="E1211" s="42" t="str">
        <f ca="1">IFERROR(__xludf.DUMMYFUNCTION("""COMPUTED_VALUE"""),"Comedores Comunitarios")</f>
        <v>Comedores Comunitarios</v>
      </c>
      <c r="F1211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211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211" s="42" t="str">
        <f ca="1">IFERROR(__xludf.DUMMYFUNCTION("""COMPUTED_VALUE"""),"NOS Agosto")</f>
        <v>NOS Agosto</v>
      </c>
      <c r="I1211" s="42" t="str">
        <f ca="1">IFERROR(__xludf.DUMMYFUNCTION("""COMPUTED_VALUE"""),"Agosto")</f>
        <v>Agosto</v>
      </c>
      <c r="J1211" s="42" t="str">
        <f ca="1">IFERROR(__xludf.DUMMYFUNCTION("""COMPUTED_VALUE"""),"NOS")</f>
        <v>NOS</v>
      </c>
      <c r="K1211" s="98">
        <f ca="1">IFERROR(__xludf.DUMMYFUNCTION("""COMPUTED_VALUE"""),37)</f>
        <v>37</v>
      </c>
      <c r="L1211" s="42" t="str">
        <f ca="1">IFERROR(__xludf.DUMMYFUNCTION("""COMPUTED_VALUE"""),"TRIMESTRE 3")</f>
        <v>TRIMESTRE 3</v>
      </c>
      <c r="M1211" s="42" t="str">
        <f ca="1">IFERROR(__xludf.DUMMYFUNCTION("""COMPUTED_VALUE"""),"NIÑOS")</f>
        <v>NIÑOS</v>
      </c>
    </row>
    <row r="1212" spans="1:13">
      <c r="A1212" s="42" t="str">
        <f ca="1">IFERROR(__xludf.DUMMYFUNCTION("""COMPUTED_VALUE"""),"2.1.1.12")</f>
        <v>2.1.1.12</v>
      </c>
      <c r="B1212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212" s="42" t="str">
        <f ca="1">IFERROR(__xludf.DUMMYFUNCTION("""COMPUTED_VALUE"""),"3. Operación")</f>
        <v>3. Operación</v>
      </c>
      <c r="D1212" s="42" t="str">
        <f ca="1">IFERROR(__xludf.DUMMYFUNCTION("""COMPUTED_VALUE"""),"Guadalajara en Paz")</f>
        <v>Guadalajara en Paz</v>
      </c>
      <c r="E1212" s="42" t="str">
        <f ca="1">IFERROR(__xludf.DUMMYFUNCTION("""COMPUTED_VALUE"""),"Comedores Comunitarios")</f>
        <v>Comedores Comunitarios</v>
      </c>
      <c r="F1212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212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212" s="42" t="str">
        <f ca="1">IFERROR(__xludf.DUMMYFUNCTION("""COMPUTED_VALUE"""),"AM AGOSTO")</f>
        <v>AM AGOSTO</v>
      </c>
      <c r="I1212" s="42" t="str">
        <f ca="1">IFERROR(__xludf.DUMMYFUNCTION("""COMPUTED_VALUE"""),"Agosto")</f>
        <v>Agosto</v>
      </c>
      <c r="J1212" s="42" t="str">
        <f ca="1">IFERROR(__xludf.DUMMYFUNCTION("""COMPUTED_VALUE"""),"AM")</f>
        <v>AM</v>
      </c>
      <c r="K1212" s="98">
        <f ca="1">IFERROR(__xludf.DUMMYFUNCTION("""COMPUTED_VALUE"""),33)</f>
        <v>33</v>
      </c>
      <c r="L1212" s="42" t="str">
        <f ca="1">IFERROR(__xludf.DUMMYFUNCTION("""COMPUTED_VALUE"""),"TRIMESTRE 3")</f>
        <v>TRIMESTRE 3</v>
      </c>
      <c r="M1212" s="42" t="str">
        <f ca="1">IFERROR(__xludf.DUMMYFUNCTION("""COMPUTED_VALUE"""),"ADOLESCENTES MUJERES")</f>
        <v>ADOLESCENTES MUJERES</v>
      </c>
    </row>
    <row r="1213" spans="1:13">
      <c r="A1213" s="42" t="str">
        <f ca="1">IFERROR(__xludf.DUMMYFUNCTION("""COMPUTED_VALUE"""),"2.1.1.12")</f>
        <v>2.1.1.12</v>
      </c>
      <c r="B1213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213" s="42" t="str">
        <f ca="1">IFERROR(__xludf.DUMMYFUNCTION("""COMPUTED_VALUE"""),"3. Operación")</f>
        <v>3. Operación</v>
      </c>
      <c r="D1213" s="42" t="str">
        <f ca="1">IFERROR(__xludf.DUMMYFUNCTION("""COMPUTED_VALUE"""),"Guadalajara en Paz")</f>
        <v>Guadalajara en Paz</v>
      </c>
      <c r="E1213" s="42" t="str">
        <f ca="1">IFERROR(__xludf.DUMMYFUNCTION("""COMPUTED_VALUE"""),"Comedores Comunitarios")</f>
        <v>Comedores Comunitarios</v>
      </c>
      <c r="F1213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213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213" s="42" t="str">
        <f ca="1">IFERROR(__xludf.DUMMYFUNCTION("""COMPUTED_VALUE"""),"AH AGOSTO")</f>
        <v>AH AGOSTO</v>
      </c>
      <c r="I1213" s="42" t="str">
        <f ca="1">IFERROR(__xludf.DUMMYFUNCTION("""COMPUTED_VALUE"""),"Agosto")</f>
        <v>Agosto</v>
      </c>
      <c r="J1213" s="42" t="str">
        <f ca="1">IFERROR(__xludf.DUMMYFUNCTION("""COMPUTED_VALUE"""),"AH")</f>
        <v>AH</v>
      </c>
      <c r="K1213" s="98">
        <f ca="1">IFERROR(__xludf.DUMMYFUNCTION("""COMPUTED_VALUE"""),29)</f>
        <v>29</v>
      </c>
      <c r="L1213" s="42" t="str">
        <f ca="1">IFERROR(__xludf.DUMMYFUNCTION("""COMPUTED_VALUE"""),"TRIMESTRE 3")</f>
        <v>TRIMESTRE 3</v>
      </c>
      <c r="M1213" s="42" t="str">
        <f ca="1">IFERROR(__xludf.DUMMYFUNCTION("""COMPUTED_VALUE"""),"ADOLESCENTES HOMBRES")</f>
        <v>ADOLESCENTES HOMBRES</v>
      </c>
    </row>
    <row r="1214" spans="1:13">
      <c r="A1214" s="42" t="str">
        <f ca="1">IFERROR(__xludf.DUMMYFUNCTION("""COMPUTED_VALUE"""),"2.1.1.12")</f>
        <v>2.1.1.12</v>
      </c>
      <c r="B1214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214" s="42" t="str">
        <f ca="1">IFERROR(__xludf.DUMMYFUNCTION("""COMPUTED_VALUE"""),"3. Operación")</f>
        <v>3. Operación</v>
      </c>
      <c r="D1214" s="42" t="str">
        <f ca="1">IFERROR(__xludf.DUMMYFUNCTION("""COMPUTED_VALUE"""),"Guadalajara en Paz")</f>
        <v>Guadalajara en Paz</v>
      </c>
      <c r="E1214" s="42" t="str">
        <f ca="1">IFERROR(__xludf.DUMMYFUNCTION("""COMPUTED_VALUE"""),"Comedores Comunitarios")</f>
        <v>Comedores Comunitarios</v>
      </c>
      <c r="F1214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214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214" s="42" t="str">
        <f ca="1">IFERROR(__xludf.DUMMYFUNCTION("""COMPUTED_VALUE"""),"MUJ Agosto")</f>
        <v>MUJ Agosto</v>
      </c>
      <c r="I1214" s="42" t="str">
        <f ca="1">IFERROR(__xludf.DUMMYFUNCTION("""COMPUTED_VALUE"""),"Agosto")</f>
        <v>Agosto</v>
      </c>
      <c r="J1214" s="42" t="str">
        <f ca="1">IFERROR(__xludf.DUMMYFUNCTION("""COMPUTED_VALUE"""),"MUJ")</f>
        <v>MUJ</v>
      </c>
      <c r="K1214" s="98">
        <f ca="1">IFERROR(__xludf.DUMMYFUNCTION("""COMPUTED_VALUE"""),112)</f>
        <v>112</v>
      </c>
      <c r="L1214" s="42" t="str">
        <f ca="1">IFERROR(__xludf.DUMMYFUNCTION("""COMPUTED_VALUE"""),"TRIMESTRE 3")</f>
        <v>TRIMESTRE 3</v>
      </c>
      <c r="M1214" s="42" t="str">
        <f ca="1">IFERROR(__xludf.DUMMYFUNCTION("""COMPUTED_VALUE"""),"MUJERES ADULTAS")</f>
        <v>MUJERES ADULTAS</v>
      </c>
    </row>
    <row r="1215" spans="1:13">
      <c r="A1215" s="42" t="str">
        <f ca="1">IFERROR(__xludf.DUMMYFUNCTION("""COMPUTED_VALUE"""),"2.1.1.12")</f>
        <v>2.1.1.12</v>
      </c>
      <c r="B1215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215" s="42" t="str">
        <f ca="1">IFERROR(__xludf.DUMMYFUNCTION("""COMPUTED_VALUE"""),"3. Operación")</f>
        <v>3. Operación</v>
      </c>
      <c r="D1215" s="42" t="str">
        <f ca="1">IFERROR(__xludf.DUMMYFUNCTION("""COMPUTED_VALUE"""),"Guadalajara en Paz")</f>
        <v>Guadalajara en Paz</v>
      </c>
      <c r="E1215" s="42" t="str">
        <f ca="1">IFERROR(__xludf.DUMMYFUNCTION("""COMPUTED_VALUE"""),"Comedores Comunitarios")</f>
        <v>Comedores Comunitarios</v>
      </c>
      <c r="F1215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215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215" s="42" t="str">
        <f ca="1">IFERROR(__xludf.DUMMYFUNCTION("""COMPUTED_VALUE"""),"HOM Agosto")</f>
        <v>HOM Agosto</v>
      </c>
      <c r="I1215" s="42" t="str">
        <f ca="1">IFERROR(__xludf.DUMMYFUNCTION("""COMPUTED_VALUE"""),"Agosto")</f>
        <v>Agosto</v>
      </c>
      <c r="J1215" s="42" t="str">
        <f ca="1">IFERROR(__xludf.DUMMYFUNCTION("""COMPUTED_VALUE"""),"HOM")</f>
        <v>HOM</v>
      </c>
      <c r="K1215" s="98">
        <f ca="1">IFERROR(__xludf.DUMMYFUNCTION("""COMPUTED_VALUE"""),56)</f>
        <v>56</v>
      </c>
      <c r="L1215" s="42" t="str">
        <f ca="1">IFERROR(__xludf.DUMMYFUNCTION("""COMPUTED_VALUE"""),"TRIMESTRE 3")</f>
        <v>TRIMESTRE 3</v>
      </c>
      <c r="M1215" s="42" t="str">
        <f ca="1">IFERROR(__xludf.DUMMYFUNCTION("""COMPUTED_VALUE"""),"HOMBRES ADULTOS")</f>
        <v>HOMBRES ADULTOS</v>
      </c>
    </row>
    <row r="1216" spans="1:13">
      <c r="A1216" s="42" t="str">
        <f ca="1">IFERROR(__xludf.DUMMYFUNCTION("""COMPUTED_VALUE"""),"2.1.1.12")</f>
        <v>2.1.1.12</v>
      </c>
      <c r="B1216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216" s="42" t="str">
        <f ca="1">IFERROR(__xludf.DUMMYFUNCTION("""COMPUTED_VALUE"""),"3. Operación")</f>
        <v>3. Operación</v>
      </c>
      <c r="D1216" s="42" t="str">
        <f ca="1">IFERROR(__xludf.DUMMYFUNCTION("""COMPUTED_VALUE"""),"Guadalajara en Paz")</f>
        <v>Guadalajara en Paz</v>
      </c>
      <c r="E1216" s="42" t="str">
        <f ca="1">IFERROR(__xludf.DUMMYFUNCTION("""COMPUTED_VALUE"""),"Comedores Comunitarios")</f>
        <v>Comedores Comunitarios</v>
      </c>
      <c r="F1216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216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216" s="42" t="str">
        <f ca="1">IFERROR(__xludf.DUMMYFUNCTION("""COMPUTED_VALUE"""),"AMM Agosto")</f>
        <v>AMM Agosto</v>
      </c>
      <c r="I1216" s="42" t="str">
        <f ca="1">IFERROR(__xludf.DUMMYFUNCTION("""COMPUTED_VALUE"""),"Agosto")</f>
        <v>Agosto</v>
      </c>
      <c r="J1216" s="42" t="str">
        <f ca="1">IFERROR(__xludf.DUMMYFUNCTION("""COMPUTED_VALUE"""),"AMM")</f>
        <v>AMM</v>
      </c>
      <c r="K1216" s="98">
        <f ca="1">IFERROR(__xludf.DUMMYFUNCTION("""COMPUTED_VALUE"""),197)</f>
        <v>197</v>
      </c>
      <c r="L1216" s="42" t="str">
        <f ca="1">IFERROR(__xludf.DUMMYFUNCTION("""COMPUTED_VALUE"""),"TRIMESTRE 3")</f>
        <v>TRIMESTRE 3</v>
      </c>
      <c r="M1216" s="42" t="str">
        <f ca="1">IFERROR(__xludf.DUMMYFUNCTION("""COMPUTED_VALUE"""),"ADULTA MAYOR MUJER")</f>
        <v>ADULTA MAYOR MUJER</v>
      </c>
    </row>
    <row r="1217" spans="1:13">
      <c r="A1217" s="42" t="str">
        <f ca="1">IFERROR(__xludf.DUMMYFUNCTION("""COMPUTED_VALUE"""),"2.1.1.12")</f>
        <v>2.1.1.12</v>
      </c>
      <c r="B1217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217" s="42" t="str">
        <f ca="1">IFERROR(__xludf.DUMMYFUNCTION("""COMPUTED_VALUE"""),"3. Operación")</f>
        <v>3. Operación</v>
      </c>
      <c r="D1217" s="42" t="str">
        <f ca="1">IFERROR(__xludf.DUMMYFUNCTION("""COMPUTED_VALUE"""),"Guadalajara en Paz")</f>
        <v>Guadalajara en Paz</v>
      </c>
      <c r="E1217" s="42" t="str">
        <f ca="1">IFERROR(__xludf.DUMMYFUNCTION("""COMPUTED_VALUE"""),"Comedores Comunitarios")</f>
        <v>Comedores Comunitarios</v>
      </c>
      <c r="F1217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217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217" s="42" t="str">
        <f ca="1">IFERROR(__xludf.DUMMYFUNCTION("""COMPUTED_VALUE"""),"AMH Agosto")</f>
        <v>AMH Agosto</v>
      </c>
      <c r="I1217" s="42" t="str">
        <f ca="1">IFERROR(__xludf.DUMMYFUNCTION("""COMPUTED_VALUE"""),"Agosto")</f>
        <v>Agosto</v>
      </c>
      <c r="J1217" s="42" t="str">
        <f ca="1">IFERROR(__xludf.DUMMYFUNCTION("""COMPUTED_VALUE"""),"AMH")</f>
        <v>AMH</v>
      </c>
      <c r="K1217" s="98">
        <f ca="1">IFERROR(__xludf.DUMMYFUNCTION("""COMPUTED_VALUE"""),118)</f>
        <v>118</v>
      </c>
      <c r="L1217" s="42" t="str">
        <f ca="1">IFERROR(__xludf.DUMMYFUNCTION("""COMPUTED_VALUE"""),"TRIMESTRE 3")</f>
        <v>TRIMESTRE 3</v>
      </c>
      <c r="M1217" s="42" t="str">
        <f ca="1">IFERROR(__xludf.DUMMYFUNCTION("""COMPUTED_VALUE"""),"ADULTO MAYOR HOMBRE")</f>
        <v>ADULTO MAYOR HOMBRE</v>
      </c>
    </row>
    <row r="1218" spans="1:13">
      <c r="A1218" s="42" t="str">
        <f ca="1">IFERROR(__xludf.DUMMYFUNCTION("""COMPUTED_VALUE"""),"2.1.1.12")</f>
        <v>2.1.1.12</v>
      </c>
      <c r="B1218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218" s="42" t="str">
        <f ca="1">IFERROR(__xludf.DUMMYFUNCTION("""COMPUTED_VALUE"""),"3. Operación")</f>
        <v>3. Operación</v>
      </c>
      <c r="D1218" s="42" t="str">
        <f ca="1">IFERROR(__xludf.DUMMYFUNCTION("""COMPUTED_VALUE"""),"Guadalajara en Paz")</f>
        <v>Guadalajara en Paz</v>
      </c>
      <c r="E1218" s="42" t="str">
        <f ca="1">IFERROR(__xludf.DUMMYFUNCTION("""COMPUTED_VALUE"""),"Comedores Comunitarios")</f>
        <v>Comedores Comunitarios</v>
      </c>
      <c r="F1218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218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218" s="42" t="str">
        <f ca="1">IFERROR(__xludf.DUMMYFUNCTION("""COMPUTED_VALUE"""),"NAS Septiembre")</f>
        <v>NAS Septiembre</v>
      </c>
      <c r="I1218" s="42" t="str">
        <f ca="1">IFERROR(__xludf.DUMMYFUNCTION("""COMPUTED_VALUE"""),"Septiembre")</f>
        <v>Septiembre</v>
      </c>
      <c r="J1218" s="42" t="str">
        <f ca="1">IFERROR(__xludf.DUMMYFUNCTION("""COMPUTED_VALUE"""),"NAS")</f>
        <v>NAS</v>
      </c>
      <c r="K1218" s="98">
        <f ca="1">IFERROR(__xludf.DUMMYFUNCTION("""COMPUTED_VALUE"""),30)</f>
        <v>30</v>
      </c>
      <c r="L1218" s="42" t="str">
        <f ca="1">IFERROR(__xludf.DUMMYFUNCTION("""COMPUTED_VALUE"""),"TRIMESTRE 3")</f>
        <v>TRIMESTRE 3</v>
      </c>
      <c r="M1218" s="42" t="str">
        <f ca="1">IFERROR(__xludf.DUMMYFUNCTION("""COMPUTED_VALUE"""),"NIÑAS")</f>
        <v>NIÑAS</v>
      </c>
    </row>
    <row r="1219" spans="1:13">
      <c r="A1219" s="42" t="str">
        <f ca="1">IFERROR(__xludf.DUMMYFUNCTION("""COMPUTED_VALUE"""),"2.1.1.12")</f>
        <v>2.1.1.12</v>
      </c>
      <c r="B1219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219" s="42" t="str">
        <f ca="1">IFERROR(__xludf.DUMMYFUNCTION("""COMPUTED_VALUE"""),"3. Operación")</f>
        <v>3. Operación</v>
      </c>
      <c r="D1219" s="42" t="str">
        <f ca="1">IFERROR(__xludf.DUMMYFUNCTION("""COMPUTED_VALUE"""),"Guadalajara en Paz")</f>
        <v>Guadalajara en Paz</v>
      </c>
      <c r="E1219" s="42" t="str">
        <f ca="1">IFERROR(__xludf.DUMMYFUNCTION("""COMPUTED_VALUE"""),"Comedores Comunitarios")</f>
        <v>Comedores Comunitarios</v>
      </c>
      <c r="F1219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219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219" s="42" t="str">
        <f ca="1">IFERROR(__xludf.DUMMYFUNCTION("""COMPUTED_VALUE"""),"NOS Septiembre")</f>
        <v>NOS Septiembre</v>
      </c>
      <c r="I1219" s="42" t="str">
        <f ca="1">IFERROR(__xludf.DUMMYFUNCTION("""COMPUTED_VALUE"""),"Septiembre")</f>
        <v>Septiembre</v>
      </c>
      <c r="J1219" s="42" t="str">
        <f ca="1">IFERROR(__xludf.DUMMYFUNCTION("""COMPUTED_VALUE"""),"NOS")</f>
        <v>NOS</v>
      </c>
      <c r="K1219" s="98">
        <f ca="1">IFERROR(__xludf.DUMMYFUNCTION("""COMPUTED_VALUE"""),34)</f>
        <v>34</v>
      </c>
      <c r="L1219" s="42" t="str">
        <f ca="1">IFERROR(__xludf.DUMMYFUNCTION("""COMPUTED_VALUE"""),"TRIMESTRE 3")</f>
        <v>TRIMESTRE 3</v>
      </c>
      <c r="M1219" s="42" t="str">
        <f ca="1">IFERROR(__xludf.DUMMYFUNCTION("""COMPUTED_VALUE"""),"NIÑOS")</f>
        <v>NIÑOS</v>
      </c>
    </row>
    <row r="1220" spans="1:13">
      <c r="A1220" s="42" t="str">
        <f ca="1">IFERROR(__xludf.DUMMYFUNCTION("""COMPUTED_VALUE"""),"2.1.1.12")</f>
        <v>2.1.1.12</v>
      </c>
      <c r="B1220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220" s="42" t="str">
        <f ca="1">IFERROR(__xludf.DUMMYFUNCTION("""COMPUTED_VALUE"""),"3. Operación")</f>
        <v>3. Operación</v>
      </c>
      <c r="D1220" s="42" t="str">
        <f ca="1">IFERROR(__xludf.DUMMYFUNCTION("""COMPUTED_VALUE"""),"Guadalajara en Paz")</f>
        <v>Guadalajara en Paz</v>
      </c>
      <c r="E1220" s="42" t="str">
        <f ca="1">IFERROR(__xludf.DUMMYFUNCTION("""COMPUTED_VALUE"""),"Comedores Comunitarios")</f>
        <v>Comedores Comunitarios</v>
      </c>
      <c r="F1220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220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220" s="42" t="str">
        <f ca="1">IFERROR(__xludf.DUMMYFUNCTION("""COMPUTED_VALUE"""),"AM SEPTIEMBRE")</f>
        <v>AM SEPTIEMBRE</v>
      </c>
      <c r="I1220" s="42" t="str">
        <f ca="1">IFERROR(__xludf.DUMMYFUNCTION("""COMPUTED_VALUE"""),"Septiembre")</f>
        <v>Septiembre</v>
      </c>
      <c r="J1220" s="42" t="str">
        <f ca="1">IFERROR(__xludf.DUMMYFUNCTION("""COMPUTED_VALUE"""),"AM")</f>
        <v>AM</v>
      </c>
      <c r="K1220" s="98">
        <f ca="1">IFERROR(__xludf.DUMMYFUNCTION("""COMPUTED_VALUE"""),30)</f>
        <v>30</v>
      </c>
      <c r="L1220" s="42" t="str">
        <f ca="1">IFERROR(__xludf.DUMMYFUNCTION("""COMPUTED_VALUE"""),"TRIMESTRE 3")</f>
        <v>TRIMESTRE 3</v>
      </c>
      <c r="M1220" s="42" t="str">
        <f ca="1">IFERROR(__xludf.DUMMYFUNCTION("""COMPUTED_VALUE"""),"ADOLESCENTES MUJERES")</f>
        <v>ADOLESCENTES MUJERES</v>
      </c>
    </row>
    <row r="1221" spans="1:13">
      <c r="A1221" s="42" t="str">
        <f ca="1">IFERROR(__xludf.DUMMYFUNCTION("""COMPUTED_VALUE"""),"2.1.1.12")</f>
        <v>2.1.1.12</v>
      </c>
      <c r="B1221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221" s="42" t="str">
        <f ca="1">IFERROR(__xludf.DUMMYFUNCTION("""COMPUTED_VALUE"""),"3. Operación")</f>
        <v>3. Operación</v>
      </c>
      <c r="D1221" s="42" t="str">
        <f ca="1">IFERROR(__xludf.DUMMYFUNCTION("""COMPUTED_VALUE"""),"Guadalajara en Paz")</f>
        <v>Guadalajara en Paz</v>
      </c>
      <c r="E1221" s="42" t="str">
        <f ca="1">IFERROR(__xludf.DUMMYFUNCTION("""COMPUTED_VALUE"""),"Comedores Comunitarios")</f>
        <v>Comedores Comunitarios</v>
      </c>
      <c r="F1221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221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221" s="42" t="str">
        <f ca="1">IFERROR(__xludf.DUMMYFUNCTION("""COMPUTED_VALUE"""),"AH SEPTIEMBRE")</f>
        <v>AH SEPTIEMBRE</v>
      </c>
      <c r="I1221" s="42" t="str">
        <f ca="1">IFERROR(__xludf.DUMMYFUNCTION("""COMPUTED_VALUE"""),"Septiembre")</f>
        <v>Septiembre</v>
      </c>
      <c r="J1221" s="42" t="str">
        <f ca="1">IFERROR(__xludf.DUMMYFUNCTION("""COMPUTED_VALUE"""),"AH")</f>
        <v>AH</v>
      </c>
      <c r="K1221" s="98">
        <f ca="1">IFERROR(__xludf.DUMMYFUNCTION("""COMPUTED_VALUE"""),26)</f>
        <v>26</v>
      </c>
      <c r="L1221" s="42" t="str">
        <f ca="1">IFERROR(__xludf.DUMMYFUNCTION("""COMPUTED_VALUE"""),"TRIMESTRE 3")</f>
        <v>TRIMESTRE 3</v>
      </c>
      <c r="M1221" s="42" t="str">
        <f ca="1">IFERROR(__xludf.DUMMYFUNCTION("""COMPUTED_VALUE"""),"ADOLESCENTES HOMBRES")</f>
        <v>ADOLESCENTES HOMBRES</v>
      </c>
    </row>
    <row r="1222" spans="1:13">
      <c r="A1222" s="42" t="str">
        <f ca="1">IFERROR(__xludf.DUMMYFUNCTION("""COMPUTED_VALUE"""),"2.1.1.12")</f>
        <v>2.1.1.12</v>
      </c>
      <c r="B1222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222" s="42" t="str">
        <f ca="1">IFERROR(__xludf.DUMMYFUNCTION("""COMPUTED_VALUE"""),"3. Operación")</f>
        <v>3. Operación</v>
      </c>
      <c r="D1222" s="42" t="str">
        <f ca="1">IFERROR(__xludf.DUMMYFUNCTION("""COMPUTED_VALUE"""),"Guadalajara en Paz")</f>
        <v>Guadalajara en Paz</v>
      </c>
      <c r="E1222" s="42" t="str">
        <f ca="1">IFERROR(__xludf.DUMMYFUNCTION("""COMPUTED_VALUE"""),"Comedores Comunitarios")</f>
        <v>Comedores Comunitarios</v>
      </c>
      <c r="F1222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222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222" s="42" t="str">
        <f ca="1">IFERROR(__xludf.DUMMYFUNCTION("""COMPUTED_VALUE"""),"MUJ Septiembre")</f>
        <v>MUJ Septiembre</v>
      </c>
      <c r="I1222" s="42" t="str">
        <f ca="1">IFERROR(__xludf.DUMMYFUNCTION("""COMPUTED_VALUE"""),"Septiembre")</f>
        <v>Septiembre</v>
      </c>
      <c r="J1222" s="42" t="str">
        <f ca="1">IFERROR(__xludf.DUMMYFUNCTION("""COMPUTED_VALUE"""),"MUJ")</f>
        <v>MUJ</v>
      </c>
      <c r="K1222" s="98">
        <f ca="1">IFERROR(__xludf.DUMMYFUNCTION("""COMPUTED_VALUE"""),112)</f>
        <v>112</v>
      </c>
      <c r="L1222" s="42" t="str">
        <f ca="1">IFERROR(__xludf.DUMMYFUNCTION("""COMPUTED_VALUE"""),"TRIMESTRE 3")</f>
        <v>TRIMESTRE 3</v>
      </c>
      <c r="M1222" s="42" t="str">
        <f ca="1">IFERROR(__xludf.DUMMYFUNCTION("""COMPUTED_VALUE"""),"MUJERES ADULTAS")</f>
        <v>MUJERES ADULTAS</v>
      </c>
    </row>
    <row r="1223" spans="1:13">
      <c r="A1223" s="42" t="str">
        <f ca="1">IFERROR(__xludf.DUMMYFUNCTION("""COMPUTED_VALUE"""),"2.1.1.12")</f>
        <v>2.1.1.12</v>
      </c>
      <c r="B1223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223" s="42" t="str">
        <f ca="1">IFERROR(__xludf.DUMMYFUNCTION("""COMPUTED_VALUE"""),"3. Operación")</f>
        <v>3. Operación</v>
      </c>
      <c r="D1223" s="42" t="str">
        <f ca="1">IFERROR(__xludf.DUMMYFUNCTION("""COMPUTED_VALUE"""),"Guadalajara en Paz")</f>
        <v>Guadalajara en Paz</v>
      </c>
      <c r="E1223" s="42" t="str">
        <f ca="1">IFERROR(__xludf.DUMMYFUNCTION("""COMPUTED_VALUE"""),"Comedores Comunitarios")</f>
        <v>Comedores Comunitarios</v>
      </c>
      <c r="F1223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223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223" s="42" t="str">
        <f ca="1">IFERROR(__xludf.DUMMYFUNCTION("""COMPUTED_VALUE"""),"HOM Septiembre")</f>
        <v>HOM Septiembre</v>
      </c>
      <c r="I1223" s="42" t="str">
        <f ca="1">IFERROR(__xludf.DUMMYFUNCTION("""COMPUTED_VALUE"""),"Septiembre")</f>
        <v>Septiembre</v>
      </c>
      <c r="J1223" s="42" t="str">
        <f ca="1">IFERROR(__xludf.DUMMYFUNCTION("""COMPUTED_VALUE"""),"HOM")</f>
        <v>HOM</v>
      </c>
      <c r="K1223" s="98">
        <f ca="1">IFERROR(__xludf.DUMMYFUNCTION("""COMPUTED_VALUE"""),54)</f>
        <v>54</v>
      </c>
      <c r="L1223" s="42" t="str">
        <f ca="1">IFERROR(__xludf.DUMMYFUNCTION("""COMPUTED_VALUE"""),"TRIMESTRE 3")</f>
        <v>TRIMESTRE 3</v>
      </c>
      <c r="M1223" s="42" t="str">
        <f ca="1">IFERROR(__xludf.DUMMYFUNCTION("""COMPUTED_VALUE"""),"HOMBRES ADULTOS")</f>
        <v>HOMBRES ADULTOS</v>
      </c>
    </row>
    <row r="1224" spans="1:13">
      <c r="A1224" s="42" t="str">
        <f ca="1">IFERROR(__xludf.DUMMYFUNCTION("""COMPUTED_VALUE"""),"2.1.1.12")</f>
        <v>2.1.1.12</v>
      </c>
      <c r="B1224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224" s="42" t="str">
        <f ca="1">IFERROR(__xludf.DUMMYFUNCTION("""COMPUTED_VALUE"""),"3. Operación")</f>
        <v>3. Operación</v>
      </c>
      <c r="D1224" s="42" t="str">
        <f ca="1">IFERROR(__xludf.DUMMYFUNCTION("""COMPUTED_VALUE"""),"Guadalajara en Paz")</f>
        <v>Guadalajara en Paz</v>
      </c>
      <c r="E1224" s="42" t="str">
        <f ca="1">IFERROR(__xludf.DUMMYFUNCTION("""COMPUTED_VALUE"""),"Comedores Comunitarios")</f>
        <v>Comedores Comunitarios</v>
      </c>
      <c r="F1224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224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224" s="42" t="str">
        <f ca="1">IFERROR(__xludf.DUMMYFUNCTION("""COMPUTED_VALUE"""),"AMM Septiembre")</f>
        <v>AMM Septiembre</v>
      </c>
      <c r="I1224" s="42" t="str">
        <f ca="1">IFERROR(__xludf.DUMMYFUNCTION("""COMPUTED_VALUE"""),"Septiembre")</f>
        <v>Septiembre</v>
      </c>
      <c r="J1224" s="42" t="str">
        <f ca="1">IFERROR(__xludf.DUMMYFUNCTION("""COMPUTED_VALUE"""),"AMM")</f>
        <v>AMM</v>
      </c>
      <c r="K1224" s="98">
        <f ca="1">IFERROR(__xludf.DUMMYFUNCTION("""COMPUTED_VALUE"""),207)</f>
        <v>207</v>
      </c>
      <c r="L1224" s="42" t="str">
        <f ca="1">IFERROR(__xludf.DUMMYFUNCTION("""COMPUTED_VALUE"""),"TRIMESTRE 3")</f>
        <v>TRIMESTRE 3</v>
      </c>
      <c r="M1224" s="42" t="str">
        <f ca="1">IFERROR(__xludf.DUMMYFUNCTION("""COMPUTED_VALUE"""),"ADULTA MAYOR MUJER")</f>
        <v>ADULTA MAYOR MUJER</v>
      </c>
    </row>
    <row r="1225" spans="1:13">
      <c r="A1225" s="42" t="str">
        <f ca="1">IFERROR(__xludf.DUMMYFUNCTION("""COMPUTED_VALUE"""),"2.1.1.12")</f>
        <v>2.1.1.12</v>
      </c>
      <c r="B1225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225" s="42" t="str">
        <f ca="1">IFERROR(__xludf.DUMMYFUNCTION("""COMPUTED_VALUE"""),"3. Operación")</f>
        <v>3. Operación</v>
      </c>
      <c r="D1225" s="42" t="str">
        <f ca="1">IFERROR(__xludf.DUMMYFUNCTION("""COMPUTED_VALUE"""),"Guadalajara en Paz")</f>
        <v>Guadalajara en Paz</v>
      </c>
      <c r="E1225" s="42" t="str">
        <f ca="1">IFERROR(__xludf.DUMMYFUNCTION("""COMPUTED_VALUE"""),"Comedores Comunitarios")</f>
        <v>Comedores Comunitarios</v>
      </c>
      <c r="F1225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225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225" s="42" t="str">
        <f ca="1">IFERROR(__xludf.DUMMYFUNCTION("""COMPUTED_VALUE"""),"AMH Septiembre")</f>
        <v>AMH Septiembre</v>
      </c>
      <c r="I1225" s="42" t="str">
        <f ca="1">IFERROR(__xludf.DUMMYFUNCTION("""COMPUTED_VALUE"""),"Septiembre")</f>
        <v>Septiembre</v>
      </c>
      <c r="J1225" s="42" t="str">
        <f ca="1">IFERROR(__xludf.DUMMYFUNCTION("""COMPUTED_VALUE"""),"AMH")</f>
        <v>AMH</v>
      </c>
      <c r="K1225" s="98">
        <f ca="1">IFERROR(__xludf.DUMMYFUNCTION("""COMPUTED_VALUE"""),118)</f>
        <v>118</v>
      </c>
      <c r="L1225" s="42" t="str">
        <f ca="1">IFERROR(__xludf.DUMMYFUNCTION("""COMPUTED_VALUE"""),"TRIMESTRE 3")</f>
        <v>TRIMESTRE 3</v>
      </c>
      <c r="M1225" s="42" t="str">
        <f ca="1">IFERROR(__xludf.DUMMYFUNCTION("""COMPUTED_VALUE"""),"ADULTO MAYOR HOMBRE")</f>
        <v>ADULTO MAYOR HOMBRE</v>
      </c>
    </row>
    <row r="1226" spans="1:13">
      <c r="A1226" s="42" t="str">
        <f ca="1">IFERROR(__xludf.DUMMYFUNCTION("""COMPUTED_VALUE"""),"2.1.1.12")</f>
        <v>2.1.1.12</v>
      </c>
      <c r="B1226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226" s="42" t="str">
        <f ca="1">IFERROR(__xludf.DUMMYFUNCTION("""COMPUTED_VALUE"""),"3. Operación")</f>
        <v>3. Operación</v>
      </c>
      <c r="D1226" s="42" t="str">
        <f ca="1">IFERROR(__xludf.DUMMYFUNCTION("""COMPUTED_VALUE"""),"Guadalajara en Paz")</f>
        <v>Guadalajara en Paz</v>
      </c>
      <c r="E1226" s="42" t="str">
        <f ca="1">IFERROR(__xludf.DUMMYFUNCTION("""COMPUTED_VALUE"""),"Comedores Comunitarios")</f>
        <v>Comedores Comunitarios</v>
      </c>
      <c r="F1226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226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226" s="42" t="str">
        <f ca="1">IFERROR(__xludf.DUMMYFUNCTION("""COMPUTED_VALUE"""),"NAS Octubre")</f>
        <v>NAS Octubre</v>
      </c>
      <c r="I1226" s="42" t="str">
        <f ca="1">IFERROR(__xludf.DUMMYFUNCTION("""COMPUTED_VALUE"""),"Octubre")</f>
        <v>Octubre</v>
      </c>
      <c r="J1226" s="42" t="str">
        <f ca="1">IFERROR(__xludf.DUMMYFUNCTION("""COMPUTED_VALUE"""),"NAS")</f>
        <v>NAS</v>
      </c>
      <c r="K1226" s="98"/>
      <c r="L1226" s="42" t="str">
        <f ca="1">IFERROR(__xludf.DUMMYFUNCTION("""COMPUTED_VALUE"""),"TRIMESTRE 4")</f>
        <v>TRIMESTRE 4</v>
      </c>
      <c r="M1226" s="42" t="str">
        <f ca="1">IFERROR(__xludf.DUMMYFUNCTION("""COMPUTED_VALUE"""),"NIÑAS")</f>
        <v>NIÑAS</v>
      </c>
    </row>
    <row r="1227" spans="1:13">
      <c r="A1227" s="42" t="str">
        <f ca="1">IFERROR(__xludf.DUMMYFUNCTION("""COMPUTED_VALUE"""),"2.1.1.12")</f>
        <v>2.1.1.12</v>
      </c>
      <c r="B1227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227" s="42" t="str">
        <f ca="1">IFERROR(__xludf.DUMMYFUNCTION("""COMPUTED_VALUE"""),"3. Operación")</f>
        <v>3. Operación</v>
      </c>
      <c r="D1227" s="42" t="str">
        <f ca="1">IFERROR(__xludf.DUMMYFUNCTION("""COMPUTED_VALUE"""),"Guadalajara en Paz")</f>
        <v>Guadalajara en Paz</v>
      </c>
      <c r="E1227" s="42" t="str">
        <f ca="1">IFERROR(__xludf.DUMMYFUNCTION("""COMPUTED_VALUE"""),"Comedores Comunitarios")</f>
        <v>Comedores Comunitarios</v>
      </c>
      <c r="F1227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227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227" s="42" t="str">
        <f ca="1">IFERROR(__xludf.DUMMYFUNCTION("""COMPUTED_VALUE"""),"NOS Octubre")</f>
        <v>NOS Octubre</v>
      </c>
      <c r="I1227" s="42" t="str">
        <f ca="1">IFERROR(__xludf.DUMMYFUNCTION("""COMPUTED_VALUE"""),"Octubre")</f>
        <v>Octubre</v>
      </c>
      <c r="J1227" s="42" t="str">
        <f ca="1">IFERROR(__xludf.DUMMYFUNCTION("""COMPUTED_VALUE"""),"NOS")</f>
        <v>NOS</v>
      </c>
      <c r="K1227" s="98"/>
      <c r="L1227" s="42" t="str">
        <f ca="1">IFERROR(__xludf.DUMMYFUNCTION("""COMPUTED_VALUE"""),"TRIMESTRE 4")</f>
        <v>TRIMESTRE 4</v>
      </c>
      <c r="M1227" s="42" t="str">
        <f ca="1">IFERROR(__xludf.DUMMYFUNCTION("""COMPUTED_VALUE"""),"NIÑOS")</f>
        <v>NIÑOS</v>
      </c>
    </row>
    <row r="1228" spans="1:13">
      <c r="A1228" s="42" t="str">
        <f ca="1">IFERROR(__xludf.DUMMYFUNCTION("""COMPUTED_VALUE"""),"2.1.1.12")</f>
        <v>2.1.1.12</v>
      </c>
      <c r="B1228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228" s="42" t="str">
        <f ca="1">IFERROR(__xludf.DUMMYFUNCTION("""COMPUTED_VALUE"""),"3. Operación")</f>
        <v>3. Operación</v>
      </c>
      <c r="D1228" s="42" t="str">
        <f ca="1">IFERROR(__xludf.DUMMYFUNCTION("""COMPUTED_VALUE"""),"Guadalajara en Paz")</f>
        <v>Guadalajara en Paz</v>
      </c>
      <c r="E1228" s="42" t="str">
        <f ca="1">IFERROR(__xludf.DUMMYFUNCTION("""COMPUTED_VALUE"""),"Comedores Comunitarios")</f>
        <v>Comedores Comunitarios</v>
      </c>
      <c r="F1228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228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228" s="42" t="str">
        <f ca="1">IFERROR(__xludf.DUMMYFUNCTION("""COMPUTED_VALUE"""),"AM OCTUBRe")</f>
        <v>AM OCTUBRe</v>
      </c>
      <c r="I1228" s="42" t="str">
        <f ca="1">IFERROR(__xludf.DUMMYFUNCTION("""COMPUTED_VALUE"""),"Octubre")</f>
        <v>Octubre</v>
      </c>
      <c r="J1228" s="42" t="str">
        <f ca="1">IFERROR(__xludf.DUMMYFUNCTION("""COMPUTED_VALUE"""),"AM")</f>
        <v>AM</v>
      </c>
      <c r="K1228" s="98"/>
      <c r="L1228" s="42" t="str">
        <f ca="1">IFERROR(__xludf.DUMMYFUNCTION("""COMPUTED_VALUE"""),"TRIMESTRE 4")</f>
        <v>TRIMESTRE 4</v>
      </c>
      <c r="M1228" s="42" t="str">
        <f ca="1">IFERROR(__xludf.DUMMYFUNCTION("""COMPUTED_VALUE"""),"ADOLESCENTES MUJERES")</f>
        <v>ADOLESCENTES MUJERES</v>
      </c>
    </row>
    <row r="1229" spans="1:13">
      <c r="A1229" s="42" t="str">
        <f ca="1">IFERROR(__xludf.DUMMYFUNCTION("""COMPUTED_VALUE"""),"2.1.1.12")</f>
        <v>2.1.1.12</v>
      </c>
      <c r="B1229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229" s="42" t="str">
        <f ca="1">IFERROR(__xludf.DUMMYFUNCTION("""COMPUTED_VALUE"""),"3. Operación")</f>
        <v>3. Operación</v>
      </c>
      <c r="D1229" s="42" t="str">
        <f ca="1">IFERROR(__xludf.DUMMYFUNCTION("""COMPUTED_VALUE"""),"Guadalajara en Paz")</f>
        <v>Guadalajara en Paz</v>
      </c>
      <c r="E1229" s="42" t="str">
        <f ca="1">IFERROR(__xludf.DUMMYFUNCTION("""COMPUTED_VALUE"""),"Comedores Comunitarios")</f>
        <v>Comedores Comunitarios</v>
      </c>
      <c r="F1229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229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229" s="42" t="str">
        <f ca="1">IFERROR(__xludf.DUMMYFUNCTION("""COMPUTED_VALUE"""),"AH OCTUBRE")</f>
        <v>AH OCTUBRE</v>
      </c>
      <c r="I1229" s="42" t="str">
        <f ca="1">IFERROR(__xludf.DUMMYFUNCTION("""COMPUTED_VALUE"""),"Octubre")</f>
        <v>Octubre</v>
      </c>
      <c r="J1229" s="42" t="str">
        <f ca="1">IFERROR(__xludf.DUMMYFUNCTION("""COMPUTED_VALUE"""),"AH")</f>
        <v>AH</v>
      </c>
      <c r="K1229" s="98"/>
      <c r="L1229" s="42" t="str">
        <f ca="1">IFERROR(__xludf.DUMMYFUNCTION("""COMPUTED_VALUE"""),"TRIMESTRE 4")</f>
        <v>TRIMESTRE 4</v>
      </c>
      <c r="M1229" s="42" t="str">
        <f ca="1">IFERROR(__xludf.DUMMYFUNCTION("""COMPUTED_VALUE"""),"ADOLESCENTES HOMBRES")</f>
        <v>ADOLESCENTES HOMBRES</v>
      </c>
    </row>
    <row r="1230" spans="1:13">
      <c r="A1230" s="42" t="str">
        <f ca="1">IFERROR(__xludf.DUMMYFUNCTION("""COMPUTED_VALUE"""),"2.1.1.12")</f>
        <v>2.1.1.12</v>
      </c>
      <c r="B1230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230" s="42" t="str">
        <f ca="1">IFERROR(__xludf.DUMMYFUNCTION("""COMPUTED_VALUE"""),"3. Operación")</f>
        <v>3. Operación</v>
      </c>
      <c r="D1230" s="42" t="str">
        <f ca="1">IFERROR(__xludf.DUMMYFUNCTION("""COMPUTED_VALUE"""),"Guadalajara en Paz")</f>
        <v>Guadalajara en Paz</v>
      </c>
      <c r="E1230" s="42" t="str">
        <f ca="1">IFERROR(__xludf.DUMMYFUNCTION("""COMPUTED_VALUE"""),"Comedores Comunitarios")</f>
        <v>Comedores Comunitarios</v>
      </c>
      <c r="F1230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230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230" s="42" t="str">
        <f ca="1">IFERROR(__xludf.DUMMYFUNCTION("""COMPUTED_VALUE"""),"MUJ Octubre")</f>
        <v>MUJ Octubre</v>
      </c>
      <c r="I1230" s="42" t="str">
        <f ca="1">IFERROR(__xludf.DUMMYFUNCTION("""COMPUTED_VALUE"""),"Octubre")</f>
        <v>Octubre</v>
      </c>
      <c r="J1230" s="42" t="str">
        <f ca="1">IFERROR(__xludf.DUMMYFUNCTION("""COMPUTED_VALUE"""),"MUJ")</f>
        <v>MUJ</v>
      </c>
      <c r="K1230" s="98"/>
      <c r="L1230" s="42" t="str">
        <f ca="1">IFERROR(__xludf.DUMMYFUNCTION("""COMPUTED_VALUE"""),"TRIMESTRE 4")</f>
        <v>TRIMESTRE 4</v>
      </c>
      <c r="M1230" s="42" t="str">
        <f ca="1">IFERROR(__xludf.DUMMYFUNCTION("""COMPUTED_VALUE"""),"MUJERES ADULTAS")</f>
        <v>MUJERES ADULTAS</v>
      </c>
    </row>
    <row r="1231" spans="1:13">
      <c r="A1231" s="42" t="str">
        <f ca="1">IFERROR(__xludf.DUMMYFUNCTION("""COMPUTED_VALUE"""),"2.1.1.12")</f>
        <v>2.1.1.12</v>
      </c>
      <c r="B1231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231" s="42" t="str">
        <f ca="1">IFERROR(__xludf.DUMMYFUNCTION("""COMPUTED_VALUE"""),"3. Operación")</f>
        <v>3. Operación</v>
      </c>
      <c r="D1231" s="42" t="str">
        <f ca="1">IFERROR(__xludf.DUMMYFUNCTION("""COMPUTED_VALUE"""),"Guadalajara en Paz")</f>
        <v>Guadalajara en Paz</v>
      </c>
      <c r="E1231" s="42" t="str">
        <f ca="1">IFERROR(__xludf.DUMMYFUNCTION("""COMPUTED_VALUE"""),"Comedores Comunitarios")</f>
        <v>Comedores Comunitarios</v>
      </c>
      <c r="F1231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231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231" s="42" t="str">
        <f ca="1">IFERROR(__xludf.DUMMYFUNCTION("""COMPUTED_VALUE"""),"HOM Octubre")</f>
        <v>HOM Octubre</v>
      </c>
      <c r="I1231" s="42" t="str">
        <f ca="1">IFERROR(__xludf.DUMMYFUNCTION("""COMPUTED_VALUE"""),"Octubre")</f>
        <v>Octubre</v>
      </c>
      <c r="J1231" s="42" t="str">
        <f ca="1">IFERROR(__xludf.DUMMYFUNCTION("""COMPUTED_VALUE"""),"HOM")</f>
        <v>HOM</v>
      </c>
      <c r="K1231" s="98"/>
      <c r="L1231" s="42" t="str">
        <f ca="1">IFERROR(__xludf.DUMMYFUNCTION("""COMPUTED_VALUE"""),"TRIMESTRE 4")</f>
        <v>TRIMESTRE 4</v>
      </c>
      <c r="M1231" s="42" t="str">
        <f ca="1">IFERROR(__xludf.DUMMYFUNCTION("""COMPUTED_VALUE"""),"HOMBRES ADULTOS")</f>
        <v>HOMBRES ADULTOS</v>
      </c>
    </row>
    <row r="1232" spans="1:13">
      <c r="A1232" s="42" t="str">
        <f ca="1">IFERROR(__xludf.DUMMYFUNCTION("""COMPUTED_VALUE"""),"2.1.1.12")</f>
        <v>2.1.1.12</v>
      </c>
      <c r="B1232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232" s="42" t="str">
        <f ca="1">IFERROR(__xludf.DUMMYFUNCTION("""COMPUTED_VALUE"""),"3. Operación")</f>
        <v>3. Operación</v>
      </c>
      <c r="D1232" s="42" t="str">
        <f ca="1">IFERROR(__xludf.DUMMYFUNCTION("""COMPUTED_VALUE"""),"Guadalajara en Paz")</f>
        <v>Guadalajara en Paz</v>
      </c>
      <c r="E1232" s="42" t="str">
        <f ca="1">IFERROR(__xludf.DUMMYFUNCTION("""COMPUTED_VALUE"""),"Comedores Comunitarios")</f>
        <v>Comedores Comunitarios</v>
      </c>
      <c r="F1232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232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232" s="42" t="str">
        <f ca="1">IFERROR(__xludf.DUMMYFUNCTION("""COMPUTED_VALUE"""),"AMM Octubre")</f>
        <v>AMM Octubre</v>
      </c>
      <c r="I1232" s="42" t="str">
        <f ca="1">IFERROR(__xludf.DUMMYFUNCTION("""COMPUTED_VALUE"""),"Octubre")</f>
        <v>Octubre</v>
      </c>
      <c r="J1232" s="42" t="str">
        <f ca="1">IFERROR(__xludf.DUMMYFUNCTION("""COMPUTED_VALUE"""),"AMM")</f>
        <v>AMM</v>
      </c>
      <c r="K1232" s="98"/>
      <c r="L1232" s="42" t="str">
        <f ca="1">IFERROR(__xludf.DUMMYFUNCTION("""COMPUTED_VALUE"""),"TRIMESTRE 4")</f>
        <v>TRIMESTRE 4</v>
      </c>
      <c r="M1232" s="42" t="str">
        <f ca="1">IFERROR(__xludf.DUMMYFUNCTION("""COMPUTED_VALUE"""),"ADULTA MAYOR MUJER")</f>
        <v>ADULTA MAYOR MUJER</v>
      </c>
    </row>
    <row r="1233" spans="1:13">
      <c r="A1233" s="42" t="str">
        <f ca="1">IFERROR(__xludf.DUMMYFUNCTION("""COMPUTED_VALUE"""),"2.1.1.12")</f>
        <v>2.1.1.12</v>
      </c>
      <c r="B1233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233" s="42" t="str">
        <f ca="1">IFERROR(__xludf.DUMMYFUNCTION("""COMPUTED_VALUE"""),"3. Operación")</f>
        <v>3. Operación</v>
      </c>
      <c r="D1233" s="42" t="str">
        <f ca="1">IFERROR(__xludf.DUMMYFUNCTION("""COMPUTED_VALUE"""),"Guadalajara en Paz")</f>
        <v>Guadalajara en Paz</v>
      </c>
      <c r="E1233" s="42" t="str">
        <f ca="1">IFERROR(__xludf.DUMMYFUNCTION("""COMPUTED_VALUE"""),"Comedores Comunitarios")</f>
        <v>Comedores Comunitarios</v>
      </c>
      <c r="F1233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233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233" s="42" t="str">
        <f ca="1">IFERROR(__xludf.DUMMYFUNCTION("""COMPUTED_VALUE"""),"AMH Octubre")</f>
        <v>AMH Octubre</v>
      </c>
      <c r="I1233" s="42" t="str">
        <f ca="1">IFERROR(__xludf.DUMMYFUNCTION("""COMPUTED_VALUE"""),"Octubre")</f>
        <v>Octubre</v>
      </c>
      <c r="J1233" s="42" t="str">
        <f ca="1">IFERROR(__xludf.DUMMYFUNCTION("""COMPUTED_VALUE"""),"AMH")</f>
        <v>AMH</v>
      </c>
      <c r="K1233" s="98"/>
      <c r="L1233" s="42" t="str">
        <f ca="1">IFERROR(__xludf.DUMMYFUNCTION("""COMPUTED_VALUE"""),"TRIMESTRE 4")</f>
        <v>TRIMESTRE 4</v>
      </c>
      <c r="M1233" s="42" t="str">
        <f ca="1">IFERROR(__xludf.DUMMYFUNCTION("""COMPUTED_VALUE"""),"ADULTO MAYOR HOMBRE")</f>
        <v>ADULTO MAYOR HOMBRE</v>
      </c>
    </row>
    <row r="1234" spans="1:13">
      <c r="A1234" s="42" t="str">
        <f ca="1">IFERROR(__xludf.DUMMYFUNCTION("""COMPUTED_VALUE"""),"2.1.1.12")</f>
        <v>2.1.1.12</v>
      </c>
      <c r="B1234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234" s="42" t="str">
        <f ca="1">IFERROR(__xludf.DUMMYFUNCTION("""COMPUTED_VALUE"""),"3. Operación")</f>
        <v>3. Operación</v>
      </c>
      <c r="D1234" s="42" t="str">
        <f ca="1">IFERROR(__xludf.DUMMYFUNCTION("""COMPUTED_VALUE"""),"Guadalajara en Paz")</f>
        <v>Guadalajara en Paz</v>
      </c>
      <c r="E1234" s="42" t="str">
        <f ca="1">IFERROR(__xludf.DUMMYFUNCTION("""COMPUTED_VALUE"""),"Comedores Comunitarios")</f>
        <v>Comedores Comunitarios</v>
      </c>
      <c r="F1234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234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234" s="42" t="str">
        <f ca="1">IFERROR(__xludf.DUMMYFUNCTION("""COMPUTED_VALUE"""),"NAS Noviembre")</f>
        <v>NAS Noviembre</v>
      </c>
      <c r="I1234" s="42" t="str">
        <f ca="1">IFERROR(__xludf.DUMMYFUNCTION("""COMPUTED_VALUE"""),"Noviembre")</f>
        <v>Noviembre</v>
      </c>
      <c r="J1234" s="42" t="str">
        <f ca="1">IFERROR(__xludf.DUMMYFUNCTION("""COMPUTED_VALUE"""),"NAS")</f>
        <v>NAS</v>
      </c>
      <c r="K1234" s="98"/>
      <c r="L1234" s="42" t="str">
        <f ca="1">IFERROR(__xludf.DUMMYFUNCTION("""COMPUTED_VALUE"""),"TRIMESTRE 4")</f>
        <v>TRIMESTRE 4</v>
      </c>
      <c r="M1234" s="42" t="str">
        <f ca="1">IFERROR(__xludf.DUMMYFUNCTION("""COMPUTED_VALUE"""),"NIÑAS")</f>
        <v>NIÑAS</v>
      </c>
    </row>
    <row r="1235" spans="1:13">
      <c r="A1235" s="42" t="str">
        <f ca="1">IFERROR(__xludf.DUMMYFUNCTION("""COMPUTED_VALUE"""),"2.1.1.12")</f>
        <v>2.1.1.12</v>
      </c>
      <c r="B1235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235" s="42" t="str">
        <f ca="1">IFERROR(__xludf.DUMMYFUNCTION("""COMPUTED_VALUE"""),"3. Operación")</f>
        <v>3. Operación</v>
      </c>
      <c r="D1235" s="42" t="str">
        <f ca="1">IFERROR(__xludf.DUMMYFUNCTION("""COMPUTED_VALUE"""),"Guadalajara en Paz")</f>
        <v>Guadalajara en Paz</v>
      </c>
      <c r="E1235" s="42" t="str">
        <f ca="1">IFERROR(__xludf.DUMMYFUNCTION("""COMPUTED_VALUE"""),"Comedores Comunitarios")</f>
        <v>Comedores Comunitarios</v>
      </c>
      <c r="F1235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235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235" s="42" t="str">
        <f ca="1">IFERROR(__xludf.DUMMYFUNCTION("""COMPUTED_VALUE"""),"NOS Noviembre")</f>
        <v>NOS Noviembre</v>
      </c>
      <c r="I1235" s="42" t="str">
        <f ca="1">IFERROR(__xludf.DUMMYFUNCTION("""COMPUTED_VALUE"""),"Noviembre")</f>
        <v>Noviembre</v>
      </c>
      <c r="J1235" s="42" t="str">
        <f ca="1">IFERROR(__xludf.DUMMYFUNCTION("""COMPUTED_VALUE"""),"NOS")</f>
        <v>NOS</v>
      </c>
      <c r="K1235" s="98"/>
      <c r="L1235" s="42" t="str">
        <f ca="1">IFERROR(__xludf.DUMMYFUNCTION("""COMPUTED_VALUE"""),"TRIMESTRE 4")</f>
        <v>TRIMESTRE 4</v>
      </c>
      <c r="M1235" s="42" t="str">
        <f ca="1">IFERROR(__xludf.DUMMYFUNCTION("""COMPUTED_VALUE"""),"NIÑOS")</f>
        <v>NIÑOS</v>
      </c>
    </row>
    <row r="1236" spans="1:13">
      <c r="A1236" s="42" t="str">
        <f ca="1">IFERROR(__xludf.DUMMYFUNCTION("""COMPUTED_VALUE"""),"2.1.1.12")</f>
        <v>2.1.1.12</v>
      </c>
      <c r="B1236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236" s="42" t="str">
        <f ca="1">IFERROR(__xludf.DUMMYFUNCTION("""COMPUTED_VALUE"""),"3. Operación")</f>
        <v>3. Operación</v>
      </c>
      <c r="D1236" s="42" t="str">
        <f ca="1">IFERROR(__xludf.DUMMYFUNCTION("""COMPUTED_VALUE"""),"Guadalajara en Paz")</f>
        <v>Guadalajara en Paz</v>
      </c>
      <c r="E1236" s="42" t="str">
        <f ca="1">IFERROR(__xludf.DUMMYFUNCTION("""COMPUTED_VALUE"""),"Comedores Comunitarios")</f>
        <v>Comedores Comunitarios</v>
      </c>
      <c r="F1236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236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236" s="42" t="str">
        <f ca="1">IFERROR(__xludf.DUMMYFUNCTION("""COMPUTED_VALUE"""),"AM NOVIEMBRE")</f>
        <v>AM NOVIEMBRE</v>
      </c>
      <c r="I1236" s="42" t="str">
        <f ca="1">IFERROR(__xludf.DUMMYFUNCTION("""COMPUTED_VALUE"""),"Noviembre")</f>
        <v>Noviembre</v>
      </c>
      <c r="J1236" s="42" t="str">
        <f ca="1">IFERROR(__xludf.DUMMYFUNCTION("""COMPUTED_VALUE"""),"AM")</f>
        <v>AM</v>
      </c>
      <c r="K1236" s="98"/>
      <c r="L1236" s="42" t="str">
        <f ca="1">IFERROR(__xludf.DUMMYFUNCTION("""COMPUTED_VALUE"""),"TRIMESTRE 4")</f>
        <v>TRIMESTRE 4</v>
      </c>
      <c r="M1236" s="42" t="str">
        <f ca="1">IFERROR(__xludf.DUMMYFUNCTION("""COMPUTED_VALUE"""),"ADOLESCENTES MUJERES")</f>
        <v>ADOLESCENTES MUJERES</v>
      </c>
    </row>
    <row r="1237" spans="1:13">
      <c r="A1237" s="42" t="str">
        <f ca="1">IFERROR(__xludf.DUMMYFUNCTION("""COMPUTED_VALUE"""),"2.1.1.12")</f>
        <v>2.1.1.12</v>
      </c>
      <c r="B1237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237" s="42" t="str">
        <f ca="1">IFERROR(__xludf.DUMMYFUNCTION("""COMPUTED_VALUE"""),"3. Operación")</f>
        <v>3. Operación</v>
      </c>
      <c r="D1237" s="42" t="str">
        <f ca="1">IFERROR(__xludf.DUMMYFUNCTION("""COMPUTED_VALUE"""),"Guadalajara en Paz")</f>
        <v>Guadalajara en Paz</v>
      </c>
      <c r="E1237" s="42" t="str">
        <f ca="1">IFERROR(__xludf.DUMMYFUNCTION("""COMPUTED_VALUE"""),"Comedores Comunitarios")</f>
        <v>Comedores Comunitarios</v>
      </c>
      <c r="F1237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237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237" s="42" t="str">
        <f ca="1">IFERROR(__xludf.DUMMYFUNCTION("""COMPUTED_VALUE"""),"AH NOVIEMBRE")</f>
        <v>AH NOVIEMBRE</v>
      </c>
      <c r="I1237" s="42" t="str">
        <f ca="1">IFERROR(__xludf.DUMMYFUNCTION("""COMPUTED_VALUE"""),"Noviembre")</f>
        <v>Noviembre</v>
      </c>
      <c r="J1237" s="42" t="str">
        <f ca="1">IFERROR(__xludf.DUMMYFUNCTION("""COMPUTED_VALUE"""),"AH")</f>
        <v>AH</v>
      </c>
      <c r="K1237" s="98"/>
      <c r="L1237" s="42" t="str">
        <f ca="1">IFERROR(__xludf.DUMMYFUNCTION("""COMPUTED_VALUE"""),"TRIMESTRE 4")</f>
        <v>TRIMESTRE 4</v>
      </c>
      <c r="M1237" s="42" t="str">
        <f ca="1">IFERROR(__xludf.DUMMYFUNCTION("""COMPUTED_VALUE"""),"ADOLESCENTES HOMBRES")</f>
        <v>ADOLESCENTES HOMBRES</v>
      </c>
    </row>
    <row r="1238" spans="1:13">
      <c r="A1238" s="42" t="str">
        <f ca="1">IFERROR(__xludf.DUMMYFUNCTION("""COMPUTED_VALUE"""),"2.1.1.12")</f>
        <v>2.1.1.12</v>
      </c>
      <c r="B1238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238" s="42" t="str">
        <f ca="1">IFERROR(__xludf.DUMMYFUNCTION("""COMPUTED_VALUE"""),"3. Operación")</f>
        <v>3. Operación</v>
      </c>
      <c r="D1238" s="42" t="str">
        <f ca="1">IFERROR(__xludf.DUMMYFUNCTION("""COMPUTED_VALUE"""),"Guadalajara en Paz")</f>
        <v>Guadalajara en Paz</v>
      </c>
      <c r="E1238" s="42" t="str">
        <f ca="1">IFERROR(__xludf.DUMMYFUNCTION("""COMPUTED_VALUE"""),"Comedores Comunitarios")</f>
        <v>Comedores Comunitarios</v>
      </c>
      <c r="F1238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238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238" s="42" t="str">
        <f ca="1">IFERROR(__xludf.DUMMYFUNCTION("""COMPUTED_VALUE"""),"MUJ Noviembre")</f>
        <v>MUJ Noviembre</v>
      </c>
      <c r="I1238" s="42" t="str">
        <f ca="1">IFERROR(__xludf.DUMMYFUNCTION("""COMPUTED_VALUE"""),"Noviembre")</f>
        <v>Noviembre</v>
      </c>
      <c r="J1238" s="42" t="str">
        <f ca="1">IFERROR(__xludf.DUMMYFUNCTION("""COMPUTED_VALUE"""),"MUJ")</f>
        <v>MUJ</v>
      </c>
      <c r="K1238" s="98"/>
      <c r="L1238" s="42" t="str">
        <f ca="1">IFERROR(__xludf.DUMMYFUNCTION("""COMPUTED_VALUE"""),"TRIMESTRE 4")</f>
        <v>TRIMESTRE 4</v>
      </c>
      <c r="M1238" s="42" t="str">
        <f ca="1">IFERROR(__xludf.DUMMYFUNCTION("""COMPUTED_VALUE"""),"MUJERES ADULTAS")</f>
        <v>MUJERES ADULTAS</v>
      </c>
    </row>
    <row r="1239" spans="1:13">
      <c r="A1239" s="42" t="str">
        <f ca="1">IFERROR(__xludf.DUMMYFUNCTION("""COMPUTED_VALUE"""),"2.1.1.12")</f>
        <v>2.1.1.12</v>
      </c>
      <c r="B1239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239" s="42" t="str">
        <f ca="1">IFERROR(__xludf.DUMMYFUNCTION("""COMPUTED_VALUE"""),"3. Operación")</f>
        <v>3. Operación</v>
      </c>
      <c r="D1239" s="42" t="str">
        <f ca="1">IFERROR(__xludf.DUMMYFUNCTION("""COMPUTED_VALUE"""),"Guadalajara en Paz")</f>
        <v>Guadalajara en Paz</v>
      </c>
      <c r="E1239" s="42" t="str">
        <f ca="1">IFERROR(__xludf.DUMMYFUNCTION("""COMPUTED_VALUE"""),"Comedores Comunitarios")</f>
        <v>Comedores Comunitarios</v>
      </c>
      <c r="F1239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239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239" s="42" t="str">
        <f ca="1">IFERROR(__xludf.DUMMYFUNCTION("""COMPUTED_VALUE"""),"HOM Noviembre")</f>
        <v>HOM Noviembre</v>
      </c>
      <c r="I1239" s="42" t="str">
        <f ca="1">IFERROR(__xludf.DUMMYFUNCTION("""COMPUTED_VALUE"""),"Noviembre")</f>
        <v>Noviembre</v>
      </c>
      <c r="J1239" s="42" t="str">
        <f ca="1">IFERROR(__xludf.DUMMYFUNCTION("""COMPUTED_VALUE"""),"HOM")</f>
        <v>HOM</v>
      </c>
      <c r="K1239" s="98"/>
      <c r="L1239" s="42" t="str">
        <f ca="1">IFERROR(__xludf.DUMMYFUNCTION("""COMPUTED_VALUE"""),"TRIMESTRE 4")</f>
        <v>TRIMESTRE 4</v>
      </c>
      <c r="M1239" s="42" t="str">
        <f ca="1">IFERROR(__xludf.DUMMYFUNCTION("""COMPUTED_VALUE"""),"HOMBRES ADULTOS")</f>
        <v>HOMBRES ADULTOS</v>
      </c>
    </row>
    <row r="1240" spans="1:13">
      <c r="A1240" s="42" t="str">
        <f ca="1">IFERROR(__xludf.DUMMYFUNCTION("""COMPUTED_VALUE"""),"2.1.1.12")</f>
        <v>2.1.1.12</v>
      </c>
      <c r="B1240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240" s="42" t="str">
        <f ca="1">IFERROR(__xludf.DUMMYFUNCTION("""COMPUTED_VALUE"""),"3. Operación")</f>
        <v>3. Operación</v>
      </c>
      <c r="D1240" s="42" t="str">
        <f ca="1">IFERROR(__xludf.DUMMYFUNCTION("""COMPUTED_VALUE"""),"Guadalajara en Paz")</f>
        <v>Guadalajara en Paz</v>
      </c>
      <c r="E1240" s="42" t="str">
        <f ca="1">IFERROR(__xludf.DUMMYFUNCTION("""COMPUTED_VALUE"""),"Comedores Comunitarios")</f>
        <v>Comedores Comunitarios</v>
      </c>
      <c r="F1240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240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240" s="42" t="str">
        <f ca="1">IFERROR(__xludf.DUMMYFUNCTION("""COMPUTED_VALUE"""),"AMM Noviembre")</f>
        <v>AMM Noviembre</v>
      </c>
      <c r="I1240" s="42" t="str">
        <f ca="1">IFERROR(__xludf.DUMMYFUNCTION("""COMPUTED_VALUE"""),"Noviembre")</f>
        <v>Noviembre</v>
      </c>
      <c r="J1240" s="42" t="str">
        <f ca="1">IFERROR(__xludf.DUMMYFUNCTION("""COMPUTED_VALUE"""),"AMM")</f>
        <v>AMM</v>
      </c>
      <c r="K1240" s="98"/>
      <c r="L1240" s="42" t="str">
        <f ca="1">IFERROR(__xludf.DUMMYFUNCTION("""COMPUTED_VALUE"""),"TRIMESTRE 4")</f>
        <v>TRIMESTRE 4</v>
      </c>
      <c r="M1240" s="42" t="str">
        <f ca="1">IFERROR(__xludf.DUMMYFUNCTION("""COMPUTED_VALUE"""),"ADULTA MAYOR MUJER")</f>
        <v>ADULTA MAYOR MUJER</v>
      </c>
    </row>
    <row r="1241" spans="1:13">
      <c r="A1241" s="42" t="str">
        <f ca="1">IFERROR(__xludf.DUMMYFUNCTION("""COMPUTED_VALUE"""),"2.1.1.12")</f>
        <v>2.1.1.12</v>
      </c>
      <c r="B1241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241" s="42" t="str">
        <f ca="1">IFERROR(__xludf.DUMMYFUNCTION("""COMPUTED_VALUE"""),"3. Operación")</f>
        <v>3. Operación</v>
      </c>
      <c r="D1241" s="42" t="str">
        <f ca="1">IFERROR(__xludf.DUMMYFUNCTION("""COMPUTED_VALUE"""),"Guadalajara en Paz")</f>
        <v>Guadalajara en Paz</v>
      </c>
      <c r="E1241" s="42" t="str">
        <f ca="1">IFERROR(__xludf.DUMMYFUNCTION("""COMPUTED_VALUE"""),"Comedores Comunitarios")</f>
        <v>Comedores Comunitarios</v>
      </c>
      <c r="F1241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241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241" s="42" t="str">
        <f ca="1">IFERROR(__xludf.DUMMYFUNCTION("""COMPUTED_VALUE"""),"AMH Noviembre")</f>
        <v>AMH Noviembre</v>
      </c>
      <c r="I1241" s="42" t="str">
        <f ca="1">IFERROR(__xludf.DUMMYFUNCTION("""COMPUTED_VALUE"""),"Noviembre")</f>
        <v>Noviembre</v>
      </c>
      <c r="J1241" s="42" t="str">
        <f ca="1">IFERROR(__xludf.DUMMYFUNCTION("""COMPUTED_VALUE"""),"AMH")</f>
        <v>AMH</v>
      </c>
      <c r="K1241" s="98"/>
      <c r="L1241" s="42" t="str">
        <f ca="1">IFERROR(__xludf.DUMMYFUNCTION("""COMPUTED_VALUE"""),"TRIMESTRE 4")</f>
        <v>TRIMESTRE 4</v>
      </c>
      <c r="M1241" s="42" t="str">
        <f ca="1">IFERROR(__xludf.DUMMYFUNCTION("""COMPUTED_VALUE"""),"ADULTO MAYOR HOMBRE")</f>
        <v>ADULTO MAYOR HOMBRE</v>
      </c>
    </row>
    <row r="1242" spans="1:13">
      <c r="A1242" s="42" t="str">
        <f ca="1">IFERROR(__xludf.DUMMYFUNCTION("""COMPUTED_VALUE"""),"2.1.1.12")</f>
        <v>2.1.1.12</v>
      </c>
      <c r="B1242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242" s="42" t="str">
        <f ca="1">IFERROR(__xludf.DUMMYFUNCTION("""COMPUTED_VALUE"""),"3. Operación")</f>
        <v>3. Operación</v>
      </c>
      <c r="D1242" s="42" t="str">
        <f ca="1">IFERROR(__xludf.DUMMYFUNCTION("""COMPUTED_VALUE"""),"Guadalajara en Paz")</f>
        <v>Guadalajara en Paz</v>
      </c>
      <c r="E1242" s="42" t="str">
        <f ca="1">IFERROR(__xludf.DUMMYFUNCTION("""COMPUTED_VALUE"""),"Comedores Comunitarios")</f>
        <v>Comedores Comunitarios</v>
      </c>
      <c r="F1242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242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242" s="42" t="str">
        <f ca="1">IFERROR(__xludf.DUMMYFUNCTION("""COMPUTED_VALUE"""),"NAS Diciembre")</f>
        <v>NAS Diciembre</v>
      </c>
      <c r="I1242" s="42" t="str">
        <f ca="1">IFERROR(__xludf.DUMMYFUNCTION("""COMPUTED_VALUE"""),"Diciembre")</f>
        <v>Diciembre</v>
      </c>
      <c r="J1242" s="42" t="str">
        <f ca="1">IFERROR(__xludf.DUMMYFUNCTION("""COMPUTED_VALUE"""),"NAS")</f>
        <v>NAS</v>
      </c>
      <c r="K1242" s="98"/>
      <c r="L1242" s="42" t="str">
        <f ca="1">IFERROR(__xludf.DUMMYFUNCTION("""COMPUTED_VALUE"""),"TRIMESTRE 4")</f>
        <v>TRIMESTRE 4</v>
      </c>
      <c r="M1242" s="42" t="str">
        <f ca="1">IFERROR(__xludf.DUMMYFUNCTION("""COMPUTED_VALUE"""),"NIÑAS")</f>
        <v>NIÑAS</v>
      </c>
    </row>
    <row r="1243" spans="1:13">
      <c r="A1243" s="42" t="str">
        <f ca="1">IFERROR(__xludf.DUMMYFUNCTION("""COMPUTED_VALUE"""),"2.1.1.12")</f>
        <v>2.1.1.12</v>
      </c>
      <c r="B1243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243" s="42" t="str">
        <f ca="1">IFERROR(__xludf.DUMMYFUNCTION("""COMPUTED_VALUE"""),"3. Operación")</f>
        <v>3. Operación</v>
      </c>
      <c r="D1243" s="42" t="str">
        <f ca="1">IFERROR(__xludf.DUMMYFUNCTION("""COMPUTED_VALUE"""),"Guadalajara en Paz")</f>
        <v>Guadalajara en Paz</v>
      </c>
      <c r="E1243" s="42" t="str">
        <f ca="1">IFERROR(__xludf.DUMMYFUNCTION("""COMPUTED_VALUE"""),"Comedores Comunitarios")</f>
        <v>Comedores Comunitarios</v>
      </c>
      <c r="F1243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243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243" s="42" t="str">
        <f ca="1">IFERROR(__xludf.DUMMYFUNCTION("""COMPUTED_VALUE"""),"NOS Diciembre")</f>
        <v>NOS Diciembre</v>
      </c>
      <c r="I1243" s="42" t="str">
        <f ca="1">IFERROR(__xludf.DUMMYFUNCTION("""COMPUTED_VALUE"""),"Diciembre")</f>
        <v>Diciembre</v>
      </c>
      <c r="J1243" s="42" t="str">
        <f ca="1">IFERROR(__xludf.DUMMYFUNCTION("""COMPUTED_VALUE"""),"NOS")</f>
        <v>NOS</v>
      </c>
      <c r="K1243" s="98"/>
      <c r="L1243" s="42" t="str">
        <f ca="1">IFERROR(__xludf.DUMMYFUNCTION("""COMPUTED_VALUE"""),"TRIMESTRE 4")</f>
        <v>TRIMESTRE 4</v>
      </c>
      <c r="M1243" s="42" t="str">
        <f ca="1">IFERROR(__xludf.DUMMYFUNCTION("""COMPUTED_VALUE"""),"NIÑOS")</f>
        <v>NIÑOS</v>
      </c>
    </row>
    <row r="1244" spans="1:13">
      <c r="A1244" s="42" t="str">
        <f ca="1">IFERROR(__xludf.DUMMYFUNCTION("""COMPUTED_VALUE"""),"2.1.1.12")</f>
        <v>2.1.1.12</v>
      </c>
      <c r="B1244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244" s="42" t="str">
        <f ca="1">IFERROR(__xludf.DUMMYFUNCTION("""COMPUTED_VALUE"""),"3. Operación")</f>
        <v>3. Operación</v>
      </c>
      <c r="D1244" s="42" t="str">
        <f ca="1">IFERROR(__xludf.DUMMYFUNCTION("""COMPUTED_VALUE"""),"Guadalajara en Paz")</f>
        <v>Guadalajara en Paz</v>
      </c>
      <c r="E1244" s="42" t="str">
        <f ca="1">IFERROR(__xludf.DUMMYFUNCTION("""COMPUTED_VALUE"""),"Comedores Comunitarios")</f>
        <v>Comedores Comunitarios</v>
      </c>
      <c r="F1244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244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244" s="42" t="str">
        <f ca="1">IFERROR(__xludf.DUMMYFUNCTION("""COMPUTED_VALUE"""),"AM DICIEMBRE")</f>
        <v>AM DICIEMBRE</v>
      </c>
      <c r="I1244" s="42" t="str">
        <f ca="1">IFERROR(__xludf.DUMMYFUNCTION("""COMPUTED_VALUE"""),"Diciembre")</f>
        <v>Diciembre</v>
      </c>
      <c r="J1244" s="42" t="str">
        <f ca="1">IFERROR(__xludf.DUMMYFUNCTION("""COMPUTED_VALUE"""),"AM")</f>
        <v>AM</v>
      </c>
      <c r="K1244" s="98"/>
      <c r="L1244" s="42" t="str">
        <f ca="1">IFERROR(__xludf.DUMMYFUNCTION("""COMPUTED_VALUE"""),"TRIMESTRE 4")</f>
        <v>TRIMESTRE 4</v>
      </c>
      <c r="M1244" s="42" t="str">
        <f ca="1">IFERROR(__xludf.DUMMYFUNCTION("""COMPUTED_VALUE"""),"ADOLESCENTES MUJERES")</f>
        <v>ADOLESCENTES MUJERES</v>
      </c>
    </row>
    <row r="1245" spans="1:13">
      <c r="A1245" s="42" t="str">
        <f ca="1">IFERROR(__xludf.DUMMYFUNCTION("""COMPUTED_VALUE"""),"2.1.1.12")</f>
        <v>2.1.1.12</v>
      </c>
      <c r="B1245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245" s="42" t="str">
        <f ca="1">IFERROR(__xludf.DUMMYFUNCTION("""COMPUTED_VALUE"""),"3. Operación")</f>
        <v>3. Operación</v>
      </c>
      <c r="D1245" s="42" t="str">
        <f ca="1">IFERROR(__xludf.DUMMYFUNCTION("""COMPUTED_VALUE"""),"Guadalajara en Paz")</f>
        <v>Guadalajara en Paz</v>
      </c>
      <c r="E1245" s="42" t="str">
        <f ca="1">IFERROR(__xludf.DUMMYFUNCTION("""COMPUTED_VALUE"""),"Comedores Comunitarios")</f>
        <v>Comedores Comunitarios</v>
      </c>
      <c r="F1245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245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245" s="42" t="str">
        <f ca="1">IFERROR(__xludf.DUMMYFUNCTION("""COMPUTED_VALUE"""),"AH DICIEMBRE")</f>
        <v>AH DICIEMBRE</v>
      </c>
      <c r="I1245" s="42" t="str">
        <f ca="1">IFERROR(__xludf.DUMMYFUNCTION("""COMPUTED_VALUE"""),"Diciembre")</f>
        <v>Diciembre</v>
      </c>
      <c r="J1245" s="42" t="str">
        <f ca="1">IFERROR(__xludf.DUMMYFUNCTION("""COMPUTED_VALUE"""),"AH")</f>
        <v>AH</v>
      </c>
      <c r="K1245" s="98"/>
      <c r="L1245" s="42" t="str">
        <f ca="1">IFERROR(__xludf.DUMMYFUNCTION("""COMPUTED_VALUE"""),"TRIMESTRE 4")</f>
        <v>TRIMESTRE 4</v>
      </c>
      <c r="M1245" s="42" t="str">
        <f ca="1">IFERROR(__xludf.DUMMYFUNCTION("""COMPUTED_VALUE"""),"ADOLESCENTES HOMBRES")</f>
        <v>ADOLESCENTES HOMBRES</v>
      </c>
    </row>
    <row r="1246" spans="1:13">
      <c r="A1246" s="42" t="str">
        <f ca="1">IFERROR(__xludf.DUMMYFUNCTION("""COMPUTED_VALUE"""),"2.1.1.12")</f>
        <v>2.1.1.12</v>
      </c>
      <c r="B1246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246" s="42" t="str">
        <f ca="1">IFERROR(__xludf.DUMMYFUNCTION("""COMPUTED_VALUE"""),"3. Operación")</f>
        <v>3. Operación</v>
      </c>
      <c r="D1246" s="42" t="str">
        <f ca="1">IFERROR(__xludf.DUMMYFUNCTION("""COMPUTED_VALUE"""),"Guadalajara en Paz")</f>
        <v>Guadalajara en Paz</v>
      </c>
      <c r="E1246" s="42" t="str">
        <f ca="1">IFERROR(__xludf.DUMMYFUNCTION("""COMPUTED_VALUE"""),"Comedores Comunitarios")</f>
        <v>Comedores Comunitarios</v>
      </c>
      <c r="F1246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246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246" s="42" t="str">
        <f ca="1">IFERROR(__xludf.DUMMYFUNCTION("""COMPUTED_VALUE"""),"MUJ Diciembre")</f>
        <v>MUJ Diciembre</v>
      </c>
      <c r="I1246" s="42" t="str">
        <f ca="1">IFERROR(__xludf.DUMMYFUNCTION("""COMPUTED_VALUE"""),"Diciembre")</f>
        <v>Diciembre</v>
      </c>
      <c r="J1246" s="42" t="str">
        <f ca="1">IFERROR(__xludf.DUMMYFUNCTION("""COMPUTED_VALUE"""),"MUJ")</f>
        <v>MUJ</v>
      </c>
      <c r="K1246" s="98"/>
      <c r="L1246" s="42" t="str">
        <f ca="1">IFERROR(__xludf.DUMMYFUNCTION("""COMPUTED_VALUE"""),"TRIMESTRE 4")</f>
        <v>TRIMESTRE 4</v>
      </c>
      <c r="M1246" s="42" t="str">
        <f ca="1">IFERROR(__xludf.DUMMYFUNCTION("""COMPUTED_VALUE"""),"MUJERES ADULTAS")</f>
        <v>MUJERES ADULTAS</v>
      </c>
    </row>
    <row r="1247" spans="1:13">
      <c r="A1247" s="42" t="str">
        <f ca="1">IFERROR(__xludf.DUMMYFUNCTION("""COMPUTED_VALUE"""),"2.1.1.12")</f>
        <v>2.1.1.12</v>
      </c>
      <c r="B1247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247" s="42" t="str">
        <f ca="1">IFERROR(__xludf.DUMMYFUNCTION("""COMPUTED_VALUE"""),"3. Operación")</f>
        <v>3. Operación</v>
      </c>
      <c r="D1247" s="42" t="str">
        <f ca="1">IFERROR(__xludf.DUMMYFUNCTION("""COMPUTED_VALUE"""),"Guadalajara en Paz")</f>
        <v>Guadalajara en Paz</v>
      </c>
      <c r="E1247" s="42" t="str">
        <f ca="1">IFERROR(__xludf.DUMMYFUNCTION("""COMPUTED_VALUE"""),"Comedores Comunitarios")</f>
        <v>Comedores Comunitarios</v>
      </c>
      <c r="F1247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247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247" s="42" t="str">
        <f ca="1">IFERROR(__xludf.DUMMYFUNCTION("""COMPUTED_VALUE"""),"HOM Diciembre")</f>
        <v>HOM Diciembre</v>
      </c>
      <c r="I1247" s="42" t="str">
        <f ca="1">IFERROR(__xludf.DUMMYFUNCTION("""COMPUTED_VALUE"""),"Diciembre")</f>
        <v>Diciembre</v>
      </c>
      <c r="J1247" s="42" t="str">
        <f ca="1">IFERROR(__xludf.DUMMYFUNCTION("""COMPUTED_VALUE"""),"HOM")</f>
        <v>HOM</v>
      </c>
      <c r="K1247" s="98"/>
      <c r="L1247" s="42" t="str">
        <f ca="1">IFERROR(__xludf.DUMMYFUNCTION("""COMPUTED_VALUE"""),"TRIMESTRE 4")</f>
        <v>TRIMESTRE 4</v>
      </c>
      <c r="M1247" s="42" t="str">
        <f ca="1">IFERROR(__xludf.DUMMYFUNCTION("""COMPUTED_VALUE"""),"HOMBRES ADULTOS")</f>
        <v>HOMBRES ADULTOS</v>
      </c>
    </row>
    <row r="1248" spans="1:13">
      <c r="A1248" s="42" t="str">
        <f ca="1">IFERROR(__xludf.DUMMYFUNCTION("""COMPUTED_VALUE"""),"2.1.1.12")</f>
        <v>2.1.1.12</v>
      </c>
      <c r="B1248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248" s="42" t="str">
        <f ca="1">IFERROR(__xludf.DUMMYFUNCTION("""COMPUTED_VALUE"""),"3. Operación")</f>
        <v>3. Operación</v>
      </c>
      <c r="D1248" s="42" t="str">
        <f ca="1">IFERROR(__xludf.DUMMYFUNCTION("""COMPUTED_VALUE"""),"Guadalajara en Paz")</f>
        <v>Guadalajara en Paz</v>
      </c>
      <c r="E1248" s="42" t="str">
        <f ca="1">IFERROR(__xludf.DUMMYFUNCTION("""COMPUTED_VALUE"""),"Comedores Comunitarios")</f>
        <v>Comedores Comunitarios</v>
      </c>
      <c r="F1248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248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248" s="42" t="str">
        <f ca="1">IFERROR(__xludf.DUMMYFUNCTION("""COMPUTED_VALUE"""),"AMM Diciembre")</f>
        <v>AMM Diciembre</v>
      </c>
      <c r="I1248" s="42" t="str">
        <f ca="1">IFERROR(__xludf.DUMMYFUNCTION("""COMPUTED_VALUE"""),"Diciembre")</f>
        <v>Diciembre</v>
      </c>
      <c r="J1248" s="42" t="str">
        <f ca="1">IFERROR(__xludf.DUMMYFUNCTION("""COMPUTED_VALUE"""),"AMM")</f>
        <v>AMM</v>
      </c>
      <c r="K1248" s="98"/>
      <c r="L1248" s="42" t="str">
        <f ca="1">IFERROR(__xludf.DUMMYFUNCTION("""COMPUTED_VALUE"""),"TRIMESTRE 4")</f>
        <v>TRIMESTRE 4</v>
      </c>
      <c r="M1248" s="42" t="str">
        <f ca="1">IFERROR(__xludf.DUMMYFUNCTION("""COMPUTED_VALUE"""),"ADULTA MAYOR MUJER")</f>
        <v>ADULTA MAYOR MUJER</v>
      </c>
    </row>
    <row r="1249" spans="1:13">
      <c r="A1249" s="42" t="str">
        <f ca="1">IFERROR(__xludf.DUMMYFUNCTION("""COMPUTED_VALUE"""),"2.1.1.12")</f>
        <v>2.1.1.12</v>
      </c>
      <c r="B1249" s="42" t="str">
        <f ca="1">IFERROR(__xludf.DUMMYFUNCTION("""COMPUTED_VALUE"""),"3.10 Comedores Comunitarios/Jefatura del Departamento de Comedores Comunitarios/Dirección del Área de Habilidades y Desarrollo Comunitario/Coord.3. Operación")</f>
        <v>3.10 Comedores Comunitarios/Jefatura del Departamento de Comedores Comunitarios/Dirección del Área de Habilidades y Desarrollo Comunitario/Coord.3. Operación</v>
      </c>
      <c r="C1249" s="42" t="str">
        <f ca="1">IFERROR(__xludf.DUMMYFUNCTION("""COMPUTED_VALUE"""),"3. Operación")</f>
        <v>3. Operación</v>
      </c>
      <c r="D1249" s="42" t="str">
        <f ca="1">IFERROR(__xludf.DUMMYFUNCTION("""COMPUTED_VALUE"""),"Guadalajara en Paz")</f>
        <v>Guadalajara en Paz</v>
      </c>
      <c r="E1249" s="42" t="str">
        <f ca="1">IFERROR(__xludf.DUMMYFUNCTION("""COMPUTED_VALUE"""),"Comedores Comunitarios")</f>
        <v>Comedores Comunitarios</v>
      </c>
      <c r="F1249" s="42" t="str">
        <f ca="1">IFERROR(__xludf.DUMMYFUNCTION("""COMPUTED_VALUE"""),"A12C1. Usuarios y usuarias recibieron raciones alimenticias en los comedores comunitarios")</f>
        <v>A12C1. Usuarios y usuarias recibieron raciones alimenticias en los comedores comunitarios</v>
      </c>
      <c r="G1249" s="42" t="str">
        <f ca="1">IFERROR(__xludf.DUMMYFUNCTION("""COMPUTED_VALUE"""),"Promedio de beneficiarios y beneficiarias que recibieron raciones alimenticias al mes, durante el 2023")</f>
        <v>Promedio de beneficiarios y beneficiarias que recibieron raciones alimenticias al mes, durante el 2023</v>
      </c>
      <c r="H1249" s="42" t="str">
        <f ca="1">IFERROR(__xludf.DUMMYFUNCTION("""COMPUTED_VALUE"""),"AMH Diciembre")</f>
        <v>AMH Diciembre</v>
      </c>
      <c r="I1249" s="42" t="str">
        <f ca="1">IFERROR(__xludf.DUMMYFUNCTION("""COMPUTED_VALUE"""),"Diciembre")</f>
        <v>Diciembre</v>
      </c>
      <c r="J1249" s="42" t="str">
        <f ca="1">IFERROR(__xludf.DUMMYFUNCTION("""COMPUTED_VALUE"""),"AMH")</f>
        <v>AMH</v>
      </c>
      <c r="K1249" s="98"/>
      <c r="L1249" s="42" t="str">
        <f ca="1">IFERROR(__xludf.DUMMYFUNCTION("""COMPUTED_VALUE"""),"TRIMESTRE 4")</f>
        <v>TRIMESTRE 4</v>
      </c>
      <c r="M1249" s="42" t="str">
        <f ca="1">IFERROR(__xludf.DUMMYFUNCTION("""COMPUTED_VALUE"""),"ADULTO MAYOR HOMBRE")</f>
        <v>ADULTO MAYOR HOMBRE</v>
      </c>
    </row>
    <row r="1250" spans="1:13">
      <c r="A1250" s="42" t="str">
        <f ca="1">IFERROR(__xludf.DUMMYFUNCTION("""COMPUTED_VALUE"""),"2.1.4.2")</f>
        <v>2.1.4.2</v>
      </c>
      <c r="B1250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250" s="42" t="str">
        <f ca="1">IFERROR(__xludf.DUMMYFUNCTION("""COMPUTED_VALUE"""),"4. Programas")</f>
        <v>4. Programas</v>
      </c>
      <c r="D1250" s="42" t="str">
        <f ca="1">IFERROR(__xludf.DUMMYFUNCTION("""COMPUTED_VALUE"""),"Guadalajara en Paz")</f>
        <v>Guadalajara en Paz</v>
      </c>
      <c r="E1250" s="42" t="str">
        <f ca="1">IFERROR(__xludf.DUMMYFUNCTION("""COMPUTED_VALUE"""),"Acompañar las Ausencias")</f>
        <v>Acompañar las Ausencias</v>
      </c>
      <c r="F1250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250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250" s="42" t="str">
        <f ca="1">IFERROR(__xludf.DUMMYFUNCTION("""COMPUTED_VALUE"""),"NAS enero")</f>
        <v>NAS enero</v>
      </c>
      <c r="I1250" s="42" t="str">
        <f ca="1">IFERROR(__xludf.DUMMYFUNCTION("""COMPUTED_VALUE"""),"Enero")</f>
        <v>Enero</v>
      </c>
      <c r="J1250" s="42" t="str">
        <f ca="1">IFERROR(__xludf.DUMMYFUNCTION("""COMPUTED_VALUE"""),"NAS")</f>
        <v>NAS</v>
      </c>
      <c r="K1250" s="98">
        <f ca="1">IFERROR(__xludf.DUMMYFUNCTION("""COMPUTED_VALUE"""),20)</f>
        <v>20</v>
      </c>
      <c r="L1250" s="42" t="str">
        <f ca="1">IFERROR(__xludf.DUMMYFUNCTION("""COMPUTED_VALUE"""),"TRIMESTRE 1")</f>
        <v>TRIMESTRE 1</v>
      </c>
      <c r="M1250" s="42" t="str">
        <f ca="1">IFERROR(__xludf.DUMMYFUNCTION("""COMPUTED_VALUE"""),"NIÑAS")</f>
        <v>NIÑAS</v>
      </c>
    </row>
    <row r="1251" spans="1:13">
      <c r="A1251" s="42" t="str">
        <f ca="1">IFERROR(__xludf.DUMMYFUNCTION("""COMPUTED_VALUE"""),"2.1.4.2")</f>
        <v>2.1.4.2</v>
      </c>
      <c r="B1251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251" s="42" t="str">
        <f ca="1">IFERROR(__xludf.DUMMYFUNCTION("""COMPUTED_VALUE"""),"4. Programas")</f>
        <v>4. Programas</v>
      </c>
      <c r="D1251" s="42" t="str">
        <f ca="1">IFERROR(__xludf.DUMMYFUNCTION("""COMPUTED_VALUE"""),"Guadalajara en Paz")</f>
        <v>Guadalajara en Paz</v>
      </c>
      <c r="E1251" s="42" t="str">
        <f ca="1">IFERROR(__xludf.DUMMYFUNCTION("""COMPUTED_VALUE"""),"Acompañar las Ausencias")</f>
        <v>Acompañar las Ausencias</v>
      </c>
      <c r="F1251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251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251" s="42" t="str">
        <f ca="1">IFERROR(__xludf.DUMMYFUNCTION("""COMPUTED_VALUE"""),"NOS enero")</f>
        <v>NOS enero</v>
      </c>
      <c r="I1251" s="42" t="str">
        <f ca="1">IFERROR(__xludf.DUMMYFUNCTION("""COMPUTED_VALUE"""),"Enero")</f>
        <v>Enero</v>
      </c>
      <c r="J1251" s="42" t="str">
        <f ca="1">IFERROR(__xludf.DUMMYFUNCTION("""COMPUTED_VALUE"""),"NOS")</f>
        <v>NOS</v>
      </c>
      <c r="K1251" s="98">
        <f ca="1">IFERROR(__xludf.DUMMYFUNCTION("""COMPUTED_VALUE"""),14)</f>
        <v>14</v>
      </c>
      <c r="L1251" s="42" t="str">
        <f ca="1">IFERROR(__xludf.DUMMYFUNCTION("""COMPUTED_VALUE"""),"TRIMESTRE 1")</f>
        <v>TRIMESTRE 1</v>
      </c>
      <c r="M1251" s="42" t="str">
        <f ca="1">IFERROR(__xludf.DUMMYFUNCTION("""COMPUTED_VALUE"""),"NIÑOS")</f>
        <v>NIÑOS</v>
      </c>
    </row>
    <row r="1252" spans="1:13">
      <c r="A1252" s="42" t="str">
        <f ca="1">IFERROR(__xludf.DUMMYFUNCTION("""COMPUTED_VALUE"""),"2.1.4.2")</f>
        <v>2.1.4.2</v>
      </c>
      <c r="B1252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252" s="42" t="str">
        <f ca="1">IFERROR(__xludf.DUMMYFUNCTION("""COMPUTED_VALUE"""),"4. Programas")</f>
        <v>4. Programas</v>
      </c>
      <c r="D1252" s="42" t="str">
        <f ca="1">IFERROR(__xludf.DUMMYFUNCTION("""COMPUTED_VALUE"""),"Guadalajara en Paz")</f>
        <v>Guadalajara en Paz</v>
      </c>
      <c r="E1252" s="42" t="str">
        <f ca="1">IFERROR(__xludf.DUMMYFUNCTION("""COMPUTED_VALUE"""),"Acompañar las Ausencias")</f>
        <v>Acompañar las Ausencias</v>
      </c>
      <c r="F1252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252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252" s="42" t="str">
        <f ca="1">IFERROR(__xludf.DUMMYFUNCTION("""COMPUTED_VALUE"""),"AM enero")</f>
        <v>AM enero</v>
      </c>
      <c r="I1252" s="42" t="str">
        <f ca="1">IFERROR(__xludf.DUMMYFUNCTION("""COMPUTED_VALUE"""),"Enero")</f>
        <v>Enero</v>
      </c>
      <c r="J1252" s="42" t="str">
        <f ca="1">IFERROR(__xludf.DUMMYFUNCTION("""COMPUTED_VALUE"""),"AM")</f>
        <v>AM</v>
      </c>
      <c r="K1252" s="98">
        <f ca="1">IFERROR(__xludf.DUMMYFUNCTION("""COMPUTED_VALUE"""),14)</f>
        <v>14</v>
      </c>
      <c r="L1252" s="42" t="str">
        <f ca="1">IFERROR(__xludf.DUMMYFUNCTION("""COMPUTED_VALUE"""),"TRIMESTRE 1")</f>
        <v>TRIMESTRE 1</v>
      </c>
      <c r="M1252" s="42" t="str">
        <f ca="1">IFERROR(__xludf.DUMMYFUNCTION("""COMPUTED_VALUE"""),"ADOLESCENTES MUJERES")</f>
        <v>ADOLESCENTES MUJERES</v>
      </c>
    </row>
    <row r="1253" spans="1:13">
      <c r="A1253" s="42" t="str">
        <f ca="1">IFERROR(__xludf.DUMMYFUNCTION("""COMPUTED_VALUE"""),"2.1.4.2")</f>
        <v>2.1.4.2</v>
      </c>
      <c r="B1253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253" s="42" t="str">
        <f ca="1">IFERROR(__xludf.DUMMYFUNCTION("""COMPUTED_VALUE"""),"4. Programas")</f>
        <v>4. Programas</v>
      </c>
      <c r="D1253" s="42" t="str">
        <f ca="1">IFERROR(__xludf.DUMMYFUNCTION("""COMPUTED_VALUE"""),"Guadalajara en Paz")</f>
        <v>Guadalajara en Paz</v>
      </c>
      <c r="E1253" s="42" t="str">
        <f ca="1">IFERROR(__xludf.DUMMYFUNCTION("""COMPUTED_VALUE"""),"Acompañar las Ausencias")</f>
        <v>Acompañar las Ausencias</v>
      </c>
      <c r="F1253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253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253" s="42" t="str">
        <f ca="1">IFERROR(__xludf.DUMMYFUNCTION("""COMPUTED_VALUE"""),"AH enero")</f>
        <v>AH enero</v>
      </c>
      <c r="I1253" s="42" t="str">
        <f ca="1">IFERROR(__xludf.DUMMYFUNCTION("""COMPUTED_VALUE"""),"Enero")</f>
        <v>Enero</v>
      </c>
      <c r="J1253" s="42" t="str">
        <f ca="1">IFERROR(__xludf.DUMMYFUNCTION("""COMPUTED_VALUE"""),"AH")</f>
        <v>AH</v>
      </c>
      <c r="K1253" s="98">
        <f ca="1">IFERROR(__xludf.DUMMYFUNCTION("""COMPUTED_VALUE"""),13)</f>
        <v>13</v>
      </c>
      <c r="L1253" s="42" t="str">
        <f ca="1">IFERROR(__xludf.DUMMYFUNCTION("""COMPUTED_VALUE"""),"TRIMESTRE 1")</f>
        <v>TRIMESTRE 1</v>
      </c>
      <c r="M1253" s="42" t="str">
        <f ca="1">IFERROR(__xludf.DUMMYFUNCTION("""COMPUTED_VALUE"""),"ADOLESCENTES HOMBRES")</f>
        <v>ADOLESCENTES HOMBRES</v>
      </c>
    </row>
    <row r="1254" spans="1:13">
      <c r="A1254" s="42" t="str">
        <f ca="1">IFERROR(__xludf.DUMMYFUNCTION("""COMPUTED_VALUE"""),"2.1.4.2")</f>
        <v>2.1.4.2</v>
      </c>
      <c r="B1254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254" s="42" t="str">
        <f ca="1">IFERROR(__xludf.DUMMYFUNCTION("""COMPUTED_VALUE"""),"4. Programas")</f>
        <v>4. Programas</v>
      </c>
      <c r="D1254" s="42" t="str">
        <f ca="1">IFERROR(__xludf.DUMMYFUNCTION("""COMPUTED_VALUE"""),"Guadalajara en Paz")</f>
        <v>Guadalajara en Paz</v>
      </c>
      <c r="E1254" s="42" t="str">
        <f ca="1">IFERROR(__xludf.DUMMYFUNCTION("""COMPUTED_VALUE"""),"Acompañar las Ausencias")</f>
        <v>Acompañar las Ausencias</v>
      </c>
      <c r="F1254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254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254" s="42" t="str">
        <f ca="1">IFERROR(__xludf.DUMMYFUNCTION("""COMPUTED_VALUE"""),"MUJ enero")</f>
        <v>MUJ enero</v>
      </c>
      <c r="I1254" s="42" t="str">
        <f ca="1">IFERROR(__xludf.DUMMYFUNCTION("""COMPUTED_VALUE"""),"Enero")</f>
        <v>Enero</v>
      </c>
      <c r="J1254" s="42" t="str">
        <f ca="1">IFERROR(__xludf.DUMMYFUNCTION("""COMPUTED_VALUE"""),"MUJ")</f>
        <v>MUJ</v>
      </c>
      <c r="K1254" s="98">
        <f ca="1">IFERROR(__xludf.DUMMYFUNCTION("""COMPUTED_VALUE"""),63)</f>
        <v>63</v>
      </c>
      <c r="L1254" s="42" t="str">
        <f ca="1">IFERROR(__xludf.DUMMYFUNCTION("""COMPUTED_VALUE"""),"TRIMESTRE 1")</f>
        <v>TRIMESTRE 1</v>
      </c>
      <c r="M1254" s="42" t="str">
        <f ca="1">IFERROR(__xludf.DUMMYFUNCTION("""COMPUTED_VALUE"""),"MUJERES ADULTAS")</f>
        <v>MUJERES ADULTAS</v>
      </c>
    </row>
    <row r="1255" spans="1:13">
      <c r="A1255" s="42" t="str">
        <f ca="1">IFERROR(__xludf.DUMMYFUNCTION("""COMPUTED_VALUE"""),"2.1.4.2")</f>
        <v>2.1.4.2</v>
      </c>
      <c r="B1255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255" s="42" t="str">
        <f ca="1">IFERROR(__xludf.DUMMYFUNCTION("""COMPUTED_VALUE"""),"4. Programas")</f>
        <v>4. Programas</v>
      </c>
      <c r="D1255" s="42" t="str">
        <f ca="1">IFERROR(__xludf.DUMMYFUNCTION("""COMPUTED_VALUE"""),"Guadalajara en Paz")</f>
        <v>Guadalajara en Paz</v>
      </c>
      <c r="E1255" s="42" t="str">
        <f ca="1">IFERROR(__xludf.DUMMYFUNCTION("""COMPUTED_VALUE"""),"Acompañar las Ausencias")</f>
        <v>Acompañar las Ausencias</v>
      </c>
      <c r="F1255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255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255" s="42" t="str">
        <f ca="1">IFERROR(__xludf.DUMMYFUNCTION("""COMPUTED_VALUE"""),"HOM enero")</f>
        <v>HOM enero</v>
      </c>
      <c r="I1255" s="42" t="str">
        <f ca="1">IFERROR(__xludf.DUMMYFUNCTION("""COMPUTED_VALUE"""),"Enero")</f>
        <v>Enero</v>
      </c>
      <c r="J1255" s="42" t="str">
        <f ca="1">IFERROR(__xludf.DUMMYFUNCTION("""COMPUTED_VALUE"""),"HOM")</f>
        <v>HOM</v>
      </c>
      <c r="K1255" s="98">
        <f ca="1">IFERROR(__xludf.DUMMYFUNCTION("""COMPUTED_VALUE"""),6)</f>
        <v>6</v>
      </c>
      <c r="L1255" s="42" t="str">
        <f ca="1">IFERROR(__xludf.DUMMYFUNCTION("""COMPUTED_VALUE"""),"TRIMESTRE 1")</f>
        <v>TRIMESTRE 1</v>
      </c>
      <c r="M1255" s="42" t="str">
        <f ca="1">IFERROR(__xludf.DUMMYFUNCTION("""COMPUTED_VALUE"""),"HOMBRES ADULTOS")</f>
        <v>HOMBRES ADULTOS</v>
      </c>
    </row>
    <row r="1256" spans="1:13">
      <c r="A1256" s="42" t="str">
        <f ca="1">IFERROR(__xludf.DUMMYFUNCTION("""COMPUTED_VALUE"""),"2.1.4.2")</f>
        <v>2.1.4.2</v>
      </c>
      <c r="B1256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256" s="42" t="str">
        <f ca="1">IFERROR(__xludf.DUMMYFUNCTION("""COMPUTED_VALUE"""),"4. Programas")</f>
        <v>4. Programas</v>
      </c>
      <c r="D1256" s="42" t="str">
        <f ca="1">IFERROR(__xludf.DUMMYFUNCTION("""COMPUTED_VALUE"""),"Guadalajara en Paz")</f>
        <v>Guadalajara en Paz</v>
      </c>
      <c r="E1256" s="42" t="str">
        <f ca="1">IFERROR(__xludf.DUMMYFUNCTION("""COMPUTED_VALUE"""),"Acompañar las Ausencias")</f>
        <v>Acompañar las Ausencias</v>
      </c>
      <c r="F1256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256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256" s="42" t="str">
        <f ca="1">IFERROR(__xludf.DUMMYFUNCTION("""COMPUTED_VALUE"""),"AMM enero")</f>
        <v>AMM enero</v>
      </c>
      <c r="I1256" s="42" t="str">
        <f ca="1">IFERROR(__xludf.DUMMYFUNCTION("""COMPUTED_VALUE"""),"Enero")</f>
        <v>Enero</v>
      </c>
      <c r="J1256" s="42" t="str">
        <f ca="1">IFERROR(__xludf.DUMMYFUNCTION("""COMPUTED_VALUE"""),"AMM")</f>
        <v>AMM</v>
      </c>
      <c r="K1256" s="98">
        <f ca="1">IFERROR(__xludf.DUMMYFUNCTION("""COMPUTED_VALUE"""),21)</f>
        <v>21</v>
      </c>
      <c r="L1256" s="42" t="str">
        <f ca="1">IFERROR(__xludf.DUMMYFUNCTION("""COMPUTED_VALUE"""),"TRIMESTRE 1")</f>
        <v>TRIMESTRE 1</v>
      </c>
      <c r="M1256" s="42" t="str">
        <f ca="1">IFERROR(__xludf.DUMMYFUNCTION("""COMPUTED_VALUE"""),"ADULTA MAYOR MUJER")</f>
        <v>ADULTA MAYOR MUJER</v>
      </c>
    </row>
    <row r="1257" spans="1:13">
      <c r="A1257" s="42" t="str">
        <f ca="1">IFERROR(__xludf.DUMMYFUNCTION("""COMPUTED_VALUE"""),"2.1.4.2")</f>
        <v>2.1.4.2</v>
      </c>
      <c r="B1257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257" s="42" t="str">
        <f ca="1">IFERROR(__xludf.DUMMYFUNCTION("""COMPUTED_VALUE"""),"4. Programas")</f>
        <v>4. Programas</v>
      </c>
      <c r="D1257" s="42" t="str">
        <f ca="1">IFERROR(__xludf.DUMMYFUNCTION("""COMPUTED_VALUE"""),"Guadalajara en Paz")</f>
        <v>Guadalajara en Paz</v>
      </c>
      <c r="E1257" s="42" t="str">
        <f ca="1">IFERROR(__xludf.DUMMYFUNCTION("""COMPUTED_VALUE"""),"Acompañar las Ausencias")</f>
        <v>Acompañar las Ausencias</v>
      </c>
      <c r="F1257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257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257" s="42" t="str">
        <f ca="1">IFERROR(__xludf.DUMMYFUNCTION("""COMPUTED_VALUE"""),"AMH enero")</f>
        <v>AMH enero</v>
      </c>
      <c r="I1257" s="42" t="str">
        <f ca="1">IFERROR(__xludf.DUMMYFUNCTION("""COMPUTED_VALUE"""),"Enero")</f>
        <v>Enero</v>
      </c>
      <c r="J1257" s="42" t="str">
        <f ca="1">IFERROR(__xludf.DUMMYFUNCTION("""COMPUTED_VALUE"""),"AMH")</f>
        <v>AMH</v>
      </c>
      <c r="K1257" s="98">
        <f ca="1">IFERROR(__xludf.DUMMYFUNCTION("""COMPUTED_VALUE"""),4)</f>
        <v>4</v>
      </c>
      <c r="L1257" s="42" t="str">
        <f ca="1">IFERROR(__xludf.DUMMYFUNCTION("""COMPUTED_VALUE"""),"TRIMESTRE 1")</f>
        <v>TRIMESTRE 1</v>
      </c>
      <c r="M1257" s="42" t="str">
        <f ca="1">IFERROR(__xludf.DUMMYFUNCTION("""COMPUTED_VALUE"""),"ADULTO MAYOR HOMBRE")</f>
        <v>ADULTO MAYOR HOMBRE</v>
      </c>
    </row>
    <row r="1258" spans="1:13">
      <c r="A1258" s="42" t="str">
        <f ca="1">IFERROR(__xludf.DUMMYFUNCTION("""COMPUTED_VALUE"""),"2.1.4.2")</f>
        <v>2.1.4.2</v>
      </c>
      <c r="B1258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258" s="42" t="str">
        <f ca="1">IFERROR(__xludf.DUMMYFUNCTION("""COMPUTED_VALUE"""),"4. Programas")</f>
        <v>4. Programas</v>
      </c>
      <c r="D1258" s="42" t="str">
        <f ca="1">IFERROR(__xludf.DUMMYFUNCTION("""COMPUTED_VALUE"""),"Guadalajara en Paz")</f>
        <v>Guadalajara en Paz</v>
      </c>
      <c r="E1258" s="42" t="str">
        <f ca="1">IFERROR(__xludf.DUMMYFUNCTION("""COMPUTED_VALUE"""),"Acompañar las Ausencias")</f>
        <v>Acompañar las Ausencias</v>
      </c>
      <c r="F1258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258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258" s="42" t="str">
        <f ca="1">IFERROR(__xludf.DUMMYFUNCTION("""COMPUTED_VALUE"""),"NAS FEBRERO")</f>
        <v>NAS FEBRERO</v>
      </c>
      <c r="I1258" s="42" t="str">
        <f ca="1">IFERROR(__xludf.DUMMYFUNCTION("""COMPUTED_VALUE"""),"Febrero")</f>
        <v>Febrero</v>
      </c>
      <c r="J1258" s="42" t="str">
        <f ca="1">IFERROR(__xludf.DUMMYFUNCTION("""COMPUTED_VALUE"""),"NAS")</f>
        <v>NAS</v>
      </c>
      <c r="K1258" s="98">
        <f ca="1">IFERROR(__xludf.DUMMYFUNCTION("""COMPUTED_VALUE"""),24)</f>
        <v>24</v>
      </c>
      <c r="L1258" s="42" t="str">
        <f ca="1">IFERROR(__xludf.DUMMYFUNCTION("""COMPUTED_VALUE"""),"TRIMESTRE 1")</f>
        <v>TRIMESTRE 1</v>
      </c>
      <c r="M1258" s="42" t="str">
        <f ca="1">IFERROR(__xludf.DUMMYFUNCTION("""COMPUTED_VALUE"""),"NIÑAS")</f>
        <v>NIÑAS</v>
      </c>
    </row>
    <row r="1259" spans="1:13">
      <c r="A1259" s="42" t="str">
        <f ca="1">IFERROR(__xludf.DUMMYFUNCTION("""COMPUTED_VALUE"""),"2.1.4.2")</f>
        <v>2.1.4.2</v>
      </c>
      <c r="B1259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259" s="42" t="str">
        <f ca="1">IFERROR(__xludf.DUMMYFUNCTION("""COMPUTED_VALUE"""),"4. Programas")</f>
        <v>4. Programas</v>
      </c>
      <c r="D1259" s="42" t="str">
        <f ca="1">IFERROR(__xludf.DUMMYFUNCTION("""COMPUTED_VALUE"""),"Guadalajara en Paz")</f>
        <v>Guadalajara en Paz</v>
      </c>
      <c r="E1259" s="42" t="str">
        <f ca="1">IFERROR(__xludf.DUMMYFUNCTION("""COMPUTED_VALUE"""),"Acompañar las Ausencias")</f>
        <v>Acompañar las Ausencias</v>
      </c>
      <c r="F1259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259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259" s="42" t="str">
        <f ca="1">IFERROR(__xludf.DUMMYFUNCTION("""COMPUTED_VALUE"""),"NOS FEBRERO")</f>
        <v>NOS FEBRERO</v>
      </c>
      <c r="I1259" s="42" t="str">
        <f ca="1">IFERROR(__xludf.DUMMYFUNCTION("""COMPUTED_VALUE"""),"Febrero")</f>
        <v>Febrero</v>
      </c>
      <c r="J1259" s="42" t="str">
        <f ca="1">IFERROR(__xludf.DUMMYFUNCTION("""COMPUTED_VALUE"""),"NOS")</f>
        <v>NOS</v>
      </c>
      <c r="K1259" s="98">
        <f ca="1">IFERROR(__xludf.DUMMYFUNCTION("""COMPUTED_VALUE"""),17)</f>
        <v>17</v>
      </c>
      <c r="L1259" s="42" t="str">
        <f ca="1">IFERROR(__xludf.DUMMYFUNCTION("""COMPUTED_VALUE"""),"TRIMESTRE 1")</f>
        <v>TRIMESTRE 1</v>
      </c>
      <c r="M1259" s="42" t="str">
        <f ca="1">IFERROR(__xludf.DUMMYFUNCTION("""COMPUTED_VALUE"""),"NIÑOS")</f>
        <v>NIÑOS</v>
      </c>
    </row>
    <row r="1260" spans="1:13">
      <c r="A1260" s="42" t="str">
        <f ca="1">IFERROR(__xludf.DUMMYFUNCTION("""COMPUTED_VALUE"""),"2.1.4.2")</f>
        <v>2.1.4.2</v>
      </c>
      <c r="B1260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260" s="42" t="str">
        <f ca="1">IFERROR(__xludf.DUMMYFUNCTION("""COMPUTED_VALUE"""),"4. Programas")</f>
        <v>4. Programas</v>
      </c>
      <c r="D1260" s="42" t="str">
        <f ca="1">IFERROR(__xludf.DUMMYFUNCTION("""COMPUTED_VALUE"""),"Guadalajara en Paz")</f>
        <v>Guadalajara en Paz</v>
      </c>
      <c r="E1260" s="42" t="str">
        <f ca="1">IFERROR(__xludf.DUMMYFUNCTION("""COMPUTED_VALUE"""),"Acompañar las Ausencias")</f>
        <v>Acompañar las Ausencias</v>
      </c>
      <c r="F1260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260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260" s="42" t="str">
        <f ca="1">IFERROR(__xludf.DUMMYFUNCTION("""COMPUTED_VALUE"""),"AM FEBRERO")</f>
        <v>AM FEBRERO</v>
      </c>
      <c r="I1260" s="42" t="str">
        <f ca="1">IFERROR(__xludf.DUMMYFUNCTION("""COMPUTED_VALUE"""),"Febrero")</f>
        <v>Febrero</v>
      </c>
      <c r="J1260" s="42" t="str">
        <f ca="1">IFERROR(__xludf.DUMMYFUNCTION("""COMPUTED_VALUE"""),"AM")</f>
        <v>AM</v>
      </c>
      <c r="K1260" s="98">
        <f ca="1">IFERROR(__xludf.DUMMYFUNCTION("""COMPUTED_VALUE"""),3)</f>
        <v>3</v>
      </c>
      <c r="L1260" s="42" t="str">
        <f ca="1">IFERROR(__xludf.DUMMYFUNCTION("""COMPUTED_VALUE"""),"TRIMESTRE 1")</f>
        <v>TRIMESTRE 1</v>
      </c>
      <c r="M1260" s="42" t="str">
        <f ca="1">IFERROR(__xludf.DUMMYFUNCTION("""COMPUTED_VALUE"""),"ADOLESCENTES MUJERES")</f>
        <v>ADOLESCENTES MUJERES</v>
      </c>
    </row>
    <row r="1261" spans="1:13">
      <c r="A1261" s="42" t="str">
        <f ca="1">IFERROR(__xludf.DUMMYFUNCTION("""COMPUTED_VALUE"""),"2.1.4.2")</f>
        <v>2.1.4.2</v>
      </c>
      <c r="B1261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261" s="42" t="str">
        <f ca="1">IFERROR(__xludf.DUMMYFUNCTION("""COMPUTED_VALUE"""),"4. Programas")</f>
        <v>4. Programas</v>
      </c>
      <c r="D1261" s="42" t="str">
        <f ca="1">IFERROR(__xludf.DUMMYFUNCTION("""COMPUTED_VALUE"""),"Guadalajara en Paz")</f>
        <v>Guadalajara en Paz</v>
      </c>
      <c r="E1261" s="42" t="str">
        <f ca="1">IFERROR(__xludf.DUMMYFUNCTION("""COMPUTED_VALUE"""),"Acompañar las Ausencias")</f>
        <v>Acompañar las Ausencias</v>
      </c>
      <c r="F1261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261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261" s="42" t="str">
        <f ca="1">IFERROR(__xludf.DUMMYFUNCTION("""COMPUTED_VALUE"""),"AH FEBRERO")</f>
        <v>AH FEBRERO</v>
      </c>
      <c r="I1261" s="42" t="str">
        <f ca="1">IFERROR(__xludf.DUMMYFUNCTION("""COMPUTED_VALUE"""),"Febrero")</f>
        <v>Febrero</v>
      </c>
      <c r="J1261" s="42" t="str">
        <f ca="1">IFERROR(__xludf.DUMMYFUNCTION("""COMPUTED_VALUE"""),"AH")</f>
        <v>AH</v>
      </c>
      <c r="K1261" s="98">
        <f ca="1">IFERROR(__xludf.DUMMYFUNCTION("""COMPUTED_VALUE"""),5)</f>
        <v>5</v>
      </c>
      <c r="L1261" s="42" t="str">
        <f ca="1">IFERROR(__xludf.DUMMYFUNCTION("""COMPUTED_VALUE"""),"TRIMESTRE 1")</f>
        <v>TRIMESTRE 1</v>
      </c>
      <c r="M1261" s="42" t="str">
        <f ca="1">IFERROR(__xludf.DUMMYFUNCTION("""COMPUTED_VALUE"""),"ADOLESCENTES HOMBRES")</f>
        <v>ADOLESCENTES HOMBRES</v>
      </c>
    </row>
    <row r="1262" spans="1:13">
      <c r="A1262" s="42" t="str">
        <f ca="1">IFERROR(__xludf.DUMMYFUNCTION("""COMPUTED_VALUE"""),"2.1.4.2")</f>
        <v>2.1.4.2</v>
      </c>
      <c r="B1262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262" s="42" t="str">
        <f ca="1">IFERROR(__xludf.DUMMYFUNCTION("""COMPUTED_VALUE"""),"4. Programas")</f>
        <v>4. Programas</v>
      </c>
      <c r="D1262" s="42" t="str">
        <f ca="1">IFERROR(__xludf.DUMMYFUNCTION("""COMPUTED_VALUE"""),"Guadalajara en Paz")</f>
        <v>Guadalajara en Paz</v>
      </c>
      <c r="E1262" s="42" t="str">
        <f ca="1">IFERROR(__xludf.DUMMYFUNCTION("""COMPUTED_VALUE"""),"Acompañar las Ausencias")</f>
        <v>Acompañar las Ausencias</v>
      </c>
      <c r="F1262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262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262" s="42" t="str">
        <f ca="1">IFERROR(__xludf.DUMMYFUNCTION("""COMPUTED_VALUE"""),"MUJ FEBRERO")</f>
        <v>MUJ FEBRERO</v>
      </c>
      <c r="I1262" s="42" t="str">
        <f ca="1">IFERROR(__xludf.DUMMYFUNCTION("""COMPUTED_VALUE"""),"Febrero")</f>
        <v>Febrero</v>
      </c>
      <c r="J1262" s="42" t="str">
        <f ca="1">IFERROR(__xludf.DUMMYFUNCTION("""COMPUTED_VALUE"""),"MUJ")</f>
        <v>MUJ</v>
      </c>
      <c r="K1262" s="98">
        <f ca="1">IFERROR(__xludf.DUMMYFUNCTION("""COMPUTED_VALUE"""),84)</f>
        <v>84</v>
      </c>
      <c r="L1262" s="42" t="str">
        <f ca="1">IFERROR(__xludf.DUMMYFUNCTION("""COMPUTED_VALUE"""),"TRIMESTRE 1")</f>
        <v>TRIMESTRE 1</v>
      </c>
      <c r="M1262" s="42" t="str">
        <f ca="1">IFERROR(__xludf.DUMMYFUNCTION("""COMPUTED_VALUE"""),"MUJERES ADULTAS")</f>
        <v>MUJERES ADULTAS</v>
      </c>
    </row>
    <row r="1263" spans="1:13">
      <c r="A1263" s="42" t="str">
        <f ca="1">IFERROR(__xludf.DUMMYFUNCTION("""COMPUTED_VALUE"""),"2.1.4.2")</f>
        <v>2.1.4.2</v>
      </c>
      <c r="B1263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263" s="42" t="str">
        <f ca="1">IFERROR(__xludf.DUMMYFUNCTION("""COMPUTED_VALUE"""),"4. Programas")</f>
        <v>4. Programas</v>
      </c>
      <c r="D1263" s="42" t="str">
        <f ca="1">IFERROR(__xludf.DUMMYFUNCTION("""COMPUTED_VALUE"""),"Guadalajara en Paz")</f>
        <v>Guadalajara en Paz</v>
      </c>
      <c r="E1263" s="42" t="str">
        <f ca="1">IFERROR(__xludf.DUMMYFUNCTION("""COMPUTED_VALUE"""),"Acompañar las Ausencias")</f>
        <v>Acompañar las Ausencias</v>
      </c>
      <c r="F1263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263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263" s="42" t="str">
        <f ca="1">IFERROR(__xludf.DUMMYFUNCTION("""COMPUTED_VALUE"""),"HOM FEBRERO")</f>
        <v>HOM FEBRERO</v>
      </c>
      <c r="I1263" s="42" t="str">
        <f ca="1">IFERROR(__xludf.DUMMYFUNCTION("""COMPUTED_VALUE"""),"Febrero")</f>
        <v>Febrero</v>
      </c>
      <c r="J1263" s="42" t="str">
        <f ca="1">IFERROR(__xludf.DUMMYFUNCTION("""COMPUTED_VALUE"""),"HOM")</f>
        <v>HOM</v>
      </c>
      <c r="K1263" s="98">
        <f ca="1">IFERROR(__xludf.DUMMYFUNCTION("""COMPUTED_VALUE"""),1)</f>
        <v>1</v>
      </c>
      <c r="L1263" s="42" t="str">
        <f ca="1">IFERROR(__xludf.DUMMYFUNCTION("""COMPUTED_VALUE"""),"TRIMESTRE 1")</f>
        <v>TRIMESTRE 1</v>
      </c>
      <c r="M1263" s="42" t="str">
        <f ca="1">IFERROR(__xludf.DUMMYFUNCTION("""COMPUTED_VALUE"""),"HOMBRES ADULTOS")</f>
        <v>HOMBRES ADULTOS</v>
      </c>
    </row>
    <row r="1264" spans="1:13">
      <c r="A1264" s="42" t="str">
        <f ca="1">IFERROR(__xludf.DUMMYFUNCTION("""COMPUTED_VALUE"""),"2.1.4.2")</f>
        <v>2.1.4.2</v>
      </c>
      <c r="B1264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264" s="42" t="str">
        <f ca="1">IFERROR(__xludf.DUMMYFUNCTION("""COMPUTED_VALUE"""),"4. Programas")</f>
        <v>4. Programas</v>
      </c>
      <c r="D1264" s="42" t="str">
        <f ca="1">IFERROR(__xludf.DUMMYFUNCTION("""COMPUTED_VALUE"""),"Guadalajara en Paz")</f>
        <v>Guadalajara en Paz</v>
      </c>
      <c r="E1264" s="42" t="str">
        <f ca="1">IFERROR(__xludf.DUMMYFUNCTION("""COMPUTED_VALUE"""),"Acompañar las Ausencias")</f>
        <v>Acompañar las Ausencias</v>
      </c>
      <c r="F1264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264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264" s="42" t="str">
        <f ca="1">IFERROR(__xludf.DUMMYFUNCTION("""COMPUTED_VALUE"""),"AMM FEBRERO")</f>
        <v>AMM FEBRERO</v>
      </c>
      <c r="I1264" s="42" t="str">
        <f ca="1">IFERROR(__xludf.DUMMYFUNCTION("""COMPUTED_VALUE"""),"Febrero")</f>
        <v>Febrero</v>
      </c>
      <c r="J1264" s="42" t="str">
        <f ca="1">IFERROR(__xludf.DUMMYFUNCTION("""COMPUTED_VALUE"""),"AMM")</f>
        <v>AMM</v>
      </c>
      <c r="K1264" s="98">
        <f ca="1">IFERROR(__xludf.DUMMYFUNCTION("""COMPUTED_VALUE"""),27)</f>
        <v>27</v>
      </c>
      <c r="L1264" s="42" t="str">
        <f ca="1">IFERROR(__xludf.DUMMYFUNCTION("""COMPUTED_VALUE"""),"TRIMESTRE 1")</f>
        <v>TRIMESTRE 1</v>
      </c>
      <c r="M1264" s="42" t="str">
        <f ca="1">IFERROR(__xludf.DUMMYFUNCTION("""COMPUTED_VALUE"""),"ADULTA MAYOR MUJER")</f>
        <v>ADULTA MAYOR MUJER</v>
      </c>
    </row>
    <row r="1265" spans="1:13">
      <c r="A1265" s="42" t="str">
        <f ca="1">IFERROR(__xludf.DUMMYFUNCTION("""COMPUTED_VALUE"""),"2.1.4.2")</f>
        <v>2.1.4.2</v>
      </c>
      <c r="B1265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265" s="42" t="str">
        <f ca="1">IFERROR(__xludf.DUMMYFUNCTION("""COMPUTED_VALUE"""),"4. Programas")</f>
        <v>4. Programas</v>
      </c>
      <c r="D1265" s="42" t="str">
        <f ca="1">IFERROR(__xludf.DUMMYFUNCTION("""COMPUTED_VALUE"""),"Guadalajara en Paz")</f>
        <v>Guadalajara en Paz</v>
      </c>
      <c r="E1265" s="42" t="str">
        <f ca="1">IFERROR(__xludf.DUMMYFUNCTION("""COMPUTED_VALUE"""),"Acompañar las Ausencias")</f>
        <v>Acompañar las Ausencias</v>
      </c>
      <c r="F1265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265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265" s="42" t="str">
        <f ca="1">IFERROR(__xludf.DUMMYFUNCTION("""COMPUTED_VALUE"""),"AMH FEBRERO")</f>
        <v>AMH FEBRERO</v>
      </c>
      <c r="I1265" s="42" t="str">
        <f ca="1">IFERROR(__xludf.DUMMYFUNCTION("""COMPUTED_VALUE"""),"Febrero")</f>
        <v>Febrero</v>
      </c>
      <c r="J1265" s="42" t="str">
        <f ca="1">IFERROR(__xludf.DUMMYFUNCTION("""COMPUTED_VALUE"""),"AMH")</f>
        <v>AMH</v>
      </c>
      <c r="K1265" s="98">
        <f ca="1">IFERROR(__xludf.DUMMYFUNCTION("""COMPUTED_VALUE"""),3)</f>
        <v>3</v>
      </c>
      <c r="L1265" s="42" t="str">
        <f ca="1">IFERROR(__xludf.DUMMYFUNCTION("""COMPUTED_VALUE"""),"TRIMESTRE 1")</f>
        <v>TRIMESTRE 1</v>
      </c>
      <c r="M1265" s="42" t="str">
        <f ca="1">IFERROR(__xludf.DUMMYFUNCTION("""COMPUTED_VALUE"""),"ADULTO MAYOR HOMBRE")</f>
        <v>ADULTO MAYOR HOMBRE</v>
      </c>
    </row>
    <row r="1266" spans="1:13">
      <c r="A1266" s="42" t="str">
        <f ca="1">IFERROR(__xludf.DUMMYFUNCTION("""COMPUTED_VALUE"""),"2.1.4.2")</f>
        <v>2.1.4.2</v>
      </c>
      <c r="B1266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266" s="42" t="str">
        <f ca="1">IFERROR(__xludf.DUMMYFUNCTION("""COMPUTED_VALUE"""),"4. Programas")</f>
        <v>4. Programas</v>
      </c>
      <c r="D1266" s="42" t="str">
        <f ca="1">IFERROR(__xludf.DUMMYFUNCTION("""COMPUTED_VALUE"""),"Guadalajara en Paz")</f>
        <v>Guadalajara en Paz</v>
      </c>
      <c r="E1266" s="42" t="str">
        <f ca="1">IFERROR(__xludf.DUMMYFUNCTION("""COMPUTED_VALUE"""),"Acompañar las Ausencias")</f>
        <v>Acompañar las Ausencias</v>
      </c>
      <c r="F1266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266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266" s="42" t="str">
        <f ca="1">IFERROR(__xludf.DUMMYFUNCTION("""COMPUTED_VALUE"""),"NAS Marzo")</f>
        <v>NAS Marzo</v>
      </c>
      <c r="I1266" s="42" t="str">
        <f ca="1">IFERROR(__xludf.DUMMYFUNCTION("""COMPUTED_VALUE"""),"Marzo")</f>
        <v>Marzo</v>
      </c>
      <c r="J1266" s="42" t="str">
        <f ca="1">IFERROR(__xludf.DUMMYFUNCTION("""COMPUTED_VALUE"""),"NAS")</f>
        <v>NAS</v>
      </c>
      <c r="K1266" s="98">
        <f ca="1">IFERROR(__xludf.DUMMYFUNCTION("""COMPUTED_VALUE"""),30)</f>
        <v>30</v>
      </c>
      <c r="L1266" s="42" t="str">
        <f ca="1">IFERROR(__xludf.DUMMYFUNCTION("""COMPUTED_VALUE"""),"TRIMESTRE 1")</f>
        <v>TRIMESTRE 1</v>
      </c>
      <c r="M1266" s="42" t="str">
        <f ca="1">IFERROR(__xludf.DUMMYFUNCTION("""COMPUTED_VALUE"""),"NIÑAS")</f>
        <v>NIÑAS</v>
      </c>
    </row>
    <row r="1267" spans="1:13">
      <c r="A1267" s="42" t="str">
        <f ca="1">IFERROR(__xludf.DUMMYFUNCTION("""COMPUTED_VALUE"""),"2.1.4.2")</f>
        <v>2.1.4.2</v>
      </c>
      <c r="B1267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267" s="42" t="str">
        <f ca="1">IFERROR(__xludf.DUMMYFUNCTION("""COMPUTED_VALUE"""),"4. Programas")</f>
        <v>4. Programas</v>
      </c>
      <c r="D1267" s="42" t="str">
        <f ca="1">IFERROR(__xludf.DUMMYFUNCTION("""COMPUTED_VALUE"""),"Guadalajara en Paz")</f>
        <v>Guadalajara en Paz</v>
      </c>
      <c r="E1267" s="42" t="str">
        <f ca="1">IFERROR(__xludf.DUMMYFUNCTION("""COMPUTED_VALUE"""),"Acompañar las Ausencias")</f>
        <v>Acompañar las Ausencias</v>
      </c>
      <c r="F1267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267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267" s="42" t="str">
        <f ca="1">IFERROR(__xludf.DUMMYFUNCTION("""COMPUTED_VALUE"""),"NOS Marzo")</f>
        <v>NOS Marzo</v>
      </c>
      <c r="I1267" s="42" t="str">
        <f ca="1">IFERROR(__xludf.DUMMYFUNCTION("""COMPUTED_VALUE"""),"Marzo")</f>
        <v>Marzo</v>
      </c>
      <c r="J1267" s="42" t="str">
        <f ca="1">IFERROR(__xludf.DUMMYFUNCTION("""COMPUTED_VALUE"""),"NOS")</f>
        <v>NOS</v>
      </c>
      <c r="K1267" s="98">
        <f ca="1">IFERROR(__xludf.DUMMYFUNCTION("""COMPUTED_VALUE"""),26)</f>
        <v>26</v>
      </c>
      <c r="L1267" s="42" t="str">
        <f ca="1">IFERROR(__xludf.DUMMYFUNCTION("""COMPUTED_VALUE"""),"TRIMESTRE 1")</f>
        <v>TRIMESTRE 1</v>
      </c>
      <c r="M1267" s="42" t="str">
        <f ca="1">IFERROR(__xludf.DUMMYFUNCTION("""COMPUTED_VALUE"""),"NIÑOS")</f>
        <v>NIÑOS</v>
      </c>
    </row>
    <row r="1268" spans="1:13">
      <c r="A1268" s="42" t="str">
        <f ca="1">IFERROR(__xludf.DUMMYFUNCTION("""COMPUTED_VALUE"""),"2.1.4.2")</f>
        <v>2.1.4.2</v>
      </c>
      <c r="B1268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268" s="42" t="str">
        <f ca="1">IFERROR(__xludf.DUMMYFUNCTION("""COMPUTED_VALUE"""),"4. Programas")</f>
        <v>4. Programas</v>
      </c>
      <c r="D1268" s="42" t="str">
        <f ca="1">IFERROR(__xludf.DUMMYFUNCTION("""COMPUTED_VALUE"""),"Guadalajara en Paz")</f>
        <v>Guadalajara en Paz</v>
      </c>
      <c r="E1268" s="42" t="str">
        <f ca="1">IFERROR(__xludf.DUMMYFUNCTION("""COMPUTED_VALUE"""),"Acompañar las Ausencias")</f>
        <v>Acompañar las Ausencias</v>
      </c>
      <c r="F1268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268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268" s="42" t="str">
        <f ca="1">IFERROR(__xludf.DUMMYFUNCTION("""COMPUTED_VALUE"""),"AM MARZO")</f>
        <v>AM MARZO</v>
      </c>
      <c r="I1268" s="42" t="str">
        <f ca="1">IFERROR(__xludf.DUMMYFUNCTION("""COMPUTED_VALUE"""),"Marzo")</f>
        <v>Marzo</v>
      </c>
      <c r="J1268" s="42" t="str">
        <f ca="1">IFERROR(__xludf.DUMMYFUNCTION("""COMPUTED_VALUE"""),"AM")</f>
        <v>AM</v>
      </c>
      <c r="K1268" s="98">
        <f ca="1">IFERROR(__xludf.DUMMYFUNCTION("""COMPUTED_VALUE"""),5)</f>
        <v>5</v>
      </c>
      <c r="L1268" s="42" t="str">
        <f ca="1">IFERROR(__xludf.DUMMYFUNCTION("""COMPUTED_VALUE"""),"TRIMESTRE 1")</f>
        <v>TRIMESTRE 1</v>
      </c>
      <c r="M1268" s="42" t="str">
        <f ca="1">IFERROR(__xludf.DUMMYFUNCTION("""COMPUTED_VALUE"""),"ADOLESCENTES MUJERES")</f>
        <v>ADOLESCENTES MUJERES</v>
      </c>
    </row>
    <row r="1269" spans="1:13">
      <c r="A1269" s="42" t="str">
        <f ca="1">IFERROR(__xludf.DUMMYFUNCTION("""COMPUTED_VALUE"""),"2.1.4.2")</f>
        <v>2.1.4.2</v>
      </c>
      <c r="B1269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269" s="42" t="str">
        <f ca="1">IFERROR(__xludf.DUMMYFUNCTION("""COMPUTED_VALUE"""),"4. Programas")</f>
        <v>4. Programas</v>
      </c>
      <c r="D1269" s="42" t="str">
        <f ca="1">IFERROR(__xludf.DUMMYFUNCTION("""COMPUTED_VALUE"""),"Guadalajara en Paz")</f>
        <v>Guadalajara en Paz</v>
      </c>
      <c r="E1269" s="42" t="str">
        <f ca="1">IFERROR(__xludf.DUMMYFUNCTION("""COMPUTED_VALUE"""),"Acompañar las Ausencias")</f>
        <v>Acompañar las Ausencias</v>
      </c>
      <c r="F1269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269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269" s="42" t="str">
        <f ca="1">IFERROR(__xludf.DUMMYFUNCTION("""COMPUTED_VALUE"""),"AH MARZO")</f>
        <v>AH MARZO</v>
      </c>
      <c r="I1269" s="42" t="str">
        <f ca="1">IFERROR(__xludf.DUMMYFUNCTION("""COMPUTED_VALUE"""),"Marzo")</f>
        <v>Marzo</v>
      </c>
      <c r="J1269" s="42" t="str">
        <f ca="1">IFERROR(__xludf.DUMMYFUNCTION("""COMPUTED_VALUE"""),"AH")</f>
        <v>AH</v>
      </c>
      <c r="K1269" s="98">
        <f ca="1">IFERROR(__xludf.DUMMYFUNCTION("""COMPUTED_VALUE"""),12)</f>
        <v>12</v>
      </c>
      <c r="L1269" s="42" t="str">
        <f ca="1">IFERROR(__xludf.DUMMYFUNCTION("""COMPUTED_VALUE"""),"TRIMESTRE 1")</f>
        <v>TRIMESTRE 1</v>
      </c>
      <c r="M1269" s="42" t="str">
        <f ca="1">IFERROR(__xludf.DUMMYFUNCTION("""COMPUTED_VALUE"""),"ADOLESCENTES HOMBRES")</f>
        <v>ADOLESCENTES HOMBRES</v>
      </c>
    </row>
    <row r="1270" spans="1:13">
      <c r="A1270" s="42" t="str">
        <f ca="1">IFERROR(__xludf.DUMMYFUNCTION("""COMPUTED_VALUE"""),"2.1.4.2")</f>
        <v>2.1.4.2</v>
      </c>
      <c r="B1270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270" s="42" t="str">
        <f ca="1">IFERROR(__xludf.DUMMYFUNCTION("""COMPUTED_VALUE"""),"4. Programas")</f>
        <v>4. Programas</v>
      </c>
      <c r="D1270" s="42" t="str">
        <f ca="1">IFERROR(__xludf.DUMMYFUNCTION("""COMPUTED_VALUE"""),"Guadalajara en Paz")</f>
        <v>Guadalajara en Paz</v>
      </c>
      <c r="E1270" s="42" t="str">
        <f ca="1">IFERROR(__xludf.DUMMYFUNCTION("""COMPUTED_VALUE"""),"Acompañar las Ausencias")</f>
        <v>Acompañar las Ausencias</v>
      </c>
      <c r="F1270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270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270" s="42" t="str">
        <f ca="1">IFERROR(__xludf.DUMMYFUNCTION("""COMPUTED_VALUE"""),"MUJ Marzo")</f>
        <v>MUJ Marzo</v>
      </c>
      <c r="I1270" s="42" t="str">
        <f ca="1">IFERROR(__xludf.DUMMYFUNCTION("""COMPUTED_VALUE"""),"Marzo")</f>
        <v>Marzo</v>
      </c>
      <c r="J1270" s="42" t="str">
        <f ca="1">IFERROR(__xludf.DUMMYFUNCTION("""COMPUTED_VALUE"""),"MUJ")</f>
        <v>MUJ</v>
      </c>
      <c r="K1270" s="98">
        <f ca="1">IFERROR(__xludf.DUMMYFUNCTION("""COMPUTED_VALUE"""),84)</f>
        <v>84</v>
      </c>
      <c r="L1270" s="42" t="str">
        <f ca="1">IFERROR(__xludf.DUMMYFUNCTION("""COMPUTED_VALUE"""),"TRIMESTRE 1")</f>
        <v>TRIMESTRE 1</v>
      </c>
      <c r="M1270" s="42" t="str">
        <f ca="1">IFERROR(__xludf.DUMMYFUNCTION("""COMPUTED_VALUE"""),"MUJERES ADULTAS")</f>
        <v>MUJERES ADULTAS</v>
      </c>
    </row>
    <row r="1271" spans="1:13">
      <c r="A1271" s="42" t="str">
        <f ca="1">IFERROR(__xludf.DUMMYFUNCTION("""COMPUTED_VALUE"""),"2.1.4.2")</f>
        <v>2.1.4.2</v>
      </c>
      <c r="B1271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271" s="42" t="str">
        <f ca="1">IFERROR(__xludf.DUMMYFUNCTION("""COMPUTED_VALUE"""),"4. Programas")</f>
        <v>4. Programas</v>
      </c>
      <c r="D1271" s="42" t="str">
        <f ca="1">IFERROR(__xludf.DUMMYFUNCTION("""COMPUTED_VALUE"""),"Guadalajara en Paz")</f>
        <v>Guadalajara en Paz</v>
      </c>
      <c r="E1271" s="42" t="str">
        <f ca="1">IFERROR(__xludf.DUMMYFUNCTION("""COMPUTED_VALUE"""),"Acompañar las Ausencias")</f>
        <v>Acompañar las Ausencias</v>
      </c>
      <c r="F1271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271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271" s="42" t="str">
        <f ca="1">IFERROR(__xludf.DUMMYFUNCTION("""COMPUTED_VALUE"""),"HOM Marzo")</f>
        <v>HOM Marzo</v>
      </c>
      <c r="I1271" s="42" t="str">
        <f ca="1">IFERROR(__xludf.DUMMYFUNCTION("""COMPUTED_VALUE"""),"Marzo")</f>
        <v>Marzo</v>
      </c>
      <c r="J1271" s="42" t="str">
        <f ca="1">IFERROR(__xludf.DUMMYFUNCTION("""COMPUTED_VALUE"""),"HOM")</f>
        <v>HOM</v>
      </c>
      <c r="K1271" s="98">
        <f ca="1">IFERROR(__xludf.DUMMYFUNCTION("""COMPUTED_VALUE"""),6)</f>
        <v>6</v>
      </c>
      <c r="L1271" s="42" t="str">
        <f ca="1">IFERROR(__xludf.DUMMYFUNCTION("""COMPUTED_VALUE"""),"TRIMESTRE 1")</f>
        <v>TRIMESTRE 1</v>
      </c>
      <c r="M1271" s="42" t="str">
        <f ca="1">IFERROR(__xludf.DUMMYFUNCTION("""COMPUTED_VALUE"""),"HOMBRES ADULTOS")</f>
        <v>HOMBRES ADULTOS</v>
      </c>
    </row>
    <row r="1272" spans="1:13">
      <c r="A1272" s="42" t="str">
        <f ca="1">IFERROR(__xludf.DUMMYFUNCTION("""COMPUTED_VALUE"""),"2.1.4.2")</f>
        <v>2.1.4.2</v>
      </c>
      <c r="B1272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272" s="42" t="str">
        <f ca="1">IFERROR(__xludf.DUMMYFUNCTION("""COMPUTED_VALUE"""),"4. Programas")</f>
        <v>4. Programas</v>
      </c>
      <c r="D1272" s="42" t="str">
        <f ca="1">IFERROR(__xludf.DUMMYFUNCTION("""COMPUTED_VALUE"""),"Guadalajara en Paz")</f>
        <v>Guadalajara en Paz</v>
      </c>
      <c r="E1272" s="42" t="str">
        <f ca="1">IFERROR(__xludf.DUMMYFUNCTION("""COMPUTED_VALUE"""),"Acompañar las Ausencias")</f>
        <v>Acompañar las Ausencias</v>
      </c>
      <c r="F1272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272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272" s="42" t="str">
        <f ca="1">IFERROR(__xludf.DUMMYFUNCTION("""COMPUTED_VALUE"""),"AMM Marzo")</f>
        <v>AMM Marzo</v>
      </c>
      <c r="I1272" s="42" t="str">
        <f ca="1">IFERROR(__xludf.DUMMYFUNCTION("""COMPUTED_VALUE"""),"Marzo")</f>
        <v>Marzo</v>
      </c>
      <c r="J1272" s="42" t="str">
        <f ca="1">IFERROR(__xludf.DUMMYFUNCTION("""COMPUTED_VALUE"""),"AMM")</f>
        <v>AMM</v>
      </c>
      <c r="K1272" s="98">
        <f ca="1">IFERROR(__xludf.DUMMYFUNCTION("""COMPUTED_VALUE"""),36)</f>
        <v>36</v>
      </c>
      <c r="L1272" s="42" t="str">
        <f ca="1">IFERROR(__xludf.DUMMYFUNCTION("""COMPUTED_VALUE"""),"TRIMESTRE 1")</f>
        <v>TRIMESTRE 1</v>
      </c>
      <c r="M1272" s="42" t="str">
        <f ca="1">IFERROR(__xludf.DUMMYFUNCTION("""COMPUTED_VALUE"""),"ADULTA MAYOR MUJER")</f>
        <v>ADULTA MAYOR MUJER</v>
      </c>
    </row>
    <row r="1273" spans="1:13">
      <c r="A1273" s="42" t="str">
        <f ca="1">IFERROR(__xludf.DUMMYFUNCTION("""COMPUTED_VALUE"""),"2.1.4.2")</f>
        <v>2.1.4.2</v>
      </c>
      <c r="B1273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273" s="42" t="str">
        <f ca="1">IFERROR(__xludf.DUMMYFUNCTION("""COMPUTED_VALUE"""),"4. Programas")</f>
        <v>4. Programas</v>
      </c>
      <c r="D1273" s="42" t="str">
        <f ca="1">IFERROR(__xludf.DUMMYFUNCTION("""COMPUTED_VALUE"""),"Guadalajara en Paz")</f>
        <v>Guadalajara en Paz</v>
      </c>
      <c r="E1273" s="42" t="str">
        <f ca="1">IFERROR(__xludf.DUMMYFUNCTION("""COMPUTED_VALUE"""),"Acompañar las Ausencias")</f>
        <v>Acompañar las Ausencias</v>
      </c>
      <c r="F1273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273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273" s="42" t="str">
        <f ca="1">IFERROR(__xludf.DUMMYFUNCTION("""COMPUTED_VALUE"""),"AMH Marzo")</f>
        <v>AMH Marzo</v>
      </c>
      <c r="I1273" s="42" t="str">
        <f ca="1">IFERROR(__xludf.DUMMYFUNCTION("""COMPUTED_VALUE"""),"Marzo")</f>
        <v>Marzo</v>
      </c>
      <c r="J1273" s="42" t="str">
        <f ca="1">IFERROR(__xludf.DUMMYFUNCTION("""COMPUTED_VALUE"""),"AMH")</f>
        <v>AMH</v>
      </c>
      <c r="K1273" s="98">
        <f ca="1">IFERROR(__xludf.DUMMYFUNCTION("""COMPUTED_VALUE"""),8)</f>
        <v>8</v>
      </c>
      <c r="L1273" s="42" t="str">
        <f ca="1">IFERROR(__xludf.DUMMYFUNCTION("""COMPUTED_VALUE"""),"TRIMESTRE 1")</f>
        <v>TRIMESTRE 1</v>
      </c>
      <c r="M1273" s="42" t="str">
        <f ca="1">IFERROR(__xludf.DUMMYFUNCTION("""COMPUTED_VALUE"""),"ADULTO MAYOR HOMBRE")</f>
        <v>ADULTO MAYOR HOMBRE</v>
      </c>
    </row>
    <row r="1274" spans="1:13">
      <c r="A1274" s="42" t="str">
        <f ca="1">IFERROR(__xludf.DUMMYFUNCTION("""COMPUTED_VALUE"""),"2.1.4.2")</f>
        <v>2.1.4.2</v>
      </c>
      <c r="B1274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274" s="42" t="str">
        <f ca="1">IFERROR(__xludf.DUMMYFUNCTION("""COMPUTED_VALUE"""),"4. Programas")</f>
        <v>4. Programas</v>
      </c>
      <c r="D1274" s="42" t="str">
        <f ca="1">IFERROR(__xludf.DUMMYFUNCTION("""COMPUTED_VALUE"""),"Guadalajara en Paz")</f>
        <v>Guadalajara en Paz</v>
      </c>
      <c r="E1274" s="42" t="str">
        <f ca="1">IFERROR(__xludf.DUMMYFUNCTION("""COMPUTED_VALUE"""),"Acompañar las Ausencias")</f>
        <v>Acompañar las Ausencias</v>
      </c>
      <c r="F1274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274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274" s="42" t="str">
        <f ca="1">IFERROR(__xludf.DUMMYFUNCTION("""COMPUTED_VALUE"""),"NAS Abril")</f>
        <v>NAS Abril</v>
      </c>
      <c r="I1274" s="42" t="str">
        <f ca="1">IFERROR(__xludf.DUMMYFUNCTION("""COMPUTED_VALUE"""),"Abril")</f>
        <v>Abril</v>
      </c>
      <c r="J1274" s="42" t="str">
        <f ca="1">IFERROR(__xludf.DUMMYFUNCTION("""COMPUTED_VALUE"""),"NAS")</f>
        <v>NAS</v>
      </c>
      <c r="K1274" s="98"/>
      <c r="L1274" s="42" t="str">
        <f ca="1">IFERROR(__xludf.DUMMYFUNCTION("""COMPUTED_VALUE"""),"TRIMESTRE 2")</f>
        <v>TRIMESTRE 2</v>
      </c>
      <c r="M1274" s="42" t="str">
        <f ca="1">IFERROR(__xludf.DUMMYFUNCTION("""COMPUTED_VALUE"""),"NIÑAS")</f>
        <v>NIÑAS</v>
      </c>
    </row>
    <row r="1275" spans="1:13">
      <c r="A1275" s="42" t="str">
        <f ca="1">IFERROR(__xludf.DUMMYFUNCTION("""COMPUTED_VALUE"""),"2.1.4.2")</f>
        <v>2.1.4.2</v>
      </c>
      <c r="B1275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275" s="42" t="str">
        <f ca="1">IFERROR(__xludf.DUMMYFUNCTION("""COMPUTED_VALUE"""),"4. Programas")</f>
        <v>4. Programas</v>
      </c>
      <c r="D1275" s="42" t="str">
        <f ca="1">IFERROR(__xludf.DUMMYFUNCTION("""COMPUTED_VALUE"""),"Guadalajara en Paz")</f>
        <v>Guadalajara en Paz</v>
      </c>
      <c r="E1275" s="42" t="str">
        <f ca="1">IFERROR(__xludf.DUMMYFUNCTION("""COMPUTED_VALUE"""),"Acompañar las Ausencias")</f>
        <v>Acompañar las Ausencias</v>
      </c>
      <c r="F1275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275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275" s="42" t="str">
        <f ca="1">IFERROR(__xludf.DUMMYFUNCTION("""COMPUTED_VALUE"""),"NOS Abril")</f>
        <v>NOS Abril</v>
      </c>
      <c r="I1275" s="42" t="str">
        <f ca="1">IFERROR(__xludf.DUMMYFUNCTION("""COMPUTED_VALUE"""),"Abril")</f>
        <v>Abril</v>
      </c>
      <c r="J1275" s="42" t="str">
        <f ca="1">IFERROR(__xludf.DUMMYFUNCTION("""COMPUTED_VALUE"""),"NOS")</f>
        <v>NOS</v>
      </c>
      <c r="K1275" s="98"/>
      <c r="L1275" s="42" t="str">
        <f ca="1">IFERROR(__xludf.DUMMYFUNCTION("""COMPUTED_VALUE"""),"TRIMESTRE 2")</f>
        <v>TRIMESTRE 2</v>
      </c>
      <c r="M1275" s="42" t="str">
        <f ca="1">IFERROR(__xludf.DUMMYFUNCTION("""COMPUTED_VALUE"""),"NIÑOS")</f>
        <v>NIÑOS</v>
      </c>
    </row>
    <row r="1276" spans="1:13">
      <c r="A1276" s="42" t="str">
        <f ca="1">IFERROR(__xludf.DUMMYFUNCTION("""COMPUTED_VALUE"""),"2.1.4.2")</f>
        <v>2.1.4.2</v>
      </c>
      <c r="B1276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276" s="42" t="str">
        <f ca="1">IFERROR(__xludf.DUMMYFUNCTION("""COMPUTED_VALUE"""),"4. Programas")</f>
        <v>4. Programas</v>
      </c>
      <c r="D1276" s="42" t="str">
        <f ca="1">IFERROR(__xludf.DUMMYFUNCTION("""COMPUTED_VALUE"""),"Guadalajara en Paz")</f>
        <v>Guadalajara en Paz</v>
      </c>
      <c r="E1276" s="42" t="str">
        <f ca="1">IFERROR(__xludf.DUMMYFUNCTION("""COMPUTED_VALUE"""),"Acompañar las Ausencias")</f>
        <v>Acompañar las Ausencias</v>
      </c>
      <c r="F1276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276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276" s="42" t="str">
        <f ca="1">IFERROR(__xludf.DUMMYFUNCTION("""COMPUTED_VALUE"""),"AM ABRIL")</f>
        <v>AM ABRIL</v>
      </c>
      <c r="I1276" s="42" t="str">
        <f ca="1">IFERROR(__xludf.DUMMYFUNCTION("""COMPUTED_VALUE"""),"Abril")</f>
        <v>Abril</v>
      </c>
      <c r="J1276" s="42" t="str">
        <f ca="1">IFERROR(__xludf.DUMMYFUNCTION("""COMPUTED_VALUE"""),"AM")</f>
        <v>AM</v>
      </c>
      <c r="K1276" s="98"/>
      <c r="L1276" s="42" t="str">
        <f ca="1">IFERROR(__xludf.DUMMYFUNCTION("""COMPUTED_VALUE"""),"TRIMESTRE 2")</f>
        <v>TRIMESTRE 2</v>
      </c>
      <c r="M1276" s="42" t="str">
        <f ca="1">IFERROR(__xludf.DUMMYFUNCTION("""COMPUTED_VALUE"""),"ADOLESCENTES MUJERES")</f>
        <v>ADOLESCENTES MUJERES</v>
      </c>
    </row>
    <row r="1277" spans="1:13">
      <c r="A1277" s="42" t="str">
        <f ca="1">IFERROR(__xludf.DUMMYFUNCTION("""COMPUTED_VALUE"""),"2.1.4.2")</f>
        <v>2.1.4.2</v>
      </c>
      <c r="B1277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277" s="42" t="str">
        <f ca="1">IFERROR(__xludf.DUMMYFUNCTION("""COMPUTED_VALUE"""),"4. Programas")</f>
        <v>4. Programas</v>
      </c>
      <c r="D1277" s="42" t="str">
        <f ca="1">IFERROR(__xludf.DUMMYFUNCTION("""COMPUTED_VALUE"""),"Guadalajara en Paz")</f>
        <v>Guadalajara en Paz</v>
      </c>
      <c r="E1277" s="42" t="str">
        <f ca="1">IFERROR(__xludf.DUMMYFUNCTION("""COMPUTED_VALUE"""),"Acompañar las Ausencias")</f>
        <v>Acompañar las Ausencias</v>
      </c>
      <c r="F1277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277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277" s="42" t="str">
        <f ca="1">IFERROR(__xludf.DUMMYFUNCTION("""COMPUTED_VALUE"""),"AH ABRIL")</f>
        <v>AH ABRIL</v>
      </c>
      <c r="I1277" s="42" t="str">
        <f ca="1">IFERROR(__xludf.DUMMYFUNCTION("""COMPUTED_VALUE"""),"Abril")</f>
        <v>Abril</v>
      </c>
      <c r="J1277" s="42" t="str">
        <f ca="1">IFERROR(__xludf.DUMMYFUNCTION("""COMPUTED_VALUE"""),"AH")</f>
        <v>AH</v>
      </c>
      <c r="K1277" s="98"/>
      <c r="L1277" s="42" t="str">
        <f ca="1">IFERROR(__xludf.DUMMYFUNCTION("""COMPUTED_VALUE"""),"TRIMESTRE 2")</f>
        <v>TRIMESTRE 2</v>
      </c>
      <c r="M1277" s="42" t="str">
        <f ca="1">IFERROR(__xludf.DUMMYFUNCTION("""COMPUTED_VALUE"""),"ADOLESCENTES HOMBRES")</f>
        <v>ADOLESCENTES HOMBRES</v>
      </c>
    </row>
    <row r="1278" spans="1:13">
      <c r="A1278" s="42" t="str">
        <f ca="1">IFERROR(__xludf.DUMMYFUNCTION("""COMPUTED_VALUE"""),"2.1.4.2")</f>
        <v>2.1.4.2</v>
      </c>
      <c r="B1278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278" s="42" t="str">
        <f ca="1">IFERROR(__xludf.DUMMYFUNCTION("""COMPUTED_VALUE"""),"4. Programas")</f>
        <v>4. Programas</v>
      </c>
      <c r="D1278" s="42" t="str">
        <f ca="1">IFERROR(__xludf.DUMMYFUNCTION("""COMPUTED_VALUE"""),"Guadalajara en Paz")</f>
        <v>Guadalajara en Paz</v>
      </c>
      <c r="E1278" s="42" t="str">
        <f ca="1">IFERROR(__xludf.DUMMYFUNCTION("""COMPUTED_VALUE"""),"Acompañar las Ausencias")</f>
        <v>Acompañar las Ausencias</v>
      </c>
      <c r="F1278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278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278" s="42" t="str">
        <f ca="1">IFERROR(__xludf.DUMMYFUNCTION("""COMPUTED_VALUE"""),"MUJ Abril")</f>
        <v>MUJ Abril</v>
      </c>
      <c r="I1278" s="42" t="str">
        <f ca="1">IFERROR(__xludf.DUMMYFUNCTION("""COMPUTED_VALUE"""),"Abril")</f>
        <v>Abril</v>
      </c>
      <c r="J1278" s="42" t="str">
        <f ca="1">IFERROR(__xludf.DUMMYFUNCTION("""COMPUTED_VALUE"""),"MUJ")</f>
        <v>MUJ</v>
      </c>
      <c r="K1278" s="98"/>
      <c r="L1278" s="42" t="str">
        <f ca="1">IFERROR(__xludf.DUMMYFUNCTION("""COMPUTED_VALUE"""),"TRIMESTRE 2")</f>
        <v>TRIMESTRE 2</v>
      </c>
      <c r="M1278" s="42" t="str">
        <f ca="1">IFERROR(__xludf.DUMMYFUNCTION("""COMPUTED_VALUE"""),"MUJERES ADULTAS")</f>
        <v>MUJERES ADULTAS</v>
      </c>
    </row>
    <row r="1279" spans="1:13">
      <c r="A1279" s="42" t="str">
        <f ca="1">IFERROR(__xludf.DUMMYFUNCTION("""COMPUTED_VALUE"""),"2.1.4.2")</f>
        <v>2.1.4.2</v>
      </c>
      <c r="B1279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279" s="42" t="str">
        <f ca="1">IFERROR(__xludf.DUMMYFUNCTION("""COMPUTED_VALUE"""),"4. Programas")</f>
        <v>4. Programas</v>
      </c>
      <c r="D1279" s="42" t="str">
        <f ca="1">IFERROR(__xludf.DUMMYFUNCTION("""COMPUTED_VALUE"""),"Guadalajara en Paz")</f>
        <v>Guadalajara en Paz</v>
      </c>
      <c r="E1279" s="42" t="str">
        <f ca="1">IFERROR(__xludf.DUMMYFUNCTION("""COMPUTED_VALUE"""),"Acompañar las Ausencias")</f>
        <v>Acompañar las Ausencias</v>
      </c>
      <c r="F1279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279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279" s="42" t="str">
        <f ca="1">IFERROR(__xludf.DUMMYFUNCTION("""COMPUTED_VALUE"""),"HOM Abril")</f>
        <v>HOM Abril</v>
      </c>
      <c r="I1279" s="42" t="str">
        <f ca="1">IFERROR(__xludf.DUMMYFUNCTION("""COMPUTED_VALUE"""),"Abril")</f>
        <v>Abril</v>
      </c>
      <c r="J1279" s="42" t="str">
        <f ca="1">IFERROR(__xludf.DUMMYFUNCTION("""COMPUTED_VALUE"""),"HOM")</f>
        <v>HOM</v>
      </c>
      <c r="K1279" s="98"/>
      <c r="L1279" s="42" t="str">
        <f ca="1">IFERROR(__xludf.DUMMYFUNCTION("""COMPUTED_VALUE"""),"TRIMESTRE 2")</f>
        <v>TRIMESTRE 2</v>
      </c>
      <c r="M1279" s="42" t="str">
        <f ca="1">IFERROR(__xludf.DUMMYFUNCTION("""COMPUTED_VALUE"""),"HOMBRES ADULTOS")</f>
        <v>HOMBRES ADULTOS</v>
      </c>
    </row>
    <row r="1280" spans="1:13">
      <c r="A1280" s="42" t="str">
        <f ca="1">IFERROR(__xludf.DUMMYFUNCTION("""COMPUTED_VALUE"""),"2.1.4.2")</f>
        <v>2.1.4.2</v>
      </c>
      <c r="B1280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280" s="42" t="str">
        <f ca="1">IFERROR(__xludf.DUMMYFUNCTION("""COMPUTED_VALUE"""),"4. Programas")</f>
        <v>4. Programas</v>
      </c>
      <c r="D1280" s="42" t="str">
        <f ca="1">IFERROR(__xludf.DUMMYFUNCTION("""COMPUTED_VALUE"""),"Guadalajara en Paz")</f>
        <v>Guadalajara en Paz</v>
      </c>
      <c r="E1280" s="42" t="str">
        <f ca="1">IFERROR(__xludf.DUMMYFUNCTION("""COMPUTED_VALUE"""),"Acompañar las Ausencias")</f>
        <v>Acompañar las Ausencias</v>
      </c>
      <c r="F1280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280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280" s="42" t="str">
        <f ca="1">IFERROR(__xludf.DUMMYFUNCTION("""COMPUTED_VALUE"""),"AMM Abril")</f>
        <v>AMM Abril</v>
      </c>
      <c r="I1280" s="42" t="str">
        <f ca="1">IFERROR(__xludf.DUMMYFUNCTION("""COMPUTED_VALUE"""),"Abril")</f>
        <v>Abril</v>
      </c>
      <c r="J1280" s="42" t="str">
        <f ca="1">IFERROR(__xludf.DUMMYFUNCTION("""COMPUTED_VALUE"""),"AMM")</f>
        <v>AMM</v>
      </c>
      <c r="K1280" s="98"/>
      <c r="L1280" s="42" t="str">
        <f ca="1">IFERROR(__xludf.DUMMYFUNCTION("""COMPUTED_VALUE"""),"TRIMESTRE 2")</f>
        <v>TRIMESTRE 2</v>
      </c>
      <c r="M1280" s="42" t="str">
        <f ca="1">IFERROR(__xludf.DUMMYFUNCTION("""COMPUTED_VALUE"""),"ADULTA MAYOR MUJER")</f>
        <v>ADULTA MAYOR MUJER</v>
      </c>
    </row>
    <row r="1281" spans="1:13">
      <c r="A1281" s="42" t="str">
        <f ca="1">IFERROR(__xludf.DUMMYFUNCTION("""COMPUTED_VALUE"""),"2.1.4.2")</f>
        <v>2.1.4.2</v>
      </c>
      <c r="B1281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281" s="42" t="str">
        <f ca="1">IFERROR(__xludf.DUMMYFUNCTION("""COMPUTED_VALUE"""),"4. Programas")</f>
        <v>4. Programas</v>
      </c>
      <c r="D1281" s="42" t="str">
        <f ca="1">IFERROR(__xludf.DUMMYFUNCTION("""COMPUTED_VALUE"""),"Guadalajara en Paz")</f>
        <v>Guadalajara en Paz</v>
      </c>
      <c r="E1281" s="42" t="str">
        <f ca="1">IFERROR(__xludf.DUMMYFUNCTION("""COMPUTED_VALUE"""),"Acompañar las Ausencias")</f>
        <v>Acompañar las Ausencias</v>
      </c>
      <c r="F1281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281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281" s="42" t="str">
        <f ca="1">IFERROR(__xludf.DUMMYFUNCTION("""COMPUTED_VALUE"""),"AMH Abril")</f>
        <v>AMH Abril</v>
      </c>
      <c r="I1281" s="42" t="str">
        <f ca="1">IFERROR(__xludf.DUMMYFUNCTION("""COMPUTED_VALUE"""),"Abril")</f>
        <v>Abril</v>
      </c>
      <c r="J1281" s="42" t="str">
        <f ca="1">IFERROR(__xludf.DUMMYFUNCTION("""COMPUTED_VALUE"""),"AMH")</f>
        <v>AMH</v>
      </c>
      <c r="K1281" s="98"/>
      <c r="L1281" s="42" t="str">
        <f ca="1">IFERROR(__xludf.DUMMYFUNCTION("""COMPUTED_VALUE"""),"TRIMESTRE 2")</f>
        <v>TRIMESTRE 2</v>
      </c>
      <c r="M1281" s="42" t="str">
        <f ca="1">IFERROR(__xludf.DUMMYFUNCTION("""COMPUTED_VALUE"""),"ADULTO MAYOR HOMBRE")</f>
        <v>ADULTO MAYOR HOMBRE</v>
      </c>
    </row>
    <row r="1282" spans="1:13">
      <c r="A1282" s="42" t="str">
        <f ca="1">IFERROR(__xludf.DUMMYFUNCTION("""COMPUTED_VALUE"""),"2.1.4.2")</f>
        <v>2.1.4.2</v>
      </c>
      <c r="B1282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282" s="42" t="str">
        <f ca="1">IFERROR(__xludf.DUMMYFUNCTION("""COMPUTED_VALUE"""),"4. Programas")</f>
        <v>4. Programas</v>
      </c>
      <c r="D1282" s="42" t="str">
        <f ca="1">IFERROR(__xludf.DUMMYFUNCTION("""COMPUTED_VALUE"""),"Guadalajara en Paz")</f>
        <v>Guadalajara en Paz</v>
      </c>
      <c r="E1282" s="42" t="str">
        <f ca="1">IFERROR(__xludf.DUMMYFUNCTION("""COMPUTED_VALUE"""),"Acompañar las Ausencias")</f>
        <v>Acompañar las Ausencias</v>
      </c>
      <c r="F1282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282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282" s="42" t="str">
        <f ca="1">IFERROR(__xludf.DUMMYFUNCTION("""COMPUTED_VALUE"""),"NAS Mayo")</f>
        <v>NAS Mayo</v>
      </c>
      <c r="I1282" s="42" t="str">
        <f ca="1">IFERROR(__xludf.DUMMYFUNCTION("""COMPUTED_VALUE"""),"Mayo")</f>
        <v>Mayo</v>
      </c>
      <c r="J1282" s="42" t="str">
        <f ca="1">IFERROR(__xludf.DUMMYFUNCTION("""COMPUTED_VALUE"""),"NAS")</f>
        <v>NAS</v>
      </c>
      <c r="K1282" s="98">
        <f ca="1">IFERROR(__xludf.DUMMYFUNCTION("""COMPUTED_VALUE"""),48)</f>
        <v>48</v>
      </c>
      <c r="L1282" s="42" t="str">
        <f ca="1">IFERROR(__xludf.DUMMYFUNCTION("""COMPUTED_VALUE"""),"TRIMESTRE 2")</f>
        <v>TRIMESTRE 2</v>
      </c>
      <c r="M1282" s="42" t="str">
        <f ca="1">IFERROR(__xludf.DUMMYFUNCTION("""COMPUTED_VALUE"""),"NIÑAS")</f>
        <v>NIÑAS</v>
      </c>
    </row>
    <row r="1283" spans="1:13">
      <c r="A1283" s="42" t="str">
        <f ca="1">IFERROR(__xludf.DUMMYFUNCTION("""COMPUTED_VALUE"""),"2.1.4.2")</f>
        <v>2.1.4.2</v>
      </c>
      <c r="B1283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283" s="42" t="str">
        <f ca="1">IFERROR(__xludf.DUMMYFUNCTION("""COMPUTED_VALUE"""),"4. Programas")</f>
        <v>4. Programas</v>
      </c>
      <c r="D1283" s="42" t="str">
        <f ca="1">IFERROR(__xludf.DUMMYFUNCTION("""COMPUTED_VALUE"""),"Guadalajara en Paz")</f>
        <v>Guadalajara en Paz</v>
      </c>
      <c r="E1283" s="42" t="str">
        <f ca="1">IFERROR(__xludf.DUMMYFUNCTION("""COMPUTED_VALUE"""),"Acompañar las Ausencias")</f>
        <v>Acompañar las Ausencias</v>
      </c>
      <c r="F1283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283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283" s="42" t="str">
        <f ca="1">IFERROR(__xludf.DUMMYFUNCTION("""COMPUTED_VALUE"""),"NOS Mayo")</f>
        <v>NOS Mayo</v>
      </c>
      <c r="I1283" s="42" t="str">
        <f ca="1">IFERROR(__xludf.DUMMYFUNCTION("""COMPUTED_VALUE"""),"Mayo")</f>
        <v>Mayo</v>
      </c>
      <c r="J1283" s="42" t="str">
        <f ca="1">IFERROR(__xludf.DUMMYFUNCTION("""COMPUTED_VALUE"""),"NOS")</f>
        <v>NOS</v>
      </c>
      <c r="K1283" s="98">
        <f ca="1">IFERROR(__xludf.DUMMYFUNCTION("""COMPUTED_VALUE"""),33)</f>
        <v>33</v>
      </c>
      <c r="L1283" s="42" t="str">
        <f ca="1">IFERROR(__xludf.DUMMYFUNCTION("""COMPUTED_VALUE"""),"TRIMESTRE 2")</f>
        <v>TRIMESTRE 2</v>
      </c>
      <c r="M1283" s="42" t="str">
        <f ca="1">IFERROR(__xludf.DUMMYFUNCTION("""COMPUTED_VALUE"""),"NIÑOS")</f>
        <v>NIÑOS</v>
      </c>
    </row>
    <row r="1284" spans="1:13">
      <c r="A1284" s="42" t="str">
        <f ca="1">IFERROR(__xludf.DUMMYFUNCTION("""COMPUTED_VALUE"""),"2.1.4.2")</f>
        <v>2.1.4.2</v>
      </c>
      <c r="B1284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284" s="42" t="str">
        <f ca="1">IFERROR(__xludf.DUMMYFUNCTION("""COMPUTED_VALUE"""),"4. Programas")</f>
        <v>4. Programas</v>
      </c>
      <c r="D1284" s="42" t="str">
        <f ca="1">IFERROR(__xludf.DUMMYFUNCTION("""COMPUTED_VALUE"""),"Guadalajara en Paz")</f>
        <v>Guadalajara en Paz</v>
      </c>
      <c r="E1284" s="42" t="str">
        <f ca="1">IFERROR(__xludf.DUMMYFUNCTION("""COMPUTED_VALUE"""),"Acompañar las Ausencias")</f>
        <v>Acompañar las Ausencias</v>
      </c>
      <c r="F1284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284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284" s="42" t="str">
        <f ca="1">IFERROR(__xludf.DUMMYFUNCTION("""COMPUTED_VALUE"""),"AM MAYO")</f>
        <v>AM MAYO</v>
      </c>
      <c r="I1284" s="42" t="str">
        <f ca="1">IFERROR(__xludf.DUMMYFUNCTION("""COMPUTED_VALUE"""),"Mayo")</f>
        <v>Mayo</v>
      </c>
      <c r="J1284" s="42" t="str">
        <f ca="1">IFERROR(__xludf.DUMMYFUNCTION("""COMPUTED_VALUE"""),"AM")</f>
        <v>AM</v>
      </c>
      <c r="K1284" s="98">
        <f ca="1">IFERROR(__xludf.DUMMYFUNCTION("""COMPUTED_VALUE"""),9)</f>
        <v>9</v>
      </c>
      <c r="L1284" s="42" t="str">
        <f ca="1">IFERROR(__xludf.DUMMYFUNCTION("""COMPUTED_VALUE"""),"TRIMESTRE 2")</f>
        <v>TRIMESTRE 2</v>
      </c>
      <c r="M1284" s="42" t="str">
        <f ca="1">IFERROR(__xludf.DUMMYFUNCTION("""COMPUTED_VALUE"""),"ADOLESCENTES MUJERES")</f>
        <v>ADOLESCENTES MUJERES</v>
      </c>
    </row>
    <row r="1285" spans="1:13">
      <c r="A1285" s="42" t="str">
        <f ca="1">IFERROR(__xludf.DUMMYFUNCTION("""COMPUTED_VALUE"""),"2.1.4.2")</f>
        <v>2.1.4.2</v>
      </c>
      <c r="B1285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285" s="42" t="str">
        <f ca="1">IFERROR(__xludf.DUMMYFUNCTION("""COMPUTED_VALUE"""),"4. Programas")</f>
        <v>4. Programas</v>
      </c>
      <c r="D1285" s="42" t="str">
        <f ca="1">IFERROR(__xludf.DUMMYFUNCTION("""COMPUTED_VALUE"""),"Guadalajara en Paz")</f>
        <v>Guadalajara en Paz</v>
      </c>
      <c r="E1285" s="42" t="str">
        <f ca="1">IFERROR(__xludf.DUMMYFUNCTION("""COMPUTED_VALUE"""),"Acompañar las Ausencias")</f>
        <v>Acompañar las Ausencias</v>
      </c>
      <c r="F1285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285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285" s="42" t="str">
        <f ca="1">IFERROR(__xludf.DUMMYFUNCTION("""COMPUTED_VALUE"""),"AH MAYO")</f>
        <v>AH MAYO</v>
      </c>
      <c r="I1285" s="42" t="str">
        <f ca="1">IFERROR(__xludf.DUMMYFUNCTION("""COMPUTED_VALUE"""),"Mayo")</f>
        <v>Mayo</v>
      </c>
      <c r="J1285" s="42" t="str">
        <f ca="1">IFERROR(__xludf.DUMMYFUNCTION("""COMPUTED_VALUE"""),"AH")</f>
        <v>AH</v>
      </c>
      <c r="K1285" s="98">
        <f ca="1">IFERROR(__xludf.DUMMYFUNCTION("""COMPUTED_VALUE"""),7)</f>
        <v>7</v>
      </c>
      <c r="L1285" s="42" t="str">
        <f ca="1">IFERROR(__xludf.DUMMYFUNCTION("""COMPUTED_VALUE"""),"TRIMESTRE 2")</f>
        <v>TRIMESTRE 2</v>
      </c>
      <c r="M1285" s="42" t="str">
        <f ca="1">IFERROR(__xludf.DUMMYFUNCTION("""COMPUTED_VALUE"""),"ADOLESCENTES HOMBRES")</f>
        <v>ADOLESCENTES HOMBRES</v>
      </c>
    </row>
    <row r="1286" spans="1:13">
      <c r="A1286" s="42" t="str">
        <f ca="1">IFERROR(__xludf.DUMMYFUNCTION("""COMPUTED_VALUE"""),"2.1.4.2")</f>
        <v>2.1.4.2</v>
      </c>
      <c r="B1286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286" s="42" t="str">
        <f ca="1">IFERROR(__xludf.DUMMYFUNCTION("""COMPUTED_VALUE"""),"4. Programas")</f>
        <v>4. Programas</v>
      </c>
      <c r="D1286" s="42" t="str">
        <f ca="1">IFERROR(__xludf.DUMMYFUNCTION("""COMPUTED_VALUE"""),"Guadalajara en Paz")</f>
        <v>Guadalajara en Paz</v>
      </c>
      <c r="E1286" s="42" t="str">
        <f ca="1">IFERROR(__xludf.DUMMYFUNCTION("""COMPUTED_VALUE"""),"Acompañar las Ausencias")</f>
        <v>Acompañar las Ausencias</v>
      </c>
      <c r="F1286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286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286" s="42" t="str">
        <f ca="1">IFERROR(__xludf.DUMMYFUNCTION("""COMPUTED_VALUE"""),"MUJ Mayo")</f>
        <v>MUJ Mayo</v>
      </c>
      <c r="I1286" s="42" t="str">
        <f ca="1">IFERROR(__xludf.DUMMYFUNCTION("""COMPUTED_VALUE"""),"Mayo")</f>
        <v>Mayo</v>
      </c>
      <c r="J1286" s="42" t="str">
        <f ca="1">IFERROR(__xludf.DUMMYFUNCTION("""COMPUTED_VALUE"""),"MUJ")</f>
        <v>MUJ</v>
      </c>
      <c r="K1286" s="98">
        <f ca="1">IFERROR(__xludf.DUMMYFUNCTION("""COMPUTED_VALUE"""),65)</f>
        <v>65</v>
      </c>
      <c r="L1286" s="42" t="str">
        <f ca="1">IFERROR(__xludf.DUMMYFUNCTION("""COMPUTED_VALUE"""),"TRIMESTRE 2")</f>
        <v>TRIMESTRE 2</v>
      </c>
      <c r="M1286" s="42" t="str">
        <f ca="1">IFERROR(__xludf.DUMMYFUNCTION("""COMPUTED_VALUE"""),"MUJERES ADULTAS")</f>
        <v>MUJERES ADULTAS</v>
      </c>
    </row>
    <row r="1287" spans="1:13">
      <c r="A1287" s="42" t="str">
        <f ca="1">IFERROR(__xludf.DUMMYFUNCTION("""COMPUTED_VALUE"""),"2.1.4.2")</f>
        <v>2.1.4.2</v>
      </c>
      <c r="B1287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287" s="42" t="str">
        <f ca="1">IFERROR(__xludf.DUMMYFUNCTION("""COMPUTED_VALUE"""),"4. Programas")</f>
        <v>4. Programas</v>
      </c>
      <c r="D1287" s="42" t="str">
        <f ca="1">IFERROR(__xludf.DUMMYFUNCTION("""COMPUTED_VALUE"""),"Guadalajara en Paz")</f>
        <v>Guadalajara en Paz</v>
      </c>
      <c r="E1287" s="42" t="str">
        <f ca="1">IFERROR(__xludf.DUMMYFUNCTION("""COMPUTED_VALUE"""),"Acompañar las Ausencias")</f>
        <v>Acompañar las Ausencias</v>
      </c>
      <c r="F1287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287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287" s="42" t="str">
        <f ca="1">IFERROR(__xludf.DUMMYFUNCTION("""COMPUTED_VALUE"""),"HOM Mayo")</f>
        <v>HOM Mayo</v>
      </c>
      <c r="I1287" s="42" t="str">
        <f ca="1">IFERROR(__xludf.DUMMYFUNCTION("""COMPUTED_VALUE"""),"Mayo")</f>
        <v>Mayo</v>
      </c>
      <c r="J1287" s="42" t="str">
        <f ca="1">IFERROR(__xludf.DUMMYFUNCTION("""COMPUTED_VALUE"""),"HOM")</f>
        <v>HOM</v>
      </c>
      <c r="K1287" s="98">
        <f ca="1">IFERROR(__xludf.DUMMYFUNCTION("""COMPUTED_VALUE"""),3)</f>
        <v>3</v>
      </c>
      <c r="L1287" s="42" t="str">
        <f ca="1">IFERROR(__xludf.DUMMYFUNCTION("""COMPUTED_VALUE"""),"TRIMESTRE 2")</f>
        <v>TRIMESTRE 2</v>
      </c>
      <c r="M1287" s="42" t="str">
        <f ca="1">IFERROR(__xludf.DUMMYFUNCTION("""COMPUTED_VALUE"""),"HOMBRES ADULTOS")</f>
        <v>HOMBRES ADULTOS</v>
      </c>
    </row>
    <row r="1288" spans="1:13">
      <c r="A1288" s="42" t="str">
        <f ca="1">IFERROR(__xludf.DUMMYFUNCTION("""COMPUTED_VALUE"""),"2.1.4.2")</f>
        <v>2.1.4.2</v>
      </c>
      <c r="B1288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288" s="42" t="str">
        <f ca="1">IFERROR(__xludf.DUMMYFUNCTION("""COMPUTED_VALUE"""),"4. Programas")</f>
        <v>4. Programas</v>
      </c>
      <c r="D1288" s="42" t="str">
        <f ca="1">IFERROR(__xludf.DUMMYFUNCTION("""COMPUTED_VALUE"""),"Guadalajara en Paz")</f>
        <v>Guadalajara en Paz</v>
      </c>
      <c r="E1288" s="42" t="str">
        <f ca="1">IFERROR(__xludf.DUMMYFUNCTION("""COMPUTED_VALUE"""),"Acompañar las Ausencias")</f>
        <v>Acompañar las Ausencias</v>
      </c>
      <c r="F1288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288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288" s="42" t="str">
        <f ca="1">IFERROR(__xludf.DUMMYFUNCTION("""COMPUTED_VALUE"""),"AMM Mayo")</f>
        <v>AMM Mayo</v>
      </c>
      <c r="I1288" s="42" t="str">
        <f ca="1">IFERROR(__xludf.DUMMYFUNCTION("""COMPUTED_VALUE"""),"Mayo")</f>
        <v>Mayo</v>
      </c>
      <c r="J1288" s="42" t="str">
        <f ca="1">IFERROR(__xludf.DUMMYFUNCTION("""COMPUTED_VALUE"""),"AMM")</f>
        <v>AMM</v>
      </c>
      <c r="K1288" s="98">
        <f ca="1">IFERROR(__xludf.DUMMYFUNCTION("""COMPUTED_VALUE"""),25)</f>
        <v>25</v>
      </c>
      <c r="L1288" s="42" t="str">
        <f ca="1">IFERROR(__xludf.DUMMYFUNCTION("""COMPUTED_VALUE"""),"TRIMESTRE 2")</f>
        <v>TRIMESTRE 2</v>
      </c>
      <c r="M1288" s="42" t="str">
        <f ca="1">IFERROR(__xludf.DUMMYFUNCTION("""COMPUTED_VALUE"""),"ADULTA MAYOR MUJER")</f>
        <v>ADULTA MAYOR MUJER</v>
      </c>
    </row>
    <row r="1289" spans="1:13">
      <c r="A1289" s="42" t="str">
        <f ca="1">IFERROR(__xludf.DUMMYFUNCTION("""COMPUTED_VALUE"""),"2.1.4.2")</f>
        <v>2.1.4.2</v>
      </c>
      <c r="B1289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289" s="42" t="str">
        <f ca="1">IFERROR(__xludf.DUMMYFUNCTION("""COMPUTED_VALUE"""),"4. Programas")</f>
        <v>4. Programas</v>
      </c>
      <c r="D1289" s="42" t="str">
        <f ca="1">IFERROR(__xludf.DUMMYFUNCTION("""COMPUTED_VALUE"""),"Guadalajara en Paz")</f>
        <v>Guadalajara en Paz</v>
      </c>
      <c r="E1289" s="42" t="str">
        <f ca="1">IFERROR(__xludf.DUMMYFUNCTION("""COMPUTED_VALUE"""),"Acompañar las Ausencias")</f>
        <v>Acompañar las Ausencias</v>
      </c>
      <c r="F1289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289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289" s="42" t="str">
        <f ca="1">IFERROR(__xludf.DUMMYFUNCTION("""COMPUTED_VALUE"""),"AMH Mayo")</f>
        <v>AMH Mayo</v>
      </c>
      <c r="I1289" s="42" t="str">
        <f ca="1">IFERROR(__xludf.DUMMYFUNCTION("""COMPUTED_VALUE"""),"Mayo")</f>
        <v>Mayo</v>
      </c>
      <c r="J1289" s="42" t="str">
        <f ca="1">IFERROR(__xludf.DUMMYFUNCTION("""COMPUTED_VALUE"""),"AMH")</f>
        <v>AMH</v>
      </c>
      <c r="K1289" s="98">
        <f ca="1">IFERROR(__xludf.DUMMYFUNCTION("""COMPUTED_VALUE"""),1)</f>
        <v>1</v>
      </c>
      <c r="L1289" s="42" t="str">
        <f ca="1">IFERROR(__xludf.DUMMYFUNCTION("""COMPUTED_VALUE"""),"TRIMESTRE 2")</f>
        <v>TRIMESTRE 2</v>
      </c>
      <c r="M1289" s="42" t="str">
        <f ca="1">IFERROR(__xludf.DUMMYFUNCTION("""COMPUTED_VALUE"""),"ADULTO MAYOR HOMBRE")</f>
        <v>ADULTO MAYOR HOMBRE</v>
      </c>
    </row>
    <row r="1290" spans="1:13">
      <c r="A1290" s="42" t="str">
        <f ca="1">IFERROR(__xludf.DUMMYFUNCTION("""COMPUTED_VALUE"""),"2.1.4.2")</f>
        <v>2.1.4.2</v>
      </c>
      <c r="B1290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290" s="42" t="str">
        <f ca="1">IFERROR(__xludf.DUMMYFUNCTION("""COMPUTED_VALUE"""),"4. Programas")</f>
        <v>4. Programas</v>
      </c>
      <c r="D1290" s="42" t="str">
        <f ca="1">IFERROR(__xludf.DUMMYFUNCTION("""COMPUTED_VALUE"""),"Guadalajara en Paz")</f>
        <v>Guadalajara en Paz</v>
      </c>
      <c r="E1290" s="42" t="str">
        <f ca="1">IFERROR(__xludf.DUMMYFUNCTION("""COMPUTED_VALUE"""),"Acompañar las Ausencias")</f>
        <v>Acompañar las Ausencias</v>
      </c>
      <c r="F1290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290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290" s="42" t="str">
        <f ca="1">IFERROR(__xludf.DUMMYFUNCTION("""COMPUTED_VALUE"""),"NAS Junio")</f>
        <v>NAS Junio</v>
      </c>
      <c r="I1290" s="42" t="str">
        <f ca="1">IFERROR(__xludf.DUMMYFUNCTION("""COMPUTED_VALUE"""),"Junio")</f>
        <v>Junio</v>
      </c>
      <c r="J1290" s="42" t="str">
        <f ca="1">IFERROR(__xludf.DUMMYFUNCTION("""COMPUTED_VALUE"""),"NAS")</f>
        <v>NAS</v>
      </c>
      <c r="K1290" s="98">
        <f ca="1">IFERROR(__xludf.DUMMYFUNCTION("""COMPUTED_VALUE"""),18)</f>
        <v>18</v>
      </c>
      <c r="L1290" s="42" t="str">
        <f ca="1">IFERROR(__xludf.DUMMYFUNCTION("""COMPUTED_VALUE"""),"TRIMESTRE 2")</f>
        <v>TRIMESTRE 2</v>
      </c>
      <c r="M1290" s="42" t="str">
        <f ca="1">IFERROR(__xludf.DUMMYFUNCTION("""COMPUTED_VALUE"""),"NIÑAS")</f>
        <v>NIÑAS</v>
      </c>
    </row>
    <row r="1291" spans="1:13">
      <c r="A1291" s="42" t="str">
        <f ca="1">IFERROR(__xludf.DUMMYFUNCTION("""COMPUTED_VALUE"""),"2.1.4.2")</f>
        <v>2.1.4.2</v>
      </c>
      <c r="B1291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291" s="42" t="str">
        <f ca="1">IFERROR(__xludf.DUMMYFUNCTION("""COMPUTED_VALUE"""),"4. Programas")</f>
        <v>4. Programas</v>
      </c>
      <c r="D1291" s="42" t="str">
        <f ca="1">IFERROR(__xludf.DUMMYFUNCTION("""COMPUTED_VALUE"""),"Guadalajara en Paz")</f>
        <v>Guadalajara en Paz</v>
      </c>
      <c r="E1291" s="42" t="str">
        <f ca="1">IFERROR(__xludf.DUMMYFUNCTION("""COMPUTED_VALUE"""),"Acompañar las Ausencias")</f>
        <v>Acompañar las Ausencias</v>
      </c>
      <c r="F1291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291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291" s="42" t="str">
        <f ca="1">IFERROR(__xludf.DUMMYFUNCTION("""COMPUTED_VALUE"""),"NOS Junio")</f>
        <v>NOS Junio</v>
      </c>
      <c r="I1291" s="42" t="str">
        <f ca="1">IFERROR(__xludf.DUMMYFUNCTION("""COMPUTED_VALUE"""),"Junio")</f>
        <v>Junio</v>
      </c>
      <c r="J1291" s="42" t="str">
        <f ca="1">IFERROR(__xludf.DUMMYFUNCTION("""COMPUTED_VALUE"""),"NOS")</f>
        <v>NOS</v>
      </c>
      <c r="K1291" s="98">
        <f ca="1">IFERROR(__xludf.DUMMYFUNCTION("""COMPUTED_VALUE"""),19)</f>
        <v>19</v>
      </c>
      <c r="L1291" s="42" t="str">
        <f ca="1">IFERROR(__xludf.DUMMYFUNCTION("""COMPUTED_VALUE"""),"TRIMESTRE 2")</f>
        <v>TRIMESTRE 2</v>
      </c>
      <c r="M1291" s="42" t="str">
        <f ca="1">IFERROR(__xludf.DUMMYFUNCTION("""COMPUTED_VALUE"""),"NIÑOS")</f>
        <v>NIÑOS</v>
      </c>
    </row>
    <row r="1292" spans="1:13">
      <c r="A1292" s="42" t="str">
        <f ca="1">IFERROR(__xludf.DUMMYFUNCTION("""COMPUTED_VALUE"""),"2.1.4.2")</f>
        <v>2.1.4.2</v>
      </c>
      <c r="B1292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292" s="42" t="str">
        <f ca="1">IFERROR(__xludf.DUMMYFUNCTION("""COMPUTED_VALUE"""),"4. Programas")</f>
        <v>4. Programas</v>
      </c>
      <c r="D1292" s="42" t="str">
        <f ca="1">IFERROR(__xludf.DUMMYFUNCTION("""COMPUTED_VALUE"""),"Guadalajara en Paz")</f>
        <v>Guadalajara en Paz</v>
      </c>
      <c r="E1292" s="42" t="str">
        <f ca="1">IFERROR(__xludf.DUMMYFUNCTION("""COMPUTED_VALUE"""),"Acompañar las Ausencias")</f>
        <v>Acompañar las Ausencias</v>
      </c>
      <c r="F1292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292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292" s="42" t="str">
        <f ca="1">IFERROR(__xludf.DUMMYFUNCTION("""COMPUTED_VALUE"""),"AM JUNIO")</f>
        <v>AM JUNIO</v>
      </c>
      <c r="I1292" s="42" t="str">
        <f ca="1">IFERROR(__xludf.DUMMYFUNCTION("""COMPUTED_VALUE"""),"Junio")</f>
        <v>Junio</v>
      </c>
      <c r="J1292" s="42" t="str">
        <f ca="1">IFERROR(__xludf.DUMMYFUNCTION("""COMPUTED_VALUE"""),"AM")</f>
        <v>AM</v>
      </c>
      <c r="K1292" s="98">
        <f ca="1">IFERROR(__xludf.DUMMYFUNCTION("""COMPUTED_VALUE"""),4)</f>
        <v>4</v>
      </c>
      <c r="L1292" s="42" t="str">
        <f ca="1">IFERROR(__xludf.DUMMYFUNCTION("""COMPUTED_VALUE"""),"TRIMESTRE 2")</f>
        <v>TRIMESTRE 2</v>
      </c>
      <c r="M1292" s="42" t="str">
        <f ca="1">IFERROR(__xludf.DUMMYFUNCTION("""COMPUTED_VALUE"""),"ADOLESCENTES MUJERES")</f>
        <v>ADOLESCENTES MUJERES</v>
      </c>
    </row>
    <row r="1293" spans="1:13">
      <c r="A1293" s="42" t="str">
        <f ca="1">IFERROR(__xludf.DUMMYFUNCTION("""COMPUTED_VALUE"""),"2.1.4.2")</f>
        <v>2.1.4.2</v>
      </c>
      <c r="B1293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293" s="42" t="str">
        <f ca="1">IFERROR(__xludf.DUMMYFUNCTION("""COMPUTED_VALUE"""),"4. Programas")</f>
        <v>4. Programas</v>
      </c>
      <c r="D1293" s="42" t="str">
        <f ca="1">IFERROR(__xludf.DUMMYFUNCTION("""COMPUTED_VALUE"""),"Guadalajara en Paz")</f>
        <v>Guadalajara en Paz</v>
      </c>
      <c r="E1293" s="42" t="str">
        <f ca="1">IFERROR(__xludf.DUMMYFUNCTION("""COMPUTED_VALUE"""),"Acompañar las Ausencias")</f>
        <v>Acompañar las Ausencias</v>
      </c>
      <c r="F1293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293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293" s="42" t="str">
        <f ca="1">IFERROR(__xludf.DUMMYFUNCTION("""COMPUTED_VALUE"""),"AH JUNIO")</f>
        <v>AH JUNIO</v>
      </c>
      <c r="I1293" s="42" t="str">
        <f ca="1">IFERROR(__xludf.DUMMYFUNCTION("""COMPUTED_VALUE"""),"Junio")</f>
        <v>Junio</v>
      </c>
      <c r="J1293" s="42" t="str">
        <f ca="1">IFERROR(__xludf.DUMMYFUNCTION("""COMPUTED_VALUE"""),"AH")</f>
        <v>AH</v>
      </c>
      <c r="K1293" s="98">
        <f ca="1">IFERROR(__xludf.DUMMYFUNCTION("""COMPUTED_VALUE"""),3)</f>
        <v>3</v>
      </c>
      <c r="L1293" s="42" t="str">
        <f ca="1">IFERROR(__xludf.DUMMYFUNCTION("""COMPUTED_VALUE"""),"TRIMESTRE 2")</f>
        <v>TRIMESTRE 2</v>
      </c>
      <c r="M1293" s="42" t="str">
        <f ca="1">IFERROR(__xludf.DUMMYFUNCTION("""COMPUTED_VALUE"""),"ADOLESCENTES HOMBRES")</f>
        <v>ADOLESCENTES HOMBRES</v>
      </c>
    </row>
    <row r="1294" spans="1:13">
      <c r="A1294" s="42" t="str">
        <f ca="1">IFERROR(__xludf.DUMMYFUNCTION("""COMPUTED_VALUE"""),"2.1.4.2")</f>
        <v>2.1.4.2</v>
      </c>
      <c r="B1294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294" s="42" t="str">
        <f ca="1">IFERROR(__xludf.DUMMYFUNCTION("""COMPUTED_VALUE"""),"4. Programas")</f>
        <v>4. Programas</v>
      </c>
      <c r="D1294" s="42" t="str">
        <f ca="1">IFERROR(__xludf.DUMMYFUNCTION("""COMPUTED_VALUE"""),"Guadalajara en Paz")</f>
        <v>Guadalajara en Paz</v>
      </c>
      <c r="E1294" s="42" t="str">
        <f ca="1">IFERROR(__xludf.DUMMYFUNCTION("""COMPUTED_VALUE"""),"Acompañar las Ausencias")</f>
        <v>Acompañar las Ausencias</v>
      </c>
      <c r="F1294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294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294" s="42" t="str">
        <f ca="1">IFERROR(__xludf.DUMMYFUNCTION("""COMPUTED_VALUE"""),"MUJ Junio")</f>
        <v>MUJ Junio</v>
      </c>
      <c r="I1294" s="42" t="str">
        <f ca="1">IFERROR(__xludf.DUMMYFUNCTION("""COMPUTED_VALUE"""),"Junio")</f>
        <v>Junio</v>
      </c>
      <c r="J1294" s="42" t="str">
        <f ca="1">IFERROR(__xludf.DUMMYFUNCTION("""COMPUTED_VALUE"""),"MUJ")</f>
        <v>MUJ</v>
      </c>
      <c r="K1294" s="98">
        <f ca="1">IFERROR(__xludf.DUMMYFUNCTION("""COMPUTED_VALUE"""),51)</f>
        <v>51</v>
      </c>
      <c r="L1294" s="42" t="str">
        <f ca="1">IFERROR(__xludf.DUMMYFUNCTION("""COMPUTED_VALUE"""),"TRIMESTRE 2")</f>
        <v>TRIMESTRE 2</v>
      </c>
      <c r="M1294" s="42" t="str">
        <f ca="1">IFERROR(__xludf.DUMMYFUNCTION("""COMPUTED_VALUE"""),"MUJERES ADULTAS")</f>
        <v>MUJERES ADULTAS</v>
      </c>
    </row>
    <row r="1295" spans="1:13">
      <c r="A1295" s="42" t="str">
        <f ca="1">IFERROR(__xludf.DUMMYFUNCTION("""COMPUTED_VALUE"""),"2.1.4.2")</f>
        <v>2.1.4.2</v>
      </c>
      <c r="B1295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295" s="42" t="str">
        <f ca="1">IFERROR(__xludf.DUMMYFUNCTION("""COMPUTED_VALUE"""),"4. Programas")</f>
        <v>4. Programas</v>
      </c>
      <c r="D1295" s="42" t="str">
        <f ca="1">IFERROR(__xludf.DUMMYFUNCTION("""COMPUTED_VALUE"""),"Guadalajara en Paz")</f>
        <v>Guadalajara en Paz</v>
      </c>
      <c r="E1295" s="42" t="str">
        <f ca="1">IFERROR(__xludf.DUMMYFUNCTION("""COMPUTED_VALUE"""),"Acompañar las Ausencias")</f>
        <v>Acompañar las Ausencias</v>
      </c>
      <c r="F1295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295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295" s="42" t="str">
        <f ca="1">IFERROR(__xludf.DUMMYFUNCTION("""COMPUTED_VALUE"""),"HOM Junio")</f>
        <v>HOM Junio</v>
      </c>
      <c r="I1295" s="42" t="str">
        <f ca="1">IFERROR(__xludf.DUMMYFUNCTION("""COMPUTED_VALUE"""),"Junio")</f>
        <v>Junio</v>
      </c>
      <c r="J1295" s="42" t="str">
        <f ca="1">IFERROR(__xludf.DUMMYFUNCTION("""COMPUTED_VALUE"""),"HOM")</f>
        <v>HOM</v>
      </c>
      <c r="K1295" s="98">
        <f ca="1">IFERROR(__xludf.DUMMYFUNCTION("""COMPUTED_VALUE"""),3)</f>
        <v>3</v>
      </c>
      <c r="L1295" s="42" t="str">
        <f ca="1">IFERROR(__xludf.DUMMYFUNCTION("""COMPUTED_VALUE"""),"TRIMESTRE 2")</f>
        <v>TRIMESTRE 2</v>
      </c>
      <c r="M1295" s="42" t="str">
        <f ca="1">IFERROR(__xludf.DUMMYFUNCTION("""COMPUTED_VALUE"""),"HOMBRES ADULTOS")</f>
        <v>HOMBRES ADULTOS</v>
      </c>
    </row>
    <row r="1296" spans="1:13">
      <c r="A1296" s="42" t="str">
        <f ca="1">IFERROR(__xludf.DUMMYFUNCTION("""COMPUTED_VALUE"""),"2.1.4.2")</f>
        <v>2.1.4.2</v>
      </c>
      <c r="B1296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296" s="42" t="str">
        <f ca="1">IFERROR(__xludf.DUMMYFUNCTION("""COMPUTED_VALUE"""),"4. Programas")</f>
        <v>4. Programas</v>
      </c>
      <c r="D1296" s="42" t="str">
        <f ca="1">IFERROR(__xludf.DUMMYFUNCTION("""COMPUTED_VALUE"""),"Guadalajara en Paz")</f>
        <v>Guadalajara en Paz</v>
      </c>
      <c r="E1296" s="42" t="str">
        <f ca="1">IFERROR(__xludf.DUMMYFUNCTION("""COMPUTED_VALUE"""),"Acompañar las Ausencias")</f>
        <v>Acompañar las Ausencias</v>
      </c>
      <c r="F1296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296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296" s="42" t="str">
        <f ca="1">IFERROR(__xludf.DUMMYFUNCTION("""COMPUTED_VALUE"""),"AMM Junio")</f>
        <v>AMM Junio</v>
      </c>
      <c r="I1296" s="42" t="str">
        <f ca="1">IFERROR(__xludf.DUMMYFUNCTION("""COMPUTED_VALUE"""),"Junio")</f>
        <v>Junio</v>
      </c>
      <c r="J1296" s="42" t="str">
        <f ca="1">IFERROR(__xludf.DUMMYFUNCTION("""COMPUTED_VALUE"""),"AMM")</f>
        <v>AMM</v>
      </c>
      <c r="K1296" s="98">
        <f ca="1">IFERROR(__xludf.DUMMYFUNCTION("""COMPUTED_VALUE"""),18)</f>
        <v>18</v>
      </c>
      <c r="L1296" s="42" t="str">
        <f ca="1">IFERROR(__xludf.DUMMYFUNCTION("""COMPUTED_VALUE"""),"TRIMESTRE 2")</f>
        <v>TRIMESTRE 2</v>
      </c>
      <c r="M1296" s="42" t="str">
        <f ca="1">IFERROR(__xludf.DUMMYFUNCTION("""COMPUTED_VALUE"""),"ADULTA MAYOR MUJER")</f>
        <v>ADULTA MAYOR MUJER</v>
      </c>
    </row>
    <row r="1297" spans="1:13">
      <c r="A1297" s="42" t="str">
        <f ca="1">IFERROR(__xludf.DUMMYFUNCTION("""COMPUTED_VALUE"""),"2.1.4.2")</f>
        <v>2.1.4.2</v>
      </c>
      <c r="B1297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297" s="42" t="str">
        <f ca="1">IFERROR(__xludf.DUMMYFUNCTION("""COMPUTED_VALUE"""),"4. Programas")</f>
        <v>4. Programas</v>
      </c>
      <c r="D1297" s="42" t="str">
        <f ca="1">IFERROR(__xludf.DUMMYFUNCTION("""COMPUTED_VALUE"""),"Guadalajara en Paz")</f>
        <v>Guadalajara en Paz</v>
      </c>
      <c r="E1297" s="42" t="str">
        <f ca="1">IFERROR(__xludf.DUMMYFUNCTION("""COMPUTED_VALUE"""),"Acompañar las Ausencias")</f>
        <v>Acompañar las Ausencias</v>
      </c>
      <c r="F1297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297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297" s="42" t="str">
        <f ca="1">IFERROR(__xludf.DUMMYFUNCTION("""COMPUTED_VALUE"""),"AMH Junio")</f>
        <v>AMH Junio</v>
      </c>
      <c r="I1297" s="42" t="str">
        <f ca="1">IFERROR(__xludf.DUMMYFUNCTION("""COMPUTED_VALUE"""),"Junio")</f>
        <v>Junio</v>
      </c>
      <c r="J1297" s="42" t="str">
        <f ca="1">IFERROR(__xludf.DUMMYFUNCTION("""COMPUTED_VALUE"""),"AMH")</f>
        <v>AMH</v>
      </c>
      <c r="K1297" s="98">
        <f ca="1">IFERROR(__xludf.DUMMYFUNCTION("""COMPUTED_VALUE"""),2)</f>
        <v>2</v>
      </c>
      <c r="L1297" s="42" t="str">
        <f ca="1">IFERROR(__xludf.DUMMYFUNCTION("""COMPUTED_VALUE"""),"TRIMESTRE 2")</f>
        <v>TRIMESTRE 2</v>
      </c>
      <c r="M1297" s="42" t="str">
        <f ca="1">IFERROR(__xludf.DUMMYFUNCTION("""COMPUTED_VALUE"""),"ADULTO MAYOR HOMBRE")</f>
        <v>ADULTO MAYOR HOMBRE</v>
      </c>
    </row>
    <row r="1298" spans="1:13">
      <c r="A1298" s="42" t="str">
        <f ca="1">IFERROR(__xludf.DUMMYFUNCTION("""COMPUTED_VALUE"""),"2.1.4.2")</f>
        <v>2.1.4.2</v>
      </c>
      <c r="B1298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298" s="42" t="str">
        <f ca="1">IFERROR(__xludf.DUMMYFUNCTION("""COMPUTED_VALUE"""),"4. Programas")</f>
        <v>4. Programas</v>
      </c>
      <c r="D1298" s="42" t="str">
        <f ca="1">IFERROR(__xludf.DUMMYFUNCTION("""COMPUTED_VALUE"""),"Guadalajara en Paz")</f>
        <v>Guadalajara en Paz</v>
      </c>
      <c r="E1298" s="42" t="str">
        <f ca="1">IFERROR(__xludf.DUMMYFUNCTION("""COMPUTED_VALUE"""),"Acompañar las Ausencias")</f>
        <v>Acompañar las Ausencias</v>
      </c>
      <c r="F1298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298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298" s="42" t="str">
        <f ca="1">IFERROR(__xludf.DUMMYFUNCTION("""COMPUTED_VALUE"""),"NAS Julio")</f>
        <v>NAS Julio</v>
      </c>
      <c r="I1298" s="42" t="str">
        <f ca="1">IFERROR(__xludf.DUMMYFUNCTION("""COMPUTED_VALUE"""),"Julio")</f>
        <v>Julio</v>
      </c>
      <c r="J1298" s="42" t="str">
        <f ca="1">IFERROR(__xludf.DUMMYFUNCTION("""COMPUTED_VALUE"""),"NAS")</f>
        <v>NAS</v>
      </c>
      <c r="K1298" s="98">
        <f ca="1">IFERROR(__xludf.DUMMYFUNCTION("""COMPUTED_VALUE"""),29)</f>
        <v>29</v>
      </c>
      <c r="L1298" s="42" t="str">
        <f ca="1">IFERROR(__xludf.DUMMYFUNCTION("""COMPUTED_VALUE"""),"TRIMESTRE 3")</f>
        <v>TRIMESTRE 3</v>
      </c>
      <c r="M1298" s="42" t="str">
        <f ca="1">IFERROR(__xludf.DUMMYFUNCTION("""COMPUTED_VALUE"""),"NIÑAS")</f>
        <v>NIÑAS</v>
      </c>
    </row>
    <row r="1299" spans="1:13">
      <c r="A1299" s="42" t="str">
        <f ca="1">IFERROR(__xludf.DUMMYFUNCTION("""COMPUTED_VALUE"""),"2.1.4.2")</f>
        <v>2.1.4.2</v>
      </c>
      <c r="B1299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299" s="42" t="str">
        <f ca="1">IFERROR(__xludf.DUMMYFUNCTION("""COMPUTED_VALUE"""),"4. Programas")</f>
        <v>4. Programas</v>
      </c>
      <c r="D1299" s="42" t="str">
        <f ca="1">IFERROR(__xludf.DUMMYFUNCTION("""COMPUTED_VALUE"""),"Guadalajara en Paz")</f>
        <v>Guadalajara en Paz</v>
      </c>
      <c r="E1299" s="42" t="str">
        <f ca="1">IFERROR(__xludf.DUMMYFUNCTION("""COMPUTED_VALUE"""),"Acompañar las Ausencias")</f>
        <v>Acompañar las Ausencias</v>
      </c>
      <c r="F1299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299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299" s="42" t="str">
        <f ca="1">IFERROR(__xludf.DUMMYFUNCTION("""COMPUTED_VALUE"""),"NOS Julio")</f>
        <v>NOS Julio</v>
      </c>
      <c r="I1299" s="42" t="str">
        <f ca="1">IFERROR(__xludf.DUMMYFUNCTION("""COMPUTED_VALUE"""),"Julio")</f>
        <v>Julio</v>
      </c>
      <c r="J1299" s="42" t="str">
        <f ca="1">IFERROR(__xludf.DUMMYFUNCTION("""COMPUTED_VALUE"""),"NOS")</f>
        <v>NOS</v>
      </c>
      <c r="K1299" s="98">
        <f ca="1">IFERROR(__xludf.DUMMYFUNCTION("""COMPUTED_VALUE"""),17)</f>
        <v>17</v>
      </c>
      <c r="L1299" s="42" t="str">
        <f ca="1">IFERROR(__xludf.DUMMYFUNCTION("""COMPUTED_VALUE"""),"TRIMESTRE 3")</f>
        <v>TRIMESTRE 3</v>
      </c>
      <c r="M1299" s="42" t="str">
        <f ca="1">IFERROR(__xludf.DUMMYFUNCTION("""COMPUTED_VALUE"""),"NIÑOS")</f>
        <v>NIÑOS</v>
      </c>
    </row>
    <row r="1300" spans="1:13">
      <c r="A1300" s="42" t="str">
        <f ca="1">IFERROR(__xludf.DUMMYFUNCTION("""COMPUTED_VALUE"""),"2.1.4.2")</f>
        <v>2.1.4.2</v>
      </c>
      <c r="B1300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300" s="42" t="str">
        <f ca="1">IFERROR(__xludf.DUMMYFUNCTION("""COMPUTED_VALUE"""),"4. Programas")</f>
        <v>4. Programas</v>
      </c>
      <c r="D1300" s="42" t="str">
        <f ca="1">IFERROR(__xludf.DUMMYFUNCTION("""COMPUTED_VALUE"""),"Guadalajara en Paz")</f>
        <v>Guadalajara en Paz</v>
      </c>
      <c r="E1300" s="42" t="str">
        <f ca="1">IFERROR(__xludf.DUMMYFUNCTION("""COMPUTED_VALUE"""),"Acompañar las Ausencias")</f>
        <v>Acompañar las Ausencias</v>
      </c>
      <c r="F1300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300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300" s="42" t="str">
        <f ca="1">IFERROR(__xludf.DUMMYFUNCTION("""COMPUTED_VALUE"""),"AM JULIO")</f>
        <v>AM JULIO</v>
      </c>
      <c r="I1300" s="42" t="str">
        <f ca="1">IFERROR(__xludf.DUMMYFUNCTION("""COMPUTED_VALUE"""),"Julio")</f>
        <v>Julio</v>
      </c>
      <c r="J1300" s="42" t="str">
        <f ca="1">IFERROR(__xludf.DUMMYFUNCTION("""COMPUTED_VALUE"""),"AM")</f>
        <v>AM</v>
      </c>
      <c r="K1300" s="98">
        <f ca="1">IFERROR(__xludf.DUMMYFUNCTION("""COMPUTED_VALUE"""),11)</f>
        <v>11</v>
      </c>
      <c r="L1300" s="42" t="str">
        <f ca="1">IFERROR(__xludf.DUMMYFUNCTION("""COMPUTED_VALUE"""),"TRIMESTRE 3")</f>
        <v>TRIMESTRE 3</v>
      </c>
      <c r="M1300" s="42" t="str">
        <f ca="1">IFERROR(__xludf.DUMMYFUNCTION("""COMPUTED_VALUE"""),"ADOLESCENTES MUJERES")</f>
        <v>ADOLESCENTES MUJERES</v>
      </c>
    </row>
    <row r="1301" spans="1:13">
      <c r="A1301" s="42" t="str">
        <f ca="1">IFERROR(__xludf.DUMMYFUNCTION("""COMPUTED_VALUE"""),"2.1.4.2")</f>
        <v>2.1.4.2</v>
      </c>
      <c r="B1301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301" s="42" t="str">
        <f ca="1">IFERROR(__xludf.DUMMYFUNCTION("""COMPUTED_VALUE"""),"4. Programas")</f>
        <v>4. Programas</v>
      </c>
      <c r="D1301" s="42" t="str">
        <f ca="1">IFERROR(__xludf.DUMMYFUNCTION("""COMPUTED_VALUE"""),"Guadalajara en Paz")</f>
        <v>Guadalajara en Paz</v>
      </c>
      <c r="E1301" s="42" t="str">
        <f ca="1">IFERROR(__xludf.DUMMYFUNCTION("""COMPUTED_VALUE"""),"Acompañar las Ausencias")</f>
        <v>Acompañar las Ausencias</v>
      </c>
      <c r="F1301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301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301" s="42" t="str">
        <f ca="1">IFERROR(__xludf.DUMMYFUNCTION("""COMPUTED_VALUE"""),"AH JULIO")</f>
        <v>AH JULIO</v>
      </c>
      <c r="I1301" s="42" t="str">
        <f ca="1">IFERROR(__xludf.DUMMYFUNCTION("""COMPUTED_VALUE"""),"Julio")</f>
        <v>Julio</v>
      </c>
      <c r="J1301" s="42" t="str">
        <f ca="1">IFERROR(__xludf.DUMMYFUNCTION("""COMPUTED_VALUE"""),"AH")</f>
        <v>AH</v>
      </c>
      <c r="K1301" s="98">
        <f ca="1">IFERROR(__xludf.DUMMYFUNCTION("""COMPUTED_VALUE"""),8)</f>
        <v>8</v>
      </c>
      <c r="L1301" s="42" t="str">
        <f ca="1">IFERROR(__xludf.DUMMYFUNCTION("""COMPUTED_VALUE"""),"TRIMESTRE 3")</f>
        <v>TRIMESTRE 3</v>
      </c>
      <c r="M1301" s="42" t="str">
        <f ca="1">IFERROR(__xludf.DUMMYFUNCTION("""COMPUTED_VALUE"""),"ADOLESCENTES HOMBRES")</f>
        <v>ADOLESCENTES HOMBRES</v>
      </c>
    </row>
    <row r="1302" spans="1:13">
      <c r="A1302" s="42" t="str">
        <f ca="1">IFERROR(__xludf.DUMMYFUNCTION("""COMPUTED_VALUE"""),"2.1.4.2")</f>
        <v>2.1.4.2</v>
      </c>
      <c r="B1302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302" s="42" t="str">
        <f ca="1">IFERROR(__xludf.DUMMYFUNCTION("""COMPUTED_VALUE"""),"4. Programas")</f>
        <v>4. Programas</v>
      </c>
      <c r="D1302" s="42" t="str">
        <f ca="1">IFERROR(__xludf.DUMMYFUNCTION("""COMPUTED_VALUE"""),"Guadalajara en Paz")</f>
        <v>Guadalajara en Paz</v>
      </c>
      <c r="E1302" s="42" t="str">
        <f ca="1">IFERROR(__xludf.DUMMYFUNCTION("""COMPUTED_VALUE"""),"Acompañar las Ausencias")</f>
        <v>Acompañar las Ausencias</v>
      </c>
      <c r="F1302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302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302" s="42" t="str">
        <f ca="1">IFERROR(__xludf.DUMMYFUNCTION("""COMPUTED_VALUE"""),"MUJ Julio")</f>
        <v>MUJ Julio</v>
      </c>
      <c r="I1302" s="42" t="str">
        <f ca="1">IFERROR(__xludf.DUMMYFUNCTION("""COMPUTED_VALUE"""),"Julio")</f>
        <v>Julio</v>
      </c>
      <c r="J1302" s="42" t="str">
        <f ca="1">IFERROR(__xludf.DUMMYFUNCTION("""COMPUTED_VALUE"""),"MUJ")</f>
        <v>MUJ</v>
      </c>
      <c r="K1302" s="98">
        <f ca="1">IFERROR(__xludf.DUMMYFUNCTION("""COMPUTED_VALUE"""),52)</f>
        <v>52</v>
      </c>
      <c r="L1302" s="42" t="str">
        <f ca="1">IFERROR(__xludf.DUMMYFUNCTION("""COMPUTED_VALUE"""),"TRIMESTRE 3")</f>
        <v>TRIMESTRE 3</v>
      </c>
      <c r="M1302" s="42" t="str">
        <f ca="1">IFERROR(__xludf.DUMMYFUNCTION("""COMPUTED_VALUE"""),"MUJERES ADULTAS")</f>
        <v>MUJERES ADULTAS</v>
      </c>
    </row>
    <row r="1303" spans="1:13">
      <c r="A1303" s="42" t="str">
        <f ca="1">IFERROR(__xludf.DUMMYFUNCTION("""COMPUTED_VALUE"""),"2.1.4.2")</f>
        <v>2.1.4.2</v>
      </c>
      <c r="B1303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303" s="42" t="str">
        <f ca="1">IFERROR(__xludf.DUMMYFUNCTION("""COMPUTED_VALUE"""),"4. Programas")</f>
        <v>4. Programas</v>
      </c>
      <c r="D1303" s="42" t="str">
        <f ca="1">IFERROR(__xludf.DUMMYFUNCTION("""COMPUTED_VALUE"""),"Guadalajara en Paz")</f>
        <v>Guadalajara en Paz</v>
      </c>
      <c r="E1303" s="42" t="str">
        <f ca="1">IFERROR(__xludf.DUMMYFUNCTION("""COMPUTED_VALUE"""),"Acompañar las Ausencias")</f>
        <v>Acompañar las Ausencias</v>
      </c>
      <c r="F1303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303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303" s="42" t="str">
        <f ca="1">IFERROR(__xludf.DUMMYFUNCTION("""COMPUTED_VALUE"""),"HOM Julio")</f>
        <v>HOM Julio</v>
      </c>
      <c r="I1303" s="42" t="str">
        <f ca="1">IFERROR(__xludf.DUMMYFUNCTION("""COMPUTED_VALUE"""),"Julio")</f>
        <v>Julio</v>
      </c>
      <c r="J1303" s="42" t="str">
        <f ca="1">IFERROR(__xludf.DUMMYFUNCTION("""COMPUTED_VALUE"""),"HOM")</f>
        <v>HOM</v>
      </c>
      <c r="K1303" s="98">
        <f ca="1">IFERROR(__xludf.DUMMYFUNCTION("""COMPUTED_VALUE"""),1)</f>
        <v>1</v>
      </c>
      <c r="L1303" s="42" t="str">
        <f ca="1">IFERROR(__xludf.DUMMYFUNCTION("""COMPUTED_VALUE"""),"TRIMESTRE 3")</f>
        <v>TRIMESTRE 3</v>
      </c>
      <c r="M1303" s="42" t="str">
        <f ca="1">IFERROR(__xludf.DUMMYFUNCTION("""COMPUTED_VALUE"""),"HOMBRES ADULTOS")</f>
        <v>HOMBRES ADULTOS</v>
      </c>
    </row>
    <row r="1304" spans="1:13">
      <c r="A1304" s="42" t="str">
        <f ca="1">IFERROR(__xludf.DUMMYFUNCTION("""COMPUTED_VALUE"""),"2.1.4.2")</f>
        <v>2.1.4.2</v>
      </c>
      <c r="B1304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304" s="42" t="str">
        <f ca="1">IFERROR(__xludf.DUMMYFUNCTION("""COMPUTED_VALUE"""),"4. Programas")</f>
        <v>4. Programas</v>
      </c>
      <c r="D1304" s="42" t="str">
        <f ca="1">IFERROR(__xludf.DUMMYFUNCTION("""COMPUTED_VALUE"""),"Guadalajara en Paz")</f>
        <v>Guadalajara en Paz</v>
      </c>
      <c r="E1304" s="42" t="str">
        <f ca="1">IFERROR(__xludf.DUMMYFUNCTION("""COMPUTED_VALUE"""),"Acompañar las Ausencias")</f>
        <v>Acompañar las Ausencias</v>
      </c>
      <c r="F1304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304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304" s="42" t="str">
        <f ca="1">IFERROR(__xludf.DUMMYFUNCTION("""COMPUTED_VALUE"""),"AMM Julio")</f>
        <v>AMM Julio</v>
      </c>
      <c r="I1304" s="42" t="str">
        <f ca="1">IFERROR(__xludf.DUMMYFUNCTION("""COMPUTED_VALUE"""),"Julio")</f>
        <v>Julio</v>
      </c>
      <c r="J1304" s="42" t="str">
        <f ca="1">IFERROR(__xludf.DUMMYFUNCTION("""COMPUTED_VALUE"""),"AMM")</f>
        <v>AMM</v>
      </c>
      <c r="K1304" s="98">
        <f ca="1">IFERROR(__xludf.DUMMYFUNCTION("""COMPUTED_VALUE"""),21)</f>
        <v>21</v>
      </c>
      <c r="L1304" s="42" t="str">
        <f ca="1">IFERROR(__xludf.DUMMYFUNCTION("""COMPUTED_VALUE"""),"TRIMESTRE 3")</f>
        <v>TRIMESTRE 3</v>
      </c>
      <c r="M1304" s="42" t="str">
        <f ca="1">IFERROR(__xludf.DUMMYFUNCTION("""COMPUTED_VALUE"""),"ADULTA MAYOR MUJER")</f>
        <v>ADULTA MAYOR MUJER</v>
      </c>
    </row>
    <row r="1305" spans="1:13">
      <c r="A1305" s="42" t="str">
        <f ca="1">IFERROR(__xludf.DUMMYFUNCTION("""COMPUTED_VALUE"""),"2.1.4.2")</f>
        <v>2.1.4.2</v>
      </c>
      <c r="B1305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305" s="42" t="str">
        <f ca="1">IFERROR(__xludf.DUMMYFUNCTION("""COMPUTED_VALUE"""),"4. Programas")</f>
        <v>4. Programas</v>
      </c>
      <c r="D1305" s="42" t="str">
        <f ca="1">IFERROR(__xludf.DUMMYFUNCTION("""COMPUTED_VALUE"""),"Guadalajara en Paz")</f>
        <v>Guadalajara en Paz</v>
      </c>
      <c r="E1305" s="42" t="str">
        <f ca="1">IFERROR(__xludf.DUMMYFUNCTION("""COMPUTED_VALUE"""),"Acompañar las Ausencias")</f>
        <v>Acompañar las Ausencias</v>
      </c>
      <c r="F1305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305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305" s="42" t="str">
        <f ca="1">IFERROR(__xludf.DUMMYFUNCTION("""COMPUTED_VALUE"""),"AMH Julio")</f>
        <v>AMH Julio</v>
      </c>
      <c r="I1305" s="42" t="str">
        <f ca="1">IFERROR(__xludf.DUMMYFUNCTION("""COMPUTED_VALUE"""),"Julio")</f>
        <v>Julio</v>
      </c>
      <c r="J1305" s="42" t="str">
        <f ca="1">IFERROR(__xludf.DUMMYFUNCTION("""COMPUTED_VALUE"""),"AMH")</f>
        <v>AMH</v>
      </c>
      <c r="K1305" s="98">
        <f ca="1">IFERROR(__xludf.DUMMYFUNCTION("""COMPUTED_VALUE"""),1)</f>
        <v>1</v>
      </c>
      <c r="L1305" s="42" t="str">
        <f ca="1">IFERROR(__xludf.DUMMYFUNCTION("""COMPUTED_VALUE"""),"TRIMESTRE 3")</f>
        <v>TRIMESTRE 3</v>
      </c>
      <c r="M1305" s="42" t="str">
        <f ca="1">IFERROR(__xludf.DUMMYFUNCTION("""COMPUTED_VALUE"""),"ADULTO MAYOR HOMBRE")</f>
        <v>ADULTO MAYOR HOMBRE</v>
      </c>
    </row>
    <row r="1306" spans="1:13">
      <c r="A1306" s="42" t="str">
        <f ca="1">IFERROR(__xludf.DUMMYFUNCTION("""COMPUTED_VALUE"""),"2.1.4.2")</f>
        <v>2.1.4.2</v>
      </c>
      <c r="B1306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306" s="42" t="str">
        <f ca="1">IFERROR(__xludf.DUMMYFUNCTION("""COMPUTED_VALUE"""),"4. Programas")</f>
        <v>4. Programas</v>
      </c>
      <c r="D1306" s="42" t="str">
        <f ca="1">IFERROR(__xludf.DUMMYFUNCTION("""COMPUTED_VALUE"""),"Guadalajara en Paz")</f>
        <v>Guadalajara en Paz</v>
      </c>
      <c r="E1306" s="42" t="str">
        <f ca="1">IFERROR(__xludf.DUMMYFUNCTION("""COMPUTED_VALUE"""),"Acompañar las Ausencias")</f>
        <v>Acompañar las Ausencias</v>
      </c>
      <c r="F1306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306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306" s="42" t="str">
        <f ca="1">IFERROR(__xludf.DUMMYFUNCTION("""COMPUTED_VALUE"""),"NAS Agosto")</f>
        <v>NAS Agosto</v>
      </c>
      <c r="I1306" s="42" t="str">
        <f ca="1">IFERROR(__xludf.DUMMYFUNCTION("""COMPUTED_VALUE"""),"Agosto")</f>
        <v>Agosto</v>
      </c>
      <c r="J1306" s="42" t="str">
        <f ca="1">IFERROR(__xludf.DUMMYFUNCTION("""COMPUTED_VALUE"""),"NAS")</f>
        <v>NAS</v>
      </c>
      <c r="K1306" s="98">
        <f ca="1">IFERROR(__xludf.DUMMYFUNCTION("""COMPUTED_VALUE"""),0)</f>
        <v>0</v>
      </c>
      <c r="L1306" s="42" t="str">
        <f ca="1">IFERROR(__xludf.DUMMYFUNCTION("""COMPUTED_VALUE"""),"TRIMESTRE 3")</f>
        <v>TRIMESTRE 3</v>
      </c>
      <c r="M1306" s="42" t="str">
        <f ca="1">IFERROR(__xludf.DUMMYFUNCTION("""COMPUTED_VALUE"""),"NIÑAS")</f>
        <v>NIÑAS</v>
      </c>
    </row>
    <row r="1307" spans="1:13">
      <c r="A1307" s="42" t="str">
        <f ca="1">IFERROR(__xludf.DUMMYFUNCTION("""COMPUTED_VALUE"""),"2.1.4.2")</f>
        <v>2.1.4.2</v>
      </c>
      <c r="B1307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307" s="42" t="str">
        <f ca="1">IFERROR(__xludf.DUMMYFUNCTION("""COMPUTED_VALUE"""),"4. Programas")</f>
        <v>4. Programas</v>
      </c>
      <c r="D1307" s="42" t="str">
        <f ca="1">IFERROR(__xludf.DUMMYFUNCTION("""COMPUTED_VALUE"""),"Guadalajara en Paz")</f>
        <v>Guadalajara en Paz</v>
      </c>
      <c r="E1307" s="42" t="str">
        <f ca="1">IFERROR(__xludf.DUMMYFUNCTION("""COMPUTED_VALUE"""),"Acompañar las Ausencias")</f>
        <v>Acompañar las Ausencias</v>
      </c>
      <c r="F1307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307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307" s="42" t="str">
        <f ca="1">IFERROR(__xludf.DUMMYFUNCTION("""COMPUTED_VALUE"""),"NOS Agosto")</f>
        <v>NOS Agosto</v>
      </c>
      <c r="I1307" s="42" t="str">
        <f ca="1">IFERROR(__xludf.DUMMYFUNCTION("""COMPUTED_VALUE"""),"Agosto")</f>
        <v>Agosto</v>
      </c>
      <c r="J1307" s="42" t="str">
        <f ca="1">IFERROR(__xludf.DUMMYFUNCTION("""COMPUTED_VALUE"""),"NOS")</f>
        <v>NOS</v>
      </c>
      <c r="K1307" s="98">
        <f ca="1">IFERROR(__xludf.DUMMYFUNCTION("""COMPUTED_VALUE"""),0)</f>
        <v>0</v>
      </c>
      <c r="L1307" s="42" t="str">
        <f ca="1">IFERROR(__xludf.DUMMYFUNCTION("""COMPUTED_VALUE"""),"TRIMESTRE 3")</f>
        <v>TRIMESTRE 3</v>
      </c>
      <c r="M1307" s="42" t="str">
        <f ca="1">IFERROR(__xludf.DUMMYFUNCTION("""COMPUTED_VALUE"""),"NIÑOS")</f>
        <v>NIÑOS</v>
      </c>
    </row>
    <row r="1308" spans="1:13">
      <c r="A1308" s="42" t="str">
        <f ca="1">IFERROR(__xludf.DUMMYFUNCTION("""COMPUTED_VALUE"""),"2.1.4.2")</f>
        <v>2.1.4.2</v>
      </c>
      <c r="B1308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308" s="42" t="str">
        <f ca="1">IFERROR(__xludf.DUMMYFUNCTION("""COMPUTED_VALUE"""),"4. Programas")</f>
        <v>4. Programas</v>
      </c>
      <c r="D1308" s="42" t="str">
        <f ca="1">IFERROR(__xludf.DUMMYFUNCTION("""COMPUTED_VALUE"""),"Guadalajara en Paz")</f>
        <v>Guadalajara en Paz</v>
      </c>
      <c r="E1308" s="42" t="str">
        <f ca="1">IFERROR(__xludf.DUMMYFUNCTION("""COMPUTED_VALUE"""),"Acompañar las Ausencias")</f>
        <v>Acompañar las Ausencias</v>
      </c>
      <c r="F1308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308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308" s="42" t="str">
        <f ca="1">IFERROR(__xludf.DUMMYFUNCTION("""COMPUTED_VALUE"""),"AM AGOSTO")</f>
        <v>AM AGOSTO</v>
      </c>
      <c r="I1308" s="42" t="str">
        <f ca="1">IFERROR(__xludf.DUMMYFUNCTION("""COMPUTED_VALUE"""),"Agosto")</f>
        <v>Agosto</v>
      </c>
      <c r="J1308" s="42" t="str">
        <f ca="1">IFERROR(__xludf.DUMMYFUNCTION("""COMPUTED_VALUE"""),"AM")</f>
        <v>AM</v>
      </c>
      <c r="K1308" s="98">
        <f ca="1">IFERROR(__xludf.DUMMYFUNCTION("""COMPUTED_VALUE"""),0)</f>
        <v>0</v>
      </c>
      <c r="L1308" s="42" t="str">
        <f ca="1">IFERROR(__xludf.DUMMYFUNCTION("""COMPUTED_VALUE"""),"TRIMESTRE 3")</f>
        <v>TRIMESTRE 3</v>
      </c>
      <c r="M1308" s="42" t="str">
        <f ca="1">IFERROR(__xludf.DUMMYFUNCTION("""COMPUTED_VALUE"""),"ADOLESCENTES MUJERES")</f>
        <v>ADOLESCENTES MUJERES</v>
      </c>
    </row>
    <row r="1309" spans="1:13">
      <c r="A1309" s="42" t="str">
        <f ca="1">IFERROR(__xludf.DUMMYFUNCTION("""COMPUTED_VALUE"""),"2.1.4.2")</f>
        <v>2.1.4.2</v>
      </c>
      <c r="B1309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309" s="42" t="str">
        <f ca="1">IFERROR(__xludf.DUMMYFUNCTION("""COMPUTED_VALUE"""),"4. Programas")</f>
        <v>4. Programas</v>
      </c>
      <c r="D1309" s="42" t="str">
        <f ca="1">IFERROR(__xludf.DUMMYFUNCTION("""COMPUTED_VALUE"""),"Guadalajara en Paz")</f>
        <v>Guadalajara en Paz</v>
      </c>
      <c r="E1309" s="42" t="str">
        <f ca="1">IFERROR(__xludf.DUMMYFUNCTION("""COMPUTED_VALUE"""),"Acompañar las Ausencias")</f>
        <v>Acompañar las Ausencias</v>
      </c>
      <c r="F1309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309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309" s="42" t="str">
        <f ca="1">IFERROR(__xludf.DUMMYFUNCTION("""COMPUTED_VALUE"""),"AH AGOSTO")</f>
        <v>AH AGOSTO</v>
      </c>
      <c r="I1309" s="42" t="str">
        <f ca="1">IFERROR(__xludf.DUMMYFUNCTION("""COMPUTED_VALUE"""),"Agosto")</f>
        <v>Agosto</v>
      </c>
      <c r="J1309" s="42" t="str">
        <f ca="1">IFERROR(__xludf.DUMMYFUNCTION("""COMPUTED_VALUE"""),"AH")</f>
        <v>AH</v>
      </c>
      <c r="K1309" s="98">
        <f ca="1">IFERROR(__xludf.DUMMYFUNCTION("""COMPUTED_VALUE"""),0)</f>
        <v>0</v>
      </c>
      <c r="L1309" s="42" t="str">
        <f ca="1">IFERROR(__xludf.DUMMYFUNCTION("""COMPUTED_VALUE"""),"TRIMESTRE 3")</f>
        <v>TRIMESTRE 3</v>
      </c>
      <c r="M1309" s="42" t="str">
        <f ca="1">IFERROR(__xludf.DUMMYFUNCTION("""COMPUTED_VALUE"""),"ADOLESCENTES HOMBRES")</f>
        <v>ADOLESCENTES HOMBRES</v>
      </c>
    </row>
    <row r="1310" spans="1:13">
      <c r="A1310" s="42" t="str">
        <f ca="1">IFERROR(__xludf.DUMMYFUNCTION("""COMPUTED_VALUE"""),"2.1.4.2")</f>
        <v>2.1.4.2</v>
      </c>
      <c r="B1310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310" s="42" t="str">
        <f ca="1">IFERROR(__xludf.DUMMYFUNCTION("""COMPUTED_VALUE"""),"4. Programas")</f>
        <v>4. Programas</v>
      </c>
      <c r="D1310" s="42" t="str">
        <f ca="1">IFERROR(__xludf.DUMMYFUNCTION("""COMPUTED_VALUE"""),"Guadalajara en Paz")</f>
        <v>Guadalajara en Paz</v>
      </c>
      <c r="E1310" s="42" t="str">
        <f ca="1">IFERROR(__xludf.DUMMYFUNCTION("""COMPUTED_VALUE"""),"Acompañar las Ausencias")</f>
        <v>Acompañar las Ausencias</v>
      </c>
      <c r="F1310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310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310" s="42" t="str">
        <f ca="1">IFERROR(__xludf.DUMMYFUNCTION("""COMPUTED_VALUE"""),"MUJ Agosto")</f>
        <v>MUJ Agosto</v>
      </c>
      <c r="I1310" s="42" t="str">
        <f ca="1">IFERROR(__xludf.DUMMYFUNCTION("""COMPUTED_VALUE"""),"Agosto")</f>
        <v>Agosto</v>
      </c>
      <c r="J1310" s="42" t="str">
        <f ca="1">IFERROR(__xludf.DUMMYFUNCTION("""COMPUTED_VALUE"""),"MUJ")</f>
        <v>MUJ</v>
      </c>
      <c r="K1310" s="98">
        <f ca="1">IFERROR(__xludf.DUMMYFUNCTION("""COMPUTED_VALUE"""),57)</f>
        <v>57</v>
      </c>
      <c r="L1310" s="42" t="str">
        <f ca="1">IFERROR(__xludf.DUMMYFUNCTION("""COMPUTED_VALUE"""),"TRIMESTRE 3")</f>
        <v>TRIMESTRE 3</v>
      </c>
      <c r="M1310" s="42" t="str">
        <f ca="1">IFERROR(__xludf.DUMMYFUNCTION("""COMPUTED_VALUE"""),"MUJERES ADULTAS")</f>
        <v>MUJERES ADULTAS</v>
      </c>
    </row>
    <row r="1311" spans="1:13">
      <c r="A1311" s="42" t="str">
        <f ca="1">IFERROR(__xludf.DUMMYFUNCTION("""COMPUTED_VALUE"""),"2.1.4.2")</f>
        <v>2.1.4.2</v>
      </c>
      <c r="B1311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311" s="42" t="str">
        <f ca="1">IFERROR(__xludf.DUMMYFUNCTION("""COMPUTED_VALUE"""),"4. Programas")</f>
        <v>4. Programas</v>
      </c>
      <c r="D1311" s="42" t="str">
        <f ca="1">IFERROR(__xludf.DUMMYFUNCTION("""COMPUTED_VALUE"""),"Guadalajara en Paz")</f>
        <v>Guadalajara en Paz</v>
      </c>
      <c r="E1311" s="42" t="str">
        <f ca="1">IFERROR(__xludf.DUMMYFUNCTION("""COMPUTED_VALUE"""),"Acompañar las Ausencias")</f>
        <v>Acompañar las Ausencias</v>
      </c>
      <c r="F1311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311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311" s="42" t="str">
        <f ca="1">IFERROR(__xludf.DUMMYFUNCTION("""COMPUTED_VALUE"""),"HOM Agosto")</f>
        <v>HOM Agosto</v>
      </c>
      <c r="I1311" s="42" t="str">
        <f ca="1">IFERROR(__xludf.DUMMYFUNCTION("""COMPUTED_VALUE"""),"Agosto")</f>
        <v>Agosto</v>
      </c>
      <c r="J1311" s="42" t="str">
        <f ca="1">IFERROR(__xludf.DUMMYFUNCTION("""COMPUTED_VALUE"""),"HOM")</f>
        <v>HOM</v>
      </c>
      <c r="K1311" s="98">
        <f ca="1">IFERROR(__xludf.DUMMYFUNCTION("""COMPUTED_VALUE"""),1)</f>
        <v>1</v>
      </c>
      <c r="L1311" s="42" t="str">
        <f ca="1">IFERROR(__xludf.DUMMYFUNCTION("""COMPUTED_VALUE"""),"TRIMESTRE 3")</f>
        <v>TRIMESTRE 3</v>
      </c>
      <c r="M1311" s="42" t="str">
        <f ca="1">IFERROR(__xludf.DUMMYFUNCTION("""COMPUTED_VALUE"""),"HOMBRES ADULTOS")</f>
        <v>HOMBRES ADULTOS</v>
      </c>
    </row>
    <row r="1312" spans="1:13">
      <c r="A1312" s="42" t="str">
        <f ca="1">IFERROR(__xludf.DUMMYFUNCTION("""COMPUTED_VALUE"""),"2.1.4.2")</f>
        <v>2.1.4.2</v>
      </c>
      <c r="B1312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312" s="42" t="str">
        <f ca="1">IFERROR(__xludf.DUMMYFUNCTION("""COMPUTED_VALUE"""),"4. Programas")</f>
        <v>4. Programas</v>
      </c>
      <c r="D1312" s="42" t="str">
        <f ca="1">IFERROR(__xludf.DUMMYFUNCTION("""COMPUTED_VALUE"""),"Guadalajara en Paz")</f>
        <v>Guadalajara en Paz</v>
      </c>
      <c r="E1312" s="42" t="str">
        <f ca="1">IFERROR(__xludf.DUMMYFUNCTION("""COMPUTED_VALUE"""),"Acompañar las Ausencias")</f>
        <v>Acompañar las Ausencias</v>
      </c>
      <c r="F1312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312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312" s="42" t="str">
        <f ca="1">IFERROR(__xludf.DUMMYFUNCTION("""COMPUTED_VALUE"""),"AMM Agosto")</f>
        <v>AMM Agosto</v>
      </c>
      <c r="I1312" s="42" t="str">
        <f ca="1">IFERROR(__xludf.DUMMYFUNCTION("""COMPUTED_VALUE"""),"Agosto")</f>
        <v>Agosto</v>
      </c>
      <c r="J1312" s="42" t="str">
        <f ca="1">IFERROR(__xludf.DUMMYFUNCTION("""COMPUTED_VALUE"""),"AMM")</f>
        <v>AMM</v>
      </c>
      <c r="K1312" s="98">
        <f ca="1">IFERROR(__xludf.DUMMYFUNCTION("""COMPUTED_VALUE"""),23)</f>
        <v>23</v>
      </c>
      <c r="L1312" s="42" t="str">
        <f ca="1">IFERROR(__xludf.DUMMYFUNCTION("""COMPUTED_VALUE"""),"TRIMESTRE 3")</f>
        <v>TRIMESTRE 3</v>
      </c>
      <c r="M1312" s="42" t="str">
        <f ca="1">IFERROR(__xludf.DUMMYFUNCTION("""COMPUTED_VALUE"""),"ADULTA MAYOR MUJER")</f>
        <v>ADULTA MAYOR MUJER</v>
      </c>
    </row>
    <row r="1313" spans="1:13">
      <c r="A1313" s="42" t="str">
        <f ca="1">IFERROR(__xludf.DUMMYFUNCTION("""COMPUTED_VALUE"""),"2.1.4.2")</f>
        <v>2.1.4.2</v>
      </c>
      <c r="B1313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313" s="42" t="str">
        <f ca="1">IFERROR(__xludf.DUMMYFUNCTION("""COMPUTED_VALUE"""),"4. Programas")</f>
        <v>4. Programas</v>
      </c>
      <c r="D1313" s="42" t="str">
        <f ca="1">IFERROR(__xludf.DUMMYFUNCTION("""COMPUTED_VALUE"""),"Guadalajara en Paz")</f>
        <v>Guadalajara en Paz</v>
      </c>
      <c r="E1313" s="42" t="str">
        <f ca="1">IFERROR(__xludf.DUMMYFUNCTION("""COMPUTED_VALUE"""),"Acompañar las Ausencias")</f>
        <v>Acompañar las Ausencias</v>
      </c>
      <c r="F1313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313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313" s="42" t="str">
        <f ca="1">IFERROR(__xludf.DUMMYFUNCTION("""COMPUTED_VALUE"""),"AMH Agosto")</f>
        <v>AMH Agosto</v>
      </c>
      <c r="I1313" s="42" t="str">
        <f ca="1">IFERROR(__xludf.DUMMYFUNCTION("""COMPUTED_VALUE"""),"Agosto")</f>
        <v>Agosto</v>
      </c>
      <c r="J1313" s="42" t="str">
        <f ca="1">IFERROR(__xludf.DUMMYFUNCTION("""COMPUTED_VALUE"""),"AMH")</f>
        <v>AMH</v>
      </c>
      <c r="K1313" s="98">
        <f ca="1">IFERROR(__xludf.DUMMYFUNCTION("""COMPUTED_VALUE"""),2)</f>
        <v>2</v>
      </c>
      <c r="L1313" s="42" t="str">
        <f ca="1">IFERROR(__xludf.DUMMYFUNCTION("""COMPUTED_VALUE"""),"TRIMESTRE 3")</f>
        <v>TRIMESTRE 3</v>
      </c>
      <c r="M1313" s="42" t="str">
        <f ca="1">IFERROR(__xludf.DUMMYFUNCTION("""COMPUTED_VALUE"""),"ADULTO MAYOR HOMBRE")</f>
        <v>ADULTO MAYOR HOMBRE</v>
      </c>
    </row>
    <row r="1314" spans="1:13">
      <c r="A1314" s="42" t="str">
        <f ca="1">IFERROR(__xludf.DUMMYFUNCTION("""COMPUTED_VALUE"""),"2.1.4.2")</f>
        <v>2.1.4.2</v>
      </c>
      <c r="B1314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314" s="42" t="str">
        <f ca="1">IFERROR(__xludf.DUMMYFUNCTION("""COMPUTED_VALUE"""),"4. Programas")</f>
        <v>4. Programas</v>
      </c>
      <c r="D1314" s="42" t="str">
        <f ca="1">IFERROR(__xludf.DUMMYFUNCTION("""COMPUTED_VALUE"""),"Guadalajara en Paz")</f>
        <v>Guadalajara en Paz</v>
      </c>
      <c r="E1314" s="42" t="str">
        <f ca="1">IFERROR(__xludf.DUMMYFUNCTION("""COMPUTED_VALUE"""),"Acompañar las Ausencias")</f>
        <v>Acompañar las Ausencias</v>
      </c>
      <c r="F1314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314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314" s="42" t="str">
        <f ca="1">IFERROR(__xludf.DUMMYFUNCTION("""COMPUTED_VALUE"""),"NAS Septiembre")</f>
        <v>NAS Septiembre</v>
      </c>
      <c r="I1314" s="42" t="str">
        <f ca="1">IFERROR(__xludf.DUMMYFUNCTION("""COMPUTED_VALUE"""),"Septiembre")</f>
        <v>Septiembre</v>
      </c>
      <c r="J1314" s="42" t="str">
        <f ca="1">IFERROR(__xludf.DUMMYFUNCTION("""COMPUTED_VALUE"""),"NAS")</f>
        <v>NAS</v>
      </c>
      <c r="K1314" s="98">
        <f ca="1">IFERROR(__xludf.DUMMYFUNCTION("""COMPUTED_VALUE"""),54)</f>
        <v>54</v>
      </c>
      <c r="L1314" s="42" t="str">
        <f ca="1">IFERROR(__xludf.DUMMYFUNCTION("""COMPUTED_VALUE"""),"TRIMESTRE 3")</f>
        <v>TRIMESTRE 3</v>
      </c>
      <c r="M1314" s="42" t="str">
        <f ca="1">IFERROR(__xludf.DUMMYFUNCTION("""COMPUTED_VALUE"""),"NIÑAS")</f>
        <v>NIÑAS</v>
      </c>
    </row>
    <row r="1315" spans="1:13">
      <c r="A1315" s="42" t="str">
        <f ca="1">IFERROR(__xludf.DUMMYFUNCTION("""COMPUTED_VALUE"""),"2.1.4.2")</f>
        <v>2.1.4.2</v>
      </c>
      <c r="B1315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315" s="42" t="str">
        <f ca="1">IFERROR(__xludf.DUMMYFUNCTION("""COMPUTED_VALUE"""),"4. Programas")</f>
        <v>4. Programas</v>
      </c>
      <c r="D1315" s="42" t="str">
        <f ca="1">IFERROR(__xludf.DUMMYFUNCTION("""COMPUTED_VALUE"""),"Guadalajara en Paz")</f>
        <v>Guadalajara en Paz</v>
      </c>
      <c r="E1315" s="42" t="str">
        <f ca="1">IFERROR(__xludf.DUMMYFUNCTION("""COMPUTED_VALUE"""),"Acompañar las Ausencias")</f>
        <v>Acompañar las Ausencias</v>
      </c>
      <c r="F1315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315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315" s="42" t="str">
        <f ca="1">IFERROR(__xludf.DUMMYFUNCTION("""COMPUTED_VALUE"""),"NOS Septiembre")</f>
        <v>NOS Septiembre</v>
      </c>
      <c r="I1315" s="42" t="str">
        <f ca="1">IFERROR(__xludf.DUMMYFUNCTION("""COMPUTED_VALUE"""),"Septiembre")</f>
        <v>Septiembre</v>
      </c>
      <c r="J1315" s="42" t="str">
        <f ca="1">IFERROR(__xludf.DUMMYFUNCTION("""COMPUTED_VALUE"""),"NOS")</f>
        <v>NOS</v>
      </c>
      <c r="K1315" s="98">
        <f ca="1">IFERROR(__xludf.DUMMYFUNCTION("""COMPUTED_VALUE"""),23)</f>
        <v>23</v>
      </c>
      <c r="L1315" s="42" t="str">
        <f ca="1">IFERROR(__xludf.DUMMYFUNCTION("""COMPUTED_VALUE"""),"TRIMESTRE 3")</f>
        <v>TRIMESTRE 3</v>
      </c>
      <c r="M1315" s="42" t="str">
        <f ca="1">IFERROR(__xludf.DUMMYFUNCTION("""COMPUTED_VALUE"""),"NIÑOS")</f>
        <v>NIÑOS</v>
      </c>
    </row>
    <row r="1316" spans="1:13">
      <c r="A1316" s="42" t="str">
        <f ca="1">IFERROR(__xludf.DUMMYFUNCTION("""COMPUTED_VALUE"""),"2.1.4.2")</f>
        <v>2.1.4.2</v>
      </c>
      <c r="B1316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316" s="42" t="str">
        <f ca="1">IFERROR(__xludf.DUMMYFUNCTION("""COMPUTED_VALUE"""),"4. Programas")</f>
        <v>4. Programas</v>
      </c>
      <c r="D1316" s="42" t="str">
        <f ca="1">IFERROR(__xludf.DUMMYFUNCTION("""COMPUTED_VALUE"""),"Guadalajara en Paz")</f>
        <v>Guadalajara en Paz</v>
      </c>
      <c r="E1316" s="42" t="str">
        <f ca="1">IFERROR(__xludf.DUMMYFUNCTION("""COMPUTED_VALUE"""),"Acompañar las Ausencias")</f>
        <v>Acompañar las Ausencias</v>
      </c>
      <c r="F1316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316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316" s="42" t="str">
        <f ca="1">IFERROR(__xludf.DUMMYFUNCTION("""COMPUTED_VALUE"""),"AM SEPTIEMBRE")</f>
        <v>AM SEPTIEMBRE</v>
      </c>
      <c r="I1316" s="42" t="str">
        <f ca="1">IFERROR(__xludf.DUMMYFUNCTION("""COMPUTED_VALUE"""),"Septiembre")</f>
        <v>Septiembre</v>
      </c>
      <c r="J1316" s="42" t="str">
        <f ca="1">IFERROR(__xludf.DUMMYFUNCTION("""COMPUTED_VALUE"""),"AM")</f>
        <v>AM</v>
      </c>
      <c r="K1316" s="98">
        <f ca="1">IFERROR(__xludf.DUMMYFUNCTION("""COMPUTED_VALUE"""),8)</f>
        <v>8</v>
      </c>
      <c r="L1316" s="42" t="str">
        <f ca="1">IFERROR(__xludf.DUMMYFUNCTION("""COMPUTED_VALUE"""),"TRIMESTRE 3")</f>
        <v>TRIMESTRE 3</v>
      </c>
      <c r="M1316" s="42" t="str">
        <f ca="1">IFERROR(__xludf.DUMMYFUNCTION("""COMPUTED_VALUE"""),"ADOLESCENTES MUJERES")</f>
        <v>ADOLESCENTES MUJERES</v>
      </c>
    </row>
    <row r="1317" spans="1:13">
      <c r="A1317" s="42" t="str">
        <f ca="1">IFERROR(__xludf.DUMMYFUNCTION("""COMPUTED_VALUE"""),"2.1.4.2")</f>
        <v>2.1.4.2</v>
      </c>
      <c r="B1317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317" s="42" t="str">
        <f ca="1">IFERROR(__xludf.DUMMYFUNCTION("""COMPUTED_VALUE"""),"4. Programas")</f>
        <v>4. Programas</v>
      </c>
      <c r="D1317" s="42" t="str">
        <f ca="1">IFERROR(__xludf.DUMMYFUNCTION("""COMPUTED_VALUE"""),"Guadalajara en Paz")</f>
        <v>Guadalajara en Paz</v>
      </c>
      <c r="E1317" s="42" t="str">
        <f ca="1">IFERROR(__xludf.DUMMYFUNCTION("""COMPUTED_VALUE"""),"Acompañar las Ausencias")</f>
        <v>Acompañar las Ausencias</v>
      </c>
      <c r="F1317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317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317" s="42" t="str">
        <f ca="1">IFERROR(__xludf.DUMMYFUNCTION("""COMPUTED_VALUE"""),"AH SEPTIEMBRE")</f>
        <v>AH SEPTIEMBRE</v>
      </c>
      <c r="I1317" s="42" t="str">
        <f ca="1">IFERROR(__xludf.DUMMYFUNCTION("""COMPUTED_VALUE"""),"Septiembre")</f>
        <v>Septiembre</v>
      </c>
      <c r="J1317" s="42" t="str">
        <f ca="1">IFERROR(__xludf.DUMMYFUNCTION("""COMPUTED_VALUE"""),"AH")</f>
        <v>AH</v>
      </c>
      <c r="K1317" s="98">
        <f ca="1">IFERROR(__xludf.DUMMYFUNCTION("""COMPUTED_VALUE"""),5)</f>
        <v>5</v>
      </c>
      <c r="L1317" s="42" t="str">
        <f ca="1">IFERROR(__xludf.DUMMYFUNCTION("""COMPUTED_VALUE"""),"TRIMESTRE 3")</f>
        <v>TRIMESTRE 3</v>
      </c>
      <c r="M1317" s="42" t="str">
        <f ca="1">IFERROR(__xludf.DUMMYFUNCTION("""COMPUTED_VALUE"""),"ADOLESCENTES HOMBRES")</f>
        <v>ADOLESCENTES HOMBRES</v>
      </c>
    </row>
    <row r="1318" spans="1:13">
      <c r="A1318" s="42" t="str">
        <f ca="1">IFERROR(__xludf.DUMMYFUNCTION("""COMPUTED_VALUE"""),"2.1.4.2")</f>
        <v>2.1.4.2</v>
      </c>
      <c r="B1318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318" s="42" t="str">
        <f ca="1">IFERROR(__xludf.DUMMYFUNCTION("""COMPUTED_VALUE"""),"4. Programas")</f>
        <v>4. Programas</v>
      </c>
      <c r="D1318" s="42" t="str">
        <f ca="1">IFERROR(__xludf.DUMMYFUNCTION("""COMPUTED_VALUE"""),"Guadalajara en Paz")</f>
        <v>Guadalajara en Paz</v>
      </c>
      <c r="E1318" s="42" t="str">
        <f ca="1">IFERROR(__xludf.DUMMYFUNCTION("""COMPUTED_VALUE"""),"Acompañar las Ausencias")</f>
        <v>Acompañar las Ausencias</v>
      </c>
      <c r="F1318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318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318" s="42" t="str">
        <f ca="1">IFERROR(__xludf.DUMMYFUNCTION("""COMPUTED_VALUE"""),"MUJ Septiembre")</f>
        <v>MUJ Septiembre</v>
      </c>
      <c r="I1318" s="42" t="str">
        <f ca="1">IFERROR(__xludf.DUMMYFUNCTION("""COMPUTED_VALUE"""),"Septiembre")</f>
        <v>Septiembre</v>
      </c>
      <c r="J1318" s="42" t="str">
        <f ca="1">IFERROR(__xludf.DUMMYFUNCTION("""COMPUTED_VALUE"""),"MUJ")</f>
        <v>MUJ</v>
      </c>
      <c r="K1318" s="98">
        <f ca="1">IFERROR(__xludf.DUMMYFUNCTION("""COMPUTED_VALUE"""),72)</f>
        <v>72</v>
      </c>
      <c r="L1318" s="42" t="str">
        <f ca="1">IFERROR(__xludf.DUMMYFUNCTION("""COMPUTED_VALUE"""),"TRIMESTRE 3")</f>
        <v>TRIMESTRE 3</v>
      </c>
      <c r="M1318" s="42" t="str">
        <f ca="1">IFERROR(__xludf.DUMMYFUNCTION("""COMPUTED_VALUE"""),"MUJERES ADULTAS")</f>
        <v>MUJERES ADULTAS</v>
      </c>
    </row>
    <row r="1319" spans="1:13">
      <c r="A1319" s="42" t="str">
        <f ca="1">IFERROR(__xludf.DUMMYFUNCTION("""COMPUTED_VALUE"""),"2.1.4.2")</f>
        <v>2.1.4.2</v>
      </c>
      <c r="B1319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319" s="42" t="str">
        <f ca="1">IFERROR(__xludf.DUMMYFUNCTION("""COMPUTED_VALUE"""),"4. Programas")</f>
        <v>4. Programas</v>
      </c>
      <c r="D1319" s="42" t="str">
        <f ca="1">IFERROR(__xludf.DUMMYFUNCTION("""COMPUTED_VALUE"""),"Guadalajara en Paz")</f>
        <v>Guadalajara en Paz</v>
      </c>
      <c r="E1319" s="42" t="str">
        <f ca="1">IFERROR(__xludf.DUMMYFUNCTION("""COMPUTED_VALUE"""),"Acompañar las Ausencias")</f>
        <v>Acompañar las Ausencias</v>
      </c>
      <c r="F1319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319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319" s="42" t="str">
        <f ca="1">IFERROR(__xludf.DUMMYFUNCTION("""COMPUTED_VALUE"""),"HOM Septiembre")</f>
        <v>HOM Septiembre</v>
      </c>
      <c r="I1319" s="42" t="str">
        <f ca="1">IFERROR(__xludf.DUMMYFUNCTION("""COMPUTED_VALUE"""),"Septiembre")</f>
        <v>Septiembre</v>
      </c>
      <c r="J1319" s="42" t="str">
        <f ca="1">IFERROR(__xludf.DUMMYFUNCTION("""COMPUTED_VALUE"""),"HOM")</f>
        <v>HOM</v>
      </c>
      <c r="K1319" s="98">
        <f ca="1">IFERROR(__xludf.DUMMYFUNCTION("""COMPUTED_VALUE"""),4)</f>
        <v>4</v>
      </c>
      <c r="L1319" s="42" t="str">
        <f ca="1">IFERROR(__xludf.DUMMYFUNCTION("""COMPUTED_VALUE"""),"TRIMESTRE 3")</f>
        <v>TRIMESTRE 3</v>
      </c>
      <c r="M1319" s="42" t="str">
        <f ca="1">IFERROR(__xludf.DUMMYFUNCTION("""COMPUTED_VALUE"""),"HOMBRES ADULTOS")</f>
        <v>HOMBRES ADULTOS</v>
      </c>
    </row>
    <row r="1320" spans="1:13">
      <c r="A1320" s="42" t="str">
        <f ca="1">IFERROR(__xludf.DUMMYFUNCTION("""COMPUTED_VALUE"""),"2.1.4.2")</f>
        <v>2.1.4.2</v>
      </c>
      <c r="B1320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320" s="42" t="str">
        <f ca="1">IFERROR(__xludf.DUMMYFUNCTION("""COMPUTED_VALUE"""),"4. Programas")</f>
        <v>4. Programas</v>
      </c>
      <c r="D1320" s="42" t="str">
        <f ca="1">IFERROR(__xludf.DUMMYFUNCTION("""COMPUTED_VALUE"""),"Guadalajara en Paz")</f>
        <v>Guadalajara en Paz</v>
      </c>
      <c r="E1320" s="42" t="str">
        <f ca="1">IFERROR(__xludf.DUMMYFUNCTION("""COMPUTED_VALUE"""),"Acompañar las Ausencias")</f>
        <v>Acompañar las Ausencias</v>
      </c>
      <c r="F1320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320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320" s="42" t="str">
        <f ca="1">IFERROR(__xludf.DUMMYFUNCTION("""COMPUTED_VALUE"""),"AMM Septiembre")</f>
        <v>AMM Septiembre</v>
      </c>
      <c r="I1320" s="42" t="str">
        <f ca="1">IFERROR(__xludf.DUMMYFUNCTION("""COMPUTED_VALUE"""),"Septiembre")</f>
        <v>Septiembre</v>
      </c>
      <c r="J1320" s="42" t="str">
        <f ca="1">IFERROR(__xludf.DUMMYFUNCTION("""COMPUTED_VALUE"""),"AMM")</f>
        <v>AMM</v>
      </c>
      <c r="K1320" s="98">
        <f ca="1">IFERROR(__xludf.DUMMYFUNCTION("""COMPUTED_VALUE"""),26)</f>
        <v>26</v>
      </c>
      <c r="L1320" s="42" t="str">
        <f ca="1">IFERROR(__xludf.DUMMYFUNCTION("""COMPUTED_VALUE"""),"TRIMESTRE 3")</f>
        <v>TRIMESTRE 3</v>
      </c>
      <c r="M1320" s="42" t="str">
        <f ca="1">IFERROR(__xludf.DUMMYFUNCTION("""COMPUTED_VALUE"""),"ADULTA MAYOR MUJER")</f>
        <v>ADULTA MAYOR MUJER</v>
      </c>
    </row>
    <row r="1321" spans="1:13">
      <c r="A1321" s="42" t="str">
        <f ca="1">IFERROR(__xludf.DUMMYFUNCTION("""COMPUTED_VALUE"""),"2.1.4.2")</f>
        <v>2.1.4.2</v>
      </c>
      <c r="B1321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321" s="42" t="str">
        <f ca="1">IFERROR(__xludf.DUMMYFUNCTION("""COMPUTED_VALUE"""),"4. Programas")</f>
        <v>4. Programas</v>
      </c>
      <c r="D1321" s="42" t="str">
        <f ca="1">IFERROR(__xludf.DUMMYFUNCTION("""COMPUTED_VALUE"""),"Guadalajara en Paz")</f>
        <v>Guadalajara en Paz</v>
      </c>
      <c r="E1321" s="42" t="str">
        <f ca="1">IFERROR(__xludf.DUMMYFUNCTION("""COMPUTED_VALUE"""),"Acompañar las Ausencias")</f>
        <v>Acompañar las Ausencias</v>
      </c>
      <c r="F1321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321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321" s="42" t="str">
        <f ca="1">IFERROR(__xludf.DUMMYFUNCTION("""COMPUTED_VALUE"""),"AMH Septiembre")</f>
        <v>AMH Septiembre</v>
      </c>
      <c r="I1321" s="42" t="str">
        <f ca="1">IFERROR(__xludf.DUMMYFUNCTION("""COMPUTED_VALUE"""),"Septiembre")</f>
        <v>Septiembre</v>
      </c>
      <c r="J1321" s="42" t="str">
        <f ca="1">IFERROR(__xludf.DUMMYFUNCTION("""COMPUTED_VALUE"""),"AMH")</f>
        <v>AMH</v>
      </c>
      <c r="K1321" s="98">
        <f ca="1">IFERROR(__xludf.DUMMYFUNCTION("""COMPUTED_VALUE"""),6)</f>
        <v>6</v>
      </c>
      <c r="L1321" s="42" t="str">
        <f ca="1">IFERROR(__xludf.DUMMYFUNCTION("""COMPUTED_VALUE"""),"TRIMESTRE 3")</f>
        <v>TRIMESTRE 3</v>
      </c>
      <c r="M1321" s="42" t="str">
        <f ca="1">IFERROR(__xludf.DUMMYFUNCTION("""COMPUTED_VALUE"""),"ADULTO MAYOR HOMBRE")</f>
        <v>ADULTO MAYOR HOMBRE</v>
      </c>
    </row>
    <row r="1322" spans="1:13">
      <c r="A1322" s="42" t="str">
        <f ca="1">IFERROR(__xludf.DUMMYFUNCTION("""COMPUTED_VALUE"""),"2.1.4.2")</f>
        <v>2.1.4.2</v>
      </c>
      <c r="B1322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322" s="42" t="str">
        <f ca="1">IFERROR(__xludf.DUMMYFUNCTION("""COMPUTED_VALUE"""),"4. Programas")</f>
        <v>4. Programas</v>
      </c>
      <c r="D1322" s="42" t="str">
        <f ca="1">IFERROR(__xludf.DUMMYFUNCTION("""COMPUTED_VALUE"""),"Guadalajara en Paz")</f>
        <v>Guadalajara en Paz</v>
      </c>
      <c r="E1322" s="42" t="str">
        <f ca="1">IFERROR(__xludf.DUMMYFUNCTION("""COMPUTED_VALUE"""),"Acompañar las Ausencias")</f>
        <v>Acompañar las Ausencias</v>
      </c>
      <c r="F1322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322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322" s="42" t="str">
        <f ca="1">IFERROR(__xludf.DUMMYFUNCTION("""COMPUTED_VALUE"""),"NAS Octubre")</f>
        <v>NAS Octubre</v>
      </c>
      <c r="I1322" s="42" t="str">
        <f ca="1">IFERROR(__xludf.DUMMYFUNCTION("""COMPUTED_VALUE"""),"Octubre")</f>
        <v>Octubre</v>
      </c>
      <c r="J1322" s="42" t="str">
        <f ca="1">IFERROR(__xludf.DUMMYFUNCTION("""COMPUTED_VALUE"""),"NAS")</f>
        <v>NAS</v>
      </c>
      <c r="K1322" s="98"/>
      <c r="L1322" s="42" t="str">
        <f ca="1">IFERROR(__xludf.DUMMYFUNCTION("""COMPUTED_VALUE"""),"TRIMESTRE 4")</f>
        <v>TRIMESTRE 4</v>
      </c>
      <c r="M1322" s="42" t="str">
        <f ca="1">IFERROR(__xludf.DUMMYFUNCTION("""COMPUTED_VALUE"""),"NIÑAS")</f>
        <v>NIÑAS</v>
      </c>
    </row>
    <row r="1323" spans="1:13">
      <c r="A1323" s="42" t="str">
        <f ca="1">IFERROR(__xludf.DUMMYFUNCTION("""COMPUTED_VALUE"""),"2.1.4.2")</f>
        <v>2.1.4.2</v>
      </c>
      <c r="B1323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323" s="42" t="str">
        <f ca="1">IFERROR(__xludf.DUMMYFUNCTION("""COMPUTED_VALUE"""),"4. Programas")</f>
        <v>4. Programas</v>
      </c>
      <c r="D1323" s="42" t="str">
        <f ca="1">IFERROR(__xludf.DUMMYFUNCTION("""COMPUTED_VALUE"""),"Guadalajara en Paz")</f>
        <v>Guadalajara en Paz</v>
      </c>
      <c r="E1323" s="42" t="str">
        <f ca="1">IFERROR(__xludf.DUMMYFUNCTION("""COMPUTED_VALUE"""),"Acompañar las Ausencias")</f>
        <v>Acompañar las Ausencias</v>
      </c>
      <c r="F1323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323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323" s="42" t="str">
        <f ca="1">IFERROR(__xludf.DUMMYFUNCTION("""COMPUTED_VALUE"""),"NOS Octubre")</f>
        <v>NOS Octubre</v>
      </c>
      <c r="I1323" s="42" t="str">
        <f ca="1">IFERROR(__xludf.DUMMYFUNCTION("""COMPUTED_VALUE"""),"Octubre")</f>
        <v>Octubre</v>
      </c>
      <c r="J1323" s="42" t="str">
        <f ca="1">IFERROR(__xludf.DUMMYFUNCTION("""COMPUTED_VALUE"""),"NOS")</f>
        <v>NOS</v>
      </c>
      <c r="K1323" s="98"/>
      <c r="L1323" s="42" t="str">
        <f ca="1">IFERROR(__xludf.DUMMYFUNCTION("""COMPUTED_VALUE"""),"TRIMESTRE 4")</f>
        <v>TRIMESTRE 4</v>
      </c>
      <c r="M1323" s="42" t="str">
        <f ca="1">IFERROR(__xludf.DUMMYFUNCTION("""COMPUTED_VALUE"""),"NIÑOS")</f>
        <v>NIÑOS</v>
      </c>
    </row>
    <row r="1324" spans="1:13">
      <c r="A1324" s="42" t="str">
        <f ca="1">IFERROR(__xludf.DUMMYFUNCTION("""COMPUTED_VALUE"""),"2.1.4.2")</f>
        <v>2.1.4.2</v>
      </c>
      <c r="B1324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324" s="42" t="str">
        <f ca="1">IFERROR(__xludf.DUMMYFUNCTION("""COMPUTED_VALUE"""),"4. Programas")</f>
        <v>4. Programas</v>
      </c>
      <c r="D1324" s="42" t="str">
        <f ca="1">IFERROR(__xludf.DUMMYFUNCTION("""COMPUTED_VALUE"""),"Guadalajara en Paz")</f>
        <v>Guadalajara en Paz</v>
      </c>
      <c r="E1324" s="42" t="str">
        <f ca="1">IFERROR(__xludf.DUMMYFUNCTION("""COMPUTED_VALUE"""),"Acompañar las Ausencias")</f>
        <v>Acompañar las Ausencias</v>
      </c>
      <c r="F1324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324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324" s="42" t="str">
        <f ca="1">IFERROR(__xludf.DUMMYFUNCTION("""COMPUTED_VALUE"""),"AM OCTUBRE")</f>
        <v>AM OCTUBRE</v>
      </c>
      <c r="I1324" s="42" t="str">
        <f ca="1">IFERROR(__xludf.DUMMYFUNCTION("""COMPUTED_VALUE"""),"Octubre")</f>
        <v>Octubre</v>
      </c>
      <c r="J1324" s="42" t="str">
        <f ca="1">IFERROR(__xludf.DUMMYFUNCTION("""COMPUTED_VALUE"""),"AM")</f>
        <v>AM</v>
      </c>
      <c r="K1324" s="98"/>
      <c r="L1324" s="42" t="str">
        <f ca="1">IFERROR(__xludf.DUMMYFUNCTION("""COMPUTED_VALUE"""),"TRIMESTRE 4")</f>
        <v>TRIMESTRE 4</v>
      </c>
      <c r="M1324" s="42" t="str">
        <f ca="1">IFERROR(__xludf.DUMMYFUNCTION("""COMPUTED_VALUE"""),"ADOLESCENTES MUJERES")</f>
        <v>ADOLESCENTES MUJERES</v>
      </c>
    </row>
    <row r="1325" spans="1:13">
      <c r="A1325" s="42" t="str">
        <f ca="1">IFERROR(__xludf.DUMMYFUNCTION("""COMPUTED_VALUE"""),"2.1.4.2")</f>
        <v>2.1.4.2</v>
      </c>
      <c r="B1325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325" s="42" t="str">
        <f ca="1">IFERROR(__xludf.DUMMYFUNCTION("""COMPUTED_VALUE"""),"4. Programas")</f>
        <v>4. Programas</v>
      </c>
      <c r="D1325" s="42" t="str">
        <f ca="1">IFERROR(__xludf.DUMMYFUNCTION("""COMPUTED_VALUE"""),"Guadalajara en Paz")</f>
        <v>Guadalajara en Paz</v>
      </c>
      <c r="E1325" s="42" t="str">
        <f ca="1">IFERROR(__xludf.DUMMYFUNCTION("""COMPUTED_VALUE"""),"Acompañar las Ausencias")</f>
        <v>Acompañar las Ausencias</v>
      </c>
      <c r="F1325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325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325" s="42" t="str">
        <f ca="1">IFERROR(__xludf.DUMMYFUNCTION("""COMPUTED_VALUE"""),"AH OCTUBRE")</f>
        <v>AH OCTUBRE</v>
      </c>
      <c r="I1325" s="42" t="str">
        <f ca="1">IFERROR(__xludf.DUMMYFUNCTION("""COMPUTED_VALUE"""),"Octubre")</f>
        <v>Octubre</v>
      </c>
      <c r="J1325" s="42" t="str">
        <f ca="1">IFERROR(__xludf.DUMMYFUNCTION("""COMPUTED_VALUE"""),"AH")</f>
        <v>AH</v>
      </c>
      <c r="K1325" s="98"/>
      <c r="L1325" s="42" t="str">
        <f ca="1">IFERROR(__xludf.DUMMYFUNCTION("""COMPUTED_VALUE"""),"TRIMESTRE 4")</f>
        <v>TRIMESTRE 4</v>
      </c>
      <c r="M1325" s="42" t="str">
        <f ca="1">IFERROR(__xludf.DUMMYFUNCTION("""COMPUTED_VALUE"""),"ADOLESCENTES HOMBRES")</f>
        <v>ADOLESCENTES HOMBRES</v>
      </c>
    </row>
    <row r="1326" spans="1:13">
      <c r="A1326" s="42" t="str">
        <f ca="1">IFERROR(__xludf.DUMMYFUNCTION("""COMPUTED_VALUE"""),"2.1.4.2")</f>
        <v>2.1.4.2</v>
      </c>
      <c r="B1326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326" s="42" t="str">
        <f ca="1">IFERROR(__xludf.DUMMYFUNCTION("""COMPUTED_VALUE"""),"4. Programas")</f>
        <v>4. Programas</v>
      </c>
      <c r="D1326" s="42" t="str">
        <f ca="1">IFERROR(__xludf.DUMMYFUNCTION("""COMPUTED_VALUE"""),"Guadalajara en Paz")</f>
        <v>Guadalajara en Paz</v>
      </c>
      <c r="E1326" s="42" t="str">
        <f ca="1">IFERROR(__xludf.DUMMYFUNCTION("""COMPUTED_VALUE"""),"Acompañar las Ausencias")</f>
        <v>Acompañar las Ausencias</v>
      </c>
      <c r="F1326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326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326" s="42" t="str">
        <f ca="1">IFERROR(__xludf.DUMMYFUNCTION("""COMPUTED_VALUE"""),"MUJ Octubre")</f>
        <v>MUJ Octubre</v>
      </c>
      <c r="I1326" s="42" t="str">
        <f ca="1">IFERROR(__xludf.DUMMYFUNCTION("""COMPUTED_VALUE"""),"Octubre")</f>
        <v>Octubre</v>
      </c>
      <c r="J1326" s="42" t="str">
        <f ca="1">IFERROR(__xludf.DUMMYFUNCTION("""COMPUTED_VALUE"""),"MUJ")</f>
        <v>MUJ</v>
      </c>
      <c r="K1326" s="98"/>
      <c r="L1326" s="42" t="str">
        <f ca="1">IFERROR(__xludf.DUMMYFUNCTION("""COMPUTED_VALUE"""),"TRIMESTRE 4")</f>
        <v>TRIMESTRE 4</v>
      </c>
      <c r="M1326" s="42" t="str">
        <f ca="1">IFERROR(__xludf.DUMMYFUNCTION("""COMPUTED_VALUE"""),"MUJERES ADULTAS")</f>
        <v>MUJERES ADULTAS</v>
      </c>
    </row>
    <row r="1327" spans="1:13">
      <c r="A1327" s="42" t="str">
        <f ca="1">IFERROR(__xludf.DUMMYFUNCTION("""COMPUTED_VALUE"""),"2.1.4.2")</f>
        <v>2.1.4.2</v>
      </c>
      <c r="B1327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327" s="42" t="str">
        <f ca="1">IFERROR(__xludf.DUMMYFUNCTION("""COMPUTED_VALUE"""),"4. Programas")</f>
        <v>4. Programas</v>
      </c>
      <c r="D1327" s="42" t="str">
        <f ca="1">IFERROR(__xludf.DUMMYFUNCTION("""COMPUTED_VALUE"""),"Guadalajara en Paz")</f>
        <v>Guadalajara en Paz</v>
      </c>
      <c r="E1327" s="42" t="str">
        <f ca="1">IFERROR(__xludf.DUMMYFUNCTION("""COMPUTED_VALUE"""),"Acompañar las Ausencias")</f>
        <v>Acompañar las Ausencias</v>
      </c>
      <c r="F1327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327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327" s="42" t="str">
        <f ca="1">IFERROR(__xludf.DUMMYFUNCTION("""COMPUTED_VALUE"""),"HOM Octubre")</f>
        <v>HOM Octubre</v>
      </c>
      <c r="I1327" s="42" t="str">
        <f ca="1">IFERROR(__xludf.DUMMYFUNCTION("""COMPUTED_VALUE"""),"Octubre")</f>
        <v>Octubre</v>
      </c>
      <c r="J1327" s="42" t="str">
        <f ca="1">IFERROR(__xludf.DUMMYFUNCTION("""COMPUTED_VALUE"""),"HOM")</f>
        <v>HOM</v>
      </c>
      <c r="K1327" s="98"/>
      <c r="L1327" s="42" t="str">
        <f ca="1">IFERROR(__xludf.DUMMYFUNCTION("""COMPUTED_VALUE"""),"TRIMESTRE 4")</f>
        <v>TRIMESTRE 4</v>
      </c>
      <c r="M1327" s="42" t="str">
        <f ca="1">IFERROR(__xludf.DUMMYFUNCTION("""COMPUTED_VALUE"""),"HOMBRES ADULTOS")</f>
        <v>HOMBRES ADULTOS</v>
      </c>
    </row>
    <row r="1328" spans="1:13">
      <c r="A1328" s="42" t="str">
        <f ca="1">IFERROR(__xludf.DUMMYFUNCTION("""COMPUTED_VALUE"""),"2.1.4.2")</f>
        <v>2.1.4.2</v>
      </c>
      <c r="B1328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328" s="42" t="str">
        <f ca="1">IFERROR(__xludf.DUMMYFUNCTION("""COMPUTED_VALUE"""),"4. Programas")</f>
        <v>4. Programas</v>
      </c>
      <c r="D1328" s="42" t="str">
        <f ca="1">IFERROR(__xludf.DUMMYFUNCTION("""COMPUTED_VALUE"""),"Guadalajara en Paz")</f>
        <v>Guadalajara en Paz</v>
      </c>
      <c r="E1328" s="42" t="str">
        <f ca="1">IFERROR(__xludf.DUMMYFUNCTION("""COMPUTED_VALUE"""),"Acompañar las Ausencias")</f>
        <v>Acompañar las Ausencias</v>
      </c>
      <c r="F1328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328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328" s="42" t="str">
        <f ca="1">IFERROR(__xludf.DUMMYFUNCTION("""COMPUTED_VALUE"""),"AMM Octubre")</f>
        <v>AMM Octubre</v>
      </c>
      <c r="I1328" s="42" t="str">
        <f ca="1">IFERROR(__xludf.DUMMYFUNCTION("""COMPUTED_VALUE"""),"Octubre")</f>
        <v>Octubre</v>
      </c>
      <c r="J1328" s="42" t="str">
        <f ca="1">IFERROR(__xludf.DUMMYFUNCTION("""COMPUTED_VALUE"""),"AMM")</f>
        <v>AMM</v>
      </c>
      <c r="K1328" s="98"/>
      <c r="L1328" s="42" t="str">
        <f ca="1">IFERROR(__xludf.DUMMYFUNCTION("""COMPUTED_VALUE"""),"TRIMESTRE 4")</f>
        <v>TRIMESTRE 4</v>
      </c>
      <c r="M1328" s="42" t="str">
        <f ca="1">IFERROR(__xludf.DUMMYFUNCTION("""COMPUTED_VALUE"""),"ADULTA MAYOR MUJER")</f>
        <v>ADULTA MAYOR MUJER</v>
      </c>
    </row>
    <row r="1329" spans="1:13">
      <c r="A1329" s="42" t="str">
        <f ca="1">IFERROR(__xludf.DUMMYFUNCTION("""COMPUTED_VALUE"""),"2.1.4.2")</f>
        <v>2.1.4.2</v>
      </c>
      <c r="B1329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329" s="42" t="str">
        <f ca="1">IFERROR(__xludf.DUMMYFUNCTION("""COMPUTED_VALUE"""),"4. Programas")</f>
        <v>4. Programas</v>
      </c>
      <c r="D1329" s="42" t="str">
        <f ca="1">IFERROR(__xludf.DUMMYFUNCTION("""COMPUTED_VALUE"""),"Guadalajara en Paz")</f>
        <v>Guadalajara en Paz</v>
      </c>
      <c r="E1329" s="42" t="str">
        <f ca="1">IFERROR(__xludf.DUMMYFUNCTION("""COMPUTED_VALUE"""),"Acompañar las Ausencias")</f>
        <v>Acompañar las Ausencias</v>
      </c>
      <c r="F1329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329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329" s="42" t="str">
        <f ca="1">IFERROR(__xludf.DUMMYFUNCTION("""COMPUTED_VALUE"""),"AMH Octubre")</f>
        <v>AMH Octubre</v>
      </c>
      <c r="I1329" s="42" t="str">
        <f ca="1">IFERROR(__xludf.DUMMYFUNCTION("""COMPUTED_VALUE"""),"Octubre")</f>
        <v>Octubre</v>
      </c>
      <c r="J1329" s="42" t="str">
        <f ca="1">IFERROR(__xludf.DUMMYFUNCTION("""COMPUTED_VALUE"""),"AMH")</f>
        <v>AMH</v>
      </c>
      <c r="K1329" s="98"/>
      <c r="L1329" s="42" t="str">
        <f ca="1">IFERROR(__xludf.DUMMYFUNCTION("""COMPUTED_VALUE"""),"TRIMESTRE 4")</f>
        <v>TRIMESTRE 4</v>
      </c>
      <c r="M1329" s="42" t="str">
        <f ca="1">IFERROR(__xludf.DUMMYFUNCTION("""COMPUTED_VALUE"""),"ADULTO MAYOR HOMBRE")</f>
        <v>ADULTO MAYOR HOMBRE</v>
      </c>
    </row>
    <row r="1330" spans="1:13">
      <c r="A1330" s="42" t="str">
        <f ca="1">IFERROR(__xludf.DUMMYFUNCTION("""COMPUTED_VALUE"""),"2.1.4.2")</f>
        <v>2.1.4.2</v>
      </c>
      <c r="B1330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330" s="42" t="str">
        <f ca="1">IFERROR(__xludf.DUMMYFUNCTION("""COMPUTED_VALUE"""),"4. Programas")</f>
        <v>4. Programas</v>
      </c>
      <c r="D1330" s="42" t="str">
        <f ca="1">IFERROR(__xludf.DUMMYFUNCTION("""COMPUTED_VALUE"""),"Guadalajara en Paz")</f>
        <v>Guadalajara en Paz</v>
      </c>
      <c r="E1330" s="42" t="str">
        <f ca="1">IFERROR(__xludf.DUMMYFUNCTION("""COMPUTED_VALUE"""),"Acompañar las Ausencias")</f>
        <v>Acompañar las Ausencias</v>
      </c>
      <c r="F1330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330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330" s="42" t="str">
        <f ca="1">IFERROR(__xludf.DUMMYFUNCTION("""COMPUTED_VALUE"""),"NAS Noviembre")</f>
        <v>NAS Noviembre</v>
      </c>
      <c r="I1330" s="42" t="str">
        <f ca="1">IFERROR(__xludf.DUMMYFUNCTION("""COMPUTED_VALUE"""),"Noviembre")</f>
        <v>Noviembre</v>
      </c>
      <c r="J1330" s="42" t="str">
        <f ca="1">IFERROR(__xludf.DUMMYFUNCTION("""COMPUTED_VALUE"""),"NAS")</f>
        <v>NAS</v>
      </c>
      <c r="K1330" s="98"/>
      <c r="L1330" s="42" t="str">
        <f ca="1">IFERROR(__xludf.DUMMYFUNCTION("""COMPUTED_VALUE"""),"TRIMESTRE 4")</f>
        <v>TRIMESTRE 4</v>
      </c>
      <c r="M1330" s="42" t="str">
        <f ca="1">IFERROR(__xludf.DUMMYFUNCTION("""COMPUTED_VALUE"""),"NIÑAS")</f>
        <v>NIÑAS</v>
      </c>
    </row>
    <row r="1331" spans="1:13">
      <c r="A1331" s="42" t="str">
        <f ca="1">IFERROR(__xludf.DUMMYFUNCTION("""COMPUTED_VALUE"""),"2.1.4.2")</f>
        <v>2.1.4.2</v>
      </c>
      <c r="B1331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331" s="42" t="str">
        <f ca="1">IFERROR(__xludf.DUMMYFUNCTION("""COMPUTED_VALUE"""),"4. Programas")</f>
        <v>4. Programas</v>
      </c>
      <c r="D1331" s="42" t="str">
        <f ca="1">IFERROR(__xludf.DUMMYFUNCTION("""COMPUTED_VALUE"""),"Guadalajara en Paz")</f>
        <v>Guadalajara en Paz</v>
      </c>
      <c r="E1331" s="42" t="str">
        <f ca="1">IFERROR(__xludf.DUMMYFUNCTION("""COMPUTED_VALUE"""),"Acompañar las Ausencias")</f>
        <v>Acompañar las Ausencias</v>
      </c>
      <c r="F1331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331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331" s="42" t="str">
        <f ca="1">IFERROR(__xludf.DUMMYFUNCTION("""COMPUTED_VALUE"""),"NOS Noviembre")</f>
        <v>NOS Noviembre</v>
      </c>
      <c r="I1331" s="42" t="str">
        <f ca="1">IFERROR(__xludf.DUMMYFUNCTION("""COMPUTED_VALUE"""),"Noviembre")</f>
        <v>Noviembre</v>
      </c>
      <c r="J1331" s="42" t="str">
        <f ca="1">IFERROR(__xludf.DUMMYFUNCTION("""COMPUTED_VALUE"""),"NOS")</f>
        <v>NOS</v>
      </c>
      <c r="K1331" s="98"/>
      <c r="L1331" s="42" t="str">
        <f ca="1">IFERROR(__xludf.DUMMYFUNCTION("""COMPUTED_VALUE"""),"TRIMESTRE 4")</f>
        <v>TRIMESTRE 4</v>
      </c>
      <c r="M1331" s="42" t="str">
        <f ca="1">IFERROR(__xludf.DUMMYFUNCTION("""COMPUTED_VALUE"""),"NIÑOS")</f>
        <v>NIÑOS</v>
      </c>
    </row>
    <row r="1332" spans="1:13">
      <c r="A1332" s="42" t="str">
        <f ca="1">IFERROR(__xludf.DUMMYFUNCTION("""COMPUTED_VALUE"""),"2.1.4.2")</f>
        <v>2.1.4.2</v>
      </c>
      <c r="B1332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332" s="42" t="str">
        <f ca="1">IFERROR(__xludf.DUMMYFUNCTION("""COMPUTED_VALUE"""),"4. Programas")</f>
        <v>4. Programas</v>
      </c>
      <c r="D1332" s="42" t="str">
        <f ca="1">IFERROR(__xludf.DUMMYFUNCTION("""COMPUTED_VALUE"""),"Guadalajara en Paz")</f>
        <v>Guadalajara en Paz</v>
      </c>
      <c r="E1332" s="42" t="str">
        <f ca="1">IFERROR(__xludf.DUMMYFUNCTION("""COMPUTED_VALUE"""),"Acompañar las Ausencias")</f>
        <v>Acompañar las Ausencias</v>
      </c>
      <c r="F1332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332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332" s="42" t="str">
        <f ca="1">IFERROR(__xludf.DUMMYFUNCTION("""COMPUTED_VALUE"""),"AM NOVIEMBRE")</f>
        <v>AM NOVIEMBRE</v>
      </c>
      <c r="I1332" s="42" t="str">
        <f ca="1">IFERROR(__xludf.DUMMYFUNCTION("""COMPUTED_VALUE"""),"Noviembre")</f>
        <v>Noviembre</v>
      </c>
      <c r="J1332" s="42" t="str">
        <f ca="1">IFERROR(__xludf.DUMMYFUNCTION("""COMPUTED_VALUE"""),"AM")</f>
        <v>AM</v>
      </c>
      <c r="K1332" s="98"/>
      <c r="L1332" s="42" t="str">
        <f ca="1">IFERROR(__xludf.DUMMYFUNCTION("""COMPUTED_VALUE"""),"TRIMESTRE 4")</f>
        <v>TRIMESTRE 4</v>
      </c>
      <c r="M1332" s="42" t="str">
        <f ca="1">IFERROR(__xludf.DUMMYFUNCTION("""COMPUTED_VALUE"""),"ADOLESCENTES MUJERES")</f>
        <v>ADOLESCENTES MUJERES</v>
      </c>
    </row>
    <row r="1333" spans="1:13">
      <c r="A1333" s="42" t="str">
        <f ca="1">IFERROR(__xludf.DUMMYFUNCTION("""COMPUTED_VALUE"""),"2.1.4.2")</f>
        <v>2.1.4.2</v>
      </c>
      <c r="B1333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333" s="42" t="str">
        <f ca="1">IFERROR(__xludf.DUMMYFUNCTION("""COMPUTED_VALUE"""),"4. Programas")</f>
        <v>4. Programas</v>
      </c>
      <c r="D1333" s="42" t="str">
        <f ca="1">IFERROR(__xludf.DUMMYFUNCTION("""COMPUTED_VALUE"""),"Guadalajara en Paz")</f>
        <v>Guadalajara en Paz</v>
      </c>
      <c r="E1333" s="42" t="str">
        <f ca="1">IFERROR(__xludf.DUMMYFUNCTION("""COMPUTED_VALUE"""),"Acompañar las Ausencias")</f>
        <v>Acompañar las Ausencias</v>
      </c>
      <c r="F1333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333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333" s="42" t="str">
        <f ca="1">IFERROR(__xludf.DUMMYFUNCTION("""COMPUTED_VALUE"""),"AH NOVIEMBRE")</f>
        <v>AH NOVIEMBRE</v>
      </c>
      <c r="I1333" s="42" t="str">
        <f ca="1">IFERROR(__xludf.DUMMYFUNCTION("""COMPUTED_VALUE"""),"Noviembre")</f>
        <v>Noviembre</v>
      </c>
      <c r="J1333" s="42" t="str">
        <f ca="1">IFERROR(__xludf.DUMMYFUNCTION("""COMPUTED_VALUE"""),"AH")</f>
        <v>AH</v>
      </c>
      <c r="K1333" s="98"/>
      <c r="L1333" s="42" t="str">
        <f ca="1">IFERROR(__xludf.DUMMYFUNCTION("""COMPUTED_VALUE"""),"TRIMESTRE 4")</f>
        <v>TRIMESTRE 4</v>
      </c>
      <c r="M1333" s="42" t="str">
        <f ca="1">IFERROR(__xludf.DUMMYFUNCTION("""COMPUTED_VALUE"""),"ADOLESCENTES HOMBRES")</f>
        <v>ADOLESCENTES HOMBRES</v>
      </c>
    </row>
    <row r="1334" spans="1:13">
      <c r="A1334" s="42" t="str">
        <f ca="1">IFERROR(__xludf.DUMMYFUNCTION("""COMPUTED_VALUE"""),"2.1.4.2")</f>
        <v>2.1.4.2</v>
      </c>
      <c r="B1334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334" s="42" t="str">
        <f ca="1">IFERROR(__xludf.DUMMYFUNCTION("""COMPUTED_VALUE"""),"4. Programas")</f>
        <v>4. Programas</v>
      </c>
      <c r="D1334" s="42" t="str">
        <f ca="1">IFERROR(__xludf.DUMMYFUNCTION("""COMPUTED_VALUE"""),"Guadalajara en Paz")</f>
        <v>Guadalajara en Paz</v>
      </c>
      <c r="E1334" s="42" t="str">
        <f ca="1">IFERROR(__xludf.DUMMYFUNCTION("""COMPUTED_VALUE"""),"Acompañar las Ausencias")</f>
        <v>Acompañar las Ausencias</v>
      </c>
      <c r="F1334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334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334" s="42" t="str">
        <f ca="1">IFERROR(__xludf.DUMMYFUNCTION("""COMPUTED_VALUE"""),"MUJ Noviembre")</f>
        <v>MUJ Noviembre</v>
      </c>
      <c r="I1334" s="42" t="str">
        <f ca="1">IFERROR(__xludf.DUMMYFUNCTION("""COMPUTED_VALUE"""),"Noviembre")</f>
        <v>Noviembre</v>
      </c>
      <c r="J1334" s="42" t="str">
        <f ca="1">IFERROR(__xludf.DUMMYFUNCTION("""COMPUTED_VALUE"""),"MUJ")</f>
        <v>MUJ</v>
      </c>
      <c r="K1334" s="98"/>
      <c r="L1334" s="42" t="str">
        <f ca="1">IFERROR(__xludf.DUMMYFUNCTION("""COMPUTED_VALUE"""),"TRIMESTRE 4")</f>
        <v>TRIMESTRE 4</v>
      </c>
      <c r="M1334" s="42" t="str">
        <f ca="1">IFERROR(__xludf.DUMMYFUNCTION("""COMPUTED_VALUE"""),"MUJERES ADULTAS")</f>
        <v>MUJERES ADULTAS</v>
      </c>
    </row>
    <row r="1335" spans="1:13">
      <c r="A1335" s="42" t="str">
        <f ca="1">IFERROR(__xludf.DUMMYFUNCTION("""COMPUTED_VALUE"""),"2.1.4.2")</f>
        <v>2.1.4.2</v>
      </c>
      <c r="B1335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335" s="42" t="str">
        <f ca="1">IFERROR(__xludf.DUMMYFUNCTION("""COMPUTED_VALUE"""),"4. Programas")</f>
        <v>4. Programas</v>
      </c>
      <c r="D1335" s="42" t="str">
        <f ca="1">IFERROR(__xludf.DUMMYFUNCTION("""COMPUTED_VALUE"""),"Guadalajara en Paz")</f>
        <v>Guadalajara en Paz</v>
      </c>
      <c r="E1335" s="42" t="str">
        <f ca="1">IFERROR(__xludf.DUMMYFUNCTION("""COMPUTED_VALUE"""),"Acompañar las Ausencias")</f>
        <v>Acompañar las Ausencias</v>
      </c>
      <c r="F1335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335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335" s="42" t="str">
        <f ca="1">IFERROR(__xludf.DUMMYFUNCTION("""COMPUTED_VALUE"""),"HOM Noviembre")</f>
        <v>HOM Noviembre</v>
      </c>
      <c r="I1335" s="42" t="str">
        <f ca="1">IFERROR(__xludf.DUMMYFUNCTION("""COMPUTED_VALUE"""),"Noviembre")</f>
        <v>Noviembre</v>
      </c>
      <c r="J1335" s="42" t="str">
        <f ca="1">IFERROR(__xludf.DUMMYFUNCTION("""COMPUTED_VALUE"""),"HOM")</f>
        <v>HOM</v>
      </c>
      <c r="K1335" s="98"/>
      <c r="L1335" s="42" t="str">
        <f ca="1">IFERROR(__xludf.DUMMYFUNCTION("""COMPUTED_VALUE"""),"TRIMESTRE 4")</f>
        <v>TRIMESTRE 4</v>
      </c>
      <c r="M1335" s="42" t="str">
        <f ca="1">IFERROR(__xludf.DUMMYFUNCTION("""COMPUTED_VALUE"""),"HOMBRES ADULTOS")</f>
        <v>HOMBRES ADULTOS</v>
      </c>
    </row>
    <row r="1336" spans="1:13">
      <c r="A1336" s="42" t="str">
        <f ca="1">IFERROR(__xludf.DUMMYFUNCTION("""COMPUTED_VALUE"""),"2.1.4.2")</f>
        <v>2.1.4.2</v>
      </c>
      <c r="B1336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336" s="42" t="str">
        <f ca="1">IFERROR(__xludf.DUMMYFUNCTION("""COMPUTED_VALUE"""),"4. Programas")</f>
        <v>4. Programas</v>
      </c>
      <c r="D1336" s="42" t="str">
        <f ca="1">IFERROR(__xludf.DUMMYFUNCTION("""COMPUTED_VALUE"""),"Guadalajara en Paz")</f>
        <v>Guadalajara en Paz</v>
      </c>
      <c r="E1336" s="42" t="str">
        <f ca="1">IFERROR(__xludf.DUMMYFUNCTION("""COMPUTED_VALUE"""),"Acompañar las Ausencias")</f>
        <v>Acompañar las Ausencias</v>
      </c>
      <c r="F1336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336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336" s="42" t="str">
        <f ca="1">IFERROR(__xludf.DUMMYFUNCTION("""COMPUTED_VALUE"""),"AMM Noviembre")</f>
        <v>AMM Noviembre</v>
      </c>
      <c r="I1336" s="42" t="str">
        <f ca="1">IFERROR(__xludf.DUMMYFUNCTION("""COMPUTED_VALUE"""),"Noviembre")</f>
        <v>Noviembre</v>
      </c>
      <c r="J1336" s="42" t="str">
        <f ca="1">IFERROR(__xludf.DUMMYFUNCTION("""COMPUTED_VALUE"""),"AMM")</f>
        <v>AMM</v>
      </c>
      <c r="K1336" s="98"/>
      <c r="L1336" s="42" t="str">
        <f ca="1">IFERROR(__xludf.DUMMYFUNCTION("""COMPUTED_VALUE"""),"TRIMESTRE 4")</f>
        <v>TRIMESTRE 4</v>
      </c>
      <c r="M1336" s="42" t="str">
        <f ca="1">IFERROR(__xludf.DUMMYFUNCTION("""COMPUTED_VALUE"""),"ADULTA MAYOR MUJER")</f>
        <v>ADULTA MAYOR MUJER</v>
      </c>
    </row>
    <row r="1337" spans="1:13">
      <c r="A1337" s="42" t="str">
        <f ca="1">IFERROR(__xludf.DUMMYFUNCTION("""COMPUTED_VALUE"""),"2.1.4.2")</f>
        <v>2.1.4.2</v>
      </c>
      <c r="B1337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337" s="42" t="str">
        <f ca="1">IFERROR(__xludf.DUMMYFUNCTION("""COMPUTED_VALUE"""),"4. Programas")</f>
        <v>4. Programas</v>
      </c>
      <c r="D1337" s="42" t="str">
        <f ca="1">IFERROR(__xludf.DUMMYFUNCTION("""COMPUTED_VALUE"""),"Guadalajara en Paz")</f>
        <v>Guadalajara en Paz</v>
      </c>
      <c r="E1337" s="42" t="str">
        <f ca="1">IFERROR(__xludf.DUMMYFUNCTION("""COMPUTED_VALUE"""),"Acompañar las Ausencias")</f>
        <v>Acompañar las Ausencias</v>
      </c>
      <c r="F1337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337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337" s="42" t="str">
        <f ca="1">IFERROR(__xludf.DUMMYFUNCTION("""COMPUTED_VALUE"""),"AMH Noviembre")</f>
        <v>AMH Noviembre</v>
      </c>
      <c r="I1337" s="42" t="str">
        <f ca="1">IFERROR(__xludf.DUMMYFUNCTION("""COMPUTED_VALUE"""),"Noviembre")</f>
        <v>Noviembre</v>
      </c>
      <c r="J1337" s="42" t="str">
        <f ca="1">IFERROR(__xludf.DUMMYFUNCTION("""COMPUTED_VALUE"""),"AMH")</f>
        <v>AMH</v>
      </c>
      <c r="K1337" s="98"/>
      <c r="L1337" s="42" t="str">
        <f ca="1">IFERROR(__xludf.DUMMYFUNCTION("""COMPUTED_VALUE"""),"TRIMESTRE 4")</f>
        <v>TRIMESTRE 4</v>
      </c>
      <c r="M1337" s="42" t="str">
        <f ca="1">IFERROR(__xludf.DUMMYFUNCTION("""COMPUTED_VALUE"""),"ADULTO MAYOR HOMBRE")</f>
        <v>ADULTO MAYOR HOMBRE</v>
      </c>
    </row>
    <row r="1338" spans="1:13">
      <c r="A1338" s="42" t="str">
        <f ca="1">IFERROR(__xludf.DUMMYFUNCTION("""COMPUTED_VALUE"""),"2.1.4.2")</f>
        <v>2.1.4.2</v>
      </c>
      <c r="B1338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338" s="42" t="str">
        <f ca="1">IFERROR(__xludf.DUMMYFUNCTION("""COMPUTED_VALUE"""),"4. Programas")</f>
        <v>4. Programas</v>
      </c>
      <c r="D1338" s="42" t="str">
        <f ca="1">IFERROR(__xludf.DUMMYFUNCTION("""COMPUTED_VALUE"""),"Guadalajara en Paz")</f>
        <v>Guadalajara en Paz</v>
      </c>
      <c r="E1338" s="42" t="str">
        <f ca="1">IFERROR(__xludf.DUMMYFUNCTION("""COMPUTED_VALUE"""),"Acompañar las Ausencias")</f>
        <v>Acompañar las Ausencias</v>
      </c>
      <c r="F1338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338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338" s="42" t="str">
        <f ca="1">IFERROR(__xludf.DUMMYFUNCTION("""COMPUTED_VALUE"""),"NAS Diciembre")</f>
        <v>NAS Diciembre</v>
      </c>
      <c r="I1338" s="42" t="str">
        <f ca="1">IFERROR(__xludf.DUMMYFUNCTION("""COMPUTED_VALUE"""),"Diciembre")</f>
        <v>Diciembre</v>
      </c>
      <c r="J1338" s="42" t="str">
        <f ca="1">IFERROR(__xludf.DUMMYFUNCTION("""COMPUTED_VALUE"""),"NAS")</f>
        <v>NAS</v>
      </c>
      <c r="K1338" s="98"/>
      <c r="L1338" s="42" t="str">
        <f ca="1">IFERROR(__xludf.DUMMYFUNCTION("""COMPUTED_VALUE"""),"TRIMESTRE 4")</f>
        <v>TRIMESTRE 4</v>
      </c>
      <c r="M1338" s="42" t="str">
        <f ca="1">IFERROR(__xludf.DUMMYFUNCTION("""COMPUTED_VALUE"""),"NIÑAS")</f>
        <v>NIÑAS</v>
      </c>
    </row>
    <row r="1339" spans="1:13">
      <c r="A1339" s="42" t="str">
        <f ca="1">IFERROR(__xludf.DUMMYFUNCTION("""COMPUTED_VALUE"""),"2.1.4.2")</f>
        <v>2.1.4.2</v>
      </c>
      <c r="B1339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339" s="42" t="str">
        <f ca="1">IFERROR(__xludf.DUMMYFUNCTION("""COMPUTED_VALUE"""),"4. Programas")</f>
        <v>4. Programas</v>
      </c>
      <c r="D1339" s="42" t="str">
        <f ca="1">IFERROR(__xludf.DUMMYFUNCTION("""COMPUTED_VALUE"""),"Guadalajara en Paz")</f>
        <v>Guadalajara en Paz</v>
      </c>
      <c r="E1339" s="42" t="str">
        <f ca="1">IFERROR(__xludf.DUMMYFUNCTION("""COMPUTED_VALUE"""),"Acompañar las Ausencias")</f>
        <v>Acompañar las Ausencias</v>
      </c>
      <c r="F1339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339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339" s="42" t="str">
        <f ca="1">IFERROR(__xludf.DUMMYFUNCTION("""COMPUTED_VALUE"""),"NOS Diciembre")</f>
        <v>NOS Diciembre</v>
      </c>
      <c r="I1339" s="42" t="str">
        <f ca="1">IFERROR(__xludf.DUMMYFUNCTION("""COMPUTED_VALUE"""),"Diciembre")</f>
        <v>Diciembre</v>
      </c>
      <c r="J1339" s="42" t="str">
        <f ca="1">IFERROR(__xludf.DUMMYFUNCTION("""COMPUTED_VALUE"""),"NOS")</f>
        <v>NOS</v>
      </c>
      <c r="K1339" s="98"/>
      <c r="L1339" s="42" t="str">
        <f ca="1">IFERROR(__xludf.DUMMYFUNCTION("""COMPUTED_VALUE"""),"TRIMESTRE 4")</f>
        <v>TRIMESTRE 4</v>
      </c>
      <c r="M1339" s="42" t="str">
        <f ca="1">IFERROR(__xludf.DUMMYFUNCTION("""COMPUTED_VALUE"""),"NIÑOS")</f>
        <v>NIÑOS</v>
      </c>
    </row>
    <row r="1340" spans="1:13">
      <c r="A1340" s="42" t="str">
        <f ca="1">IFERROR(__xludf.DUMMYFUNCTION("""COMPUTED_VALUE"""),"2.1.4.2")</f>
        <v>2.1.4.2</v>
      </c>
      <c r="B1340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340" s="42" t="str">
        <f ca="1">IFERROR(__xludf.DUMMYFUNCTION("""COMPUTED_VALUE"""),"4. Programas")</f>
        <v>4. Programas</v>
      </c>
      <c r="D1340" s="42" t="str">
        <f ca="1">IFERROR(__xludf.DUMMYFUNCTION("""COMPUTED_VALUE"""),"Guadalajara en Paz")</f>
        <v>Guadalajara en Paz</v>
      </c>
      <c r="E1340" s="42" t="str">
        <f ca="1">IFERROR(__xludf.DUMMYFUNCTION("""COMPUTED_VALUE"""),"Acompañar las Ausencias")</f>
        <v>Acompañar las Ausencias</v>
      </c>
      <c r="F1340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340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340" s="42" t="str">
        <f ca="1">IFERROR(__xludf.DUMMYFUNCTION("""COMPUTED_VALUE"""),"AM DICIEMBRE")</f>
        <v>AM DICIEMBRE</v>
      </c>
      <c r="I1340" s="42" t="str">
        <f ca="1">IFERROR(__xludf.DUMMYFUNCTION("""COMPUTED_VALUE"""),"Diciembre")</f>
        <v>Diciembre</v>
      </c>
      <c r="J1340" s="42" t="str">
        <f ca="1">IFERROR(__xludf.DUMMYFUNCTION("""COMPUTED_VALUE"""),"AM")</f>
        <v>AM</v>
      </c>
      <c r="K1340" s="98"/>
      <c r="L1340" s="42" t="str">
        <f ca="1">IFERROR(__xludf.DUMMYFUNCTION("""COMPUTED_VALUE"""),"TRIMESTRE 4")</f>
        <v>TRIMESTRE 4</v>
      </c>
      <c r="M1340" s="42" t="str">
        <f ca="1">IFERROR(__xludf.DUMMYFUNCTION("""COMPUTED_VALUE"""),"ADOLESCENTES MUJERES")</f>
        <v>ADOLESCENTES MUJERES</v>
      </c>
    </row>
    <row r="1341" spans="1:13">
      <c r="A1341" s="42" t="str">
        <f ca="1">IFERROR(__xludf.DUMMYFUNCTION("""COMPUTED_VALUE"""),"2.1.4.2")</f>
        <v>2.1.4.2</v>
      </c>
      <c r="B1341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341" s="42" t="str">
        <f ca="1">IFERROR(__xludf.DUMMYFUNCTION("""COMPUTED_VALUE"""),"4. Programas")</f>
        <v>4. Programas</v>
      </c>
      <c r="D1341" s="42" t="str">
        <f ca="1">IFERROR(__xludf.DUMMYFUNCTION("""COMPUTED_VALUE"""),"Guadalajara en Paz")</f>
        <v>Guadalajara en Paz</v>
      </c>
      <c r="E1341" s="42" t="str">
        <f ca="1">IFERROR(__xludf.DUMMYFUNCTION("""COMPUTED_VALUE"""),"Acompañar las Ausencias")</f>
        <v>Acompañar las Ausencias</v>
      </c>
      <c r="F1341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341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341" s="42" t="str">
        <f ca="1">IFERROR(__xludf.DUMMYFUNCTION("""COMPUTED_VALUE"""),"AH DICIEMBRE")</f>
        <v>AH DICIEMBRE</v>
      </c>
      <c r="I1341" s="42" t="str">
        <f ca="1">IFERROR(__xludf.DUMMYFUNCTION("""COMPUTED_VALUE"""),"Diciembre")</f>
        <v>Diciembre</v>
      </c>
      <c r="J1341" s="42" t="str">
        <f ca="1">IFERROR(__xludf.DUMMYFUNCTION("""COMPUTED_VALUE"""),"AH")</f>
        <v>AH</v>
      </c>
      <c r="K1341" s="98"/>
      <c r="L1341" s="42" t="str">
        <f ca="1">IFERROR(__xludf.DUMMYFUNCTION("""COMPUTED_VALUE"""),"TRIMESTRE 4")</f>
        <v>TRIMESTRE 4</v>
      </c>
      <c r="M1341" s="42" t="str">
        <f ca="1">IFERROR(__xludf.DUMMYFUNCTION("""COMPUTED_VALUE"""),"ADOLESCENTES HOMBRES")</f>
        <v>ADOLESCENTES HOMBRES</v>
      </c>
    </row>
    <row r="1342" spans="1:13">
      <c r="A1342" s="42" t="str">
        <f ca="1">IFERROR(__xludf.DUMMYFUNCTION("""COMPUTED_VALUE"""),"2.1.4.2")</f>
        <v>2.1.4.2</v>
      </c>
      <c r="B1342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342" s="42" t="str">
        <f ca="1">IFERROR(__xludf.DUMMYFUNCTION("""COMPUTED_VALUE"""),"4. Programas")</f>
        <v>4. Programas</v>
      </c>
      <c r="D1342" s="42" t="str">
        <f ca="1">IFERROR(__xludf.DUMMYFUNCTION("""COMPUTED_VALUE"""),"Guadalajara en Paz")</f>
        <v>Guadalajara en Paz</v>
      </c>
      <c r="E1342" s="42" t="str">
        <f ca="1">IFERROR(__xludf.DUMMYFUNCTION("""COMPUTED_VALUE"""),"Acompañar las Ausencias")</f>
        <v>Acompañar las Ausencias</v>
      </c>
      <c r="F1342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342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342" s="42" t="str">
        <f ca="1">IFERROR(__xludf.DUMMYFUNCTION("""COMPUTED_VALUE"""),"MUJ Diciembre")</f>
        <v>MUJ Diciembre</v>
      </c>
      <c r="I1342" s="42" t="str">
        <f ca="1">IFERROR(__xludf.DUMMYFUNCTION("""COMPUTED_VALUE"""),"Diciembre")</f>
        <v>Diciembre</v>
      </c>
      <c r="J1342" s="42" t="str">
        <f ca="1">IFERROR(__xludf.DUMMYFUNCTION("""COMPUTED_VALUE"""),"MUJ")</f>
        <v>MUJ</v>
      </c>
      <c r="K1342" s="98"/>
      <c r="L1342" s="42" t="str">
        <f ca="1">IFERROR(__xludf.DUMMYFUNCTION("""COMPUTED_VALUE"""),"TRIMESTRE 4")</f>
        <v>TRIMESTRE 4</v>
      </c>
      <c r="M1342" s="42" t="str">
        <f ca="1">IFERROR(__xludf.DUMMYFUNCTION("""COMPUTED_VALUE"""),"MUJERES ADULTAS")</f>
        <v>MUJERES ADULTAS</v>
      </c>
    </row>
    <row r="1343" spans="1:13">
      <c r="A1343" s="42" t="str">
        <f ca="1">IFERROR(__xludf.DUMMYFUNCTION("""COMPUTED_VALUE"""),"2.1.4.2")</f>
        <v>2.1.4.2</v>
      </c>
      <c r="B1343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343" s="42" t="str">
        <f ca="1">IFERROR(__xludf.DUMMYFUNCTION("""COMPUTED_VALUE"""),"4. Programas")</f>
        <v>4. Programas</v>
      </c>
      <c r="D1343" s="42" t="str">
        <f ca="1">IFERROR(__xludf.DUMMYFUNCTION("""COMPUTED_VALUE"""),"Guadalajara en Paz")</f>
        <v>Guadalajara en Paz</v>
      </c>
      <c r="E1343" s="42" t="str">
        <f ca="1">IFERROR(__xludf.DUMMYFUNCTION("""COMPUTED_VALUE"""),"Acompañar las Ausencias")</f>
        <v>Acompañar las Ausencias</v>
      </c>
      <c r="F1343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343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343" s="42" t="str">
        <f ca="1">IFERROR(__xludf.DUMMYFUNCTION("""COMPUTED_VALUE"""),"HOM Diciembre")</f>
        <v>HOM Diciembre</v>
      </c>
      <c r="I1343" s="42" t="str">
        <f ca="1">IFERROR(__xludf.DUMMYFUNCTION("""COMPUTED_VALUE"""),"Diciembre")</f>
        <v>Diciembre</v>
      </c>
      <c r="J1343" s="42" t="str">
        <f ca="1">IFERROR(__xludf.DUMMYFUNCTION("""COMPUTED_VALUE"""),"HOM")</f>
        <v>HOM</v>
      </c>
      <c r="K1343" s="98"/>
      <c r="L1343" s="42" t="str">
        <f ca="1">IFERROR(__xludf.DUMMYFUNCTION("""COMPUTED_VALUE"""),"TRIMESTRE 4")</f>
        <v>TRIMESTRE 4</v>
      </c>
      <c r="M1343" s="42" t="str">
        <f ca="1">IFERROR(__xludf.DUMMYFUNCTION("""COMPUTED_VALUE"""),"HOMBRES ADULTOS")</f>
        <v>HOMBRES ADULTOS</v>
      </c>
    </row>
    <row r="1344" spans="1:13">
      <c r="A1344" s="42" t="str">
        <f ca="1">IFERROR(__xludf.DUMMYFUNCTION("""COMPUTED_VALUE"""),"2.1.4.2")</f>
        <v>2.1.4.2</v>
      </c>
      <c r="B1344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344" s="42" t="str">
        <f ca="1">IFERROR(__xludf.DUMMYFUNCTION("""COMPUTED_VALUE"""),"4. Programas")</f>
        <v>4. Programas</v>
      </c>
      <c r="D1344" s="42" t="str">
        <f ca="1">IFERROR(__xludf.DUMMYFUNCTION("""COMPUTED_VALUE"""),"Guadalajara en Paz")</f>
        <v>Guadalajara en Paz</v>
      </c>
      <c r="E1344" s="42" t="str">
        <f ca="1">IFERROR(__xludf.DUMMYFUNCTION("""COMPUTED_VALUE"""),"Acompañar las Ausencias")</f>
        <v>Acompañar las Ausencias</v>
      </c>
      <c r="F1344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344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344" s="42" t="str">
        <f ca="1">IFERROR(__xludf.DUMMYFUNCTION("""COMPUTED_VALUE"""),"AMM Diciembre")</f>
        <v>AMM Diciembre</v>
      </c>
      <c r="I1344" s="42" t="str">
        <f ca="1">IFERROR(__xludf.DUMMYFUNCTION("""COMPUTED_VALUE"""),"Diciembre")</f>
        <v>Diciembre</v>
      </c>
      <c r="J1344" s="42" t="str">
        <f ca="1">IFERROR(__xludf.DUMMYFUNCTION("""COMPUTED_VALUE"""),"AMM")</f>
        <v>AMM</v>
      </c>
      <c r="K1344" s="98"/>
      <c r="L1344" s="42" t="str">
        <f ca="1">IFERROR(__xludf.DUMMYFUNCTION("""COMPUTED_VALUE"""),"TRIMESTRE 4")</f>
        <v>TRIMESTRE 4</v>
      </c>
      <c r="M1344" s="42" t="str">
        <f ca="1">IFERROR(__xludf.DUMMYFUNCTION("""COMPUTED_VALUE"""),"ADULTA MAYOR MUJER")</f>
        <v>ADULTA MAYOR MUJER</v>
      </c>
    </row>
    <row r="1345" spans="1:13">
      <c r="A1345" s="42" t="str">
        <f ca="1">IFERROR(__xludf.DUMMYFUNCTION("""COMPUTED_VALUE"""),"2.1.4.2")</f>
        <v>2.1.4.2</v>
      </c>
      <c r="B1345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345" s="42" t="str">
        <f ca="1">IFERROR(__xludf.DUMMYFUNCTION("""COMPUTED_VALUE"""),"4. Programas")</f>
        <v>4. Programas</v>
      </c>
      <c r="D1345" s="42" t="str">
        <f ca="1">IFERROR(__xludf.DUMMYFUNCTION("""COMPUTED_VALUE"""),"Guadalajara en Paz")</f>
        <v>Guadalajara en Paz</v>
      </c>
      <c r="E1345" s="42" t="str">
        <f ca="1">IFERROR(__xludf.DUMMYFUNCTION("""COMPUTED_VALUE"""),"Acompañar las Ausencias")</f>
        <v>Acompañar las Ausencias</v>
      </c>
      <c r="F1345" s="42" t="str">
        <f ca="1">IFERROR(__xludf.DUMMYFUNCTION("""COMPUTED_VALUE"""),"A2C4. Atenciones brindadas a familiares de personas desaparcidas en sesiones grupales del programa de Acompañar las Ausencias")</f>
        <v>A2C4. Atenciones brindadas a familiares de personas desaparcidas en sesiones grupales del programa de Acompañar las Ausencias</v>
      </c>
      <c r="G1345" s="42" t="str">
        <f ca="1">IFERROR(__xludf.DUMMYFUNCTION("""COMPUTED_VALUE"""),"Porcentaje de la población objetivo del Programa Acompañar las Ausencias que ha asistido a las sesiones grupales de acompañamiento, en 2023")</f>
        <v>Porcentaje de la población objetivo del Programa Acompañar las Ausencias que ha asistido a las sesiones grupales de acompañamiento, en 2023</v>
      </c>
      <c r="H1345" s="42" t="str">
        <f ca="1">IFERROR(__xludf.DUMMYFUNCTION("""COMPUTED_VALUE"""),"AMH Diciembre")</f>
        <v>AMH Diciembre</v>
      </c>
      <c r="I1345" s="42" t="str">
        <f ca="1">IFERROR(__xludf.DUMMYFUNCTION("""COMPUTED_VALUE"""),"Diciembre")</f>
        <v>Diciembre</v>
      </c>
      <c r="J1345" s="42" t="str">
        <f ca="1">IFERROR(__xludf.DUMMYFUNCTION("""COMPUTED_VALUE"""),"AMH")</f>
        <v>AMH</v>
      </c>
      <c r="K1345" s="98"/>
      <c r="L1345" s="42" t="str">
        <f ca="1">IFERROR(__xludf.DUMMYFUNCTION("""COMPUTED_VALUE"""),"TRIMESTRE 4")</f>
        <v>TRIMESTRE 4</v>
      </c>
      <c r="M1345" s="42" t="str">
        <f ca="1">IFERROR(__xludf.DUMMYFUNCTION("""COMPUTED_VALUE"""),"ADULTO MAYOR HOMBRE")</f>
        <v>ADULTO MAYOR HOMBRE</v>
      </c>
    </row>
    <row r="1346" spans="1:13">
      <c r="A1346" s="42" t="str">
        <f ca="1">IFERROR(__xludf.DUMMYFUNCTION("""COMPUTED_VALUE"""),"2.1.1.11")</f>
        <v>2.1.1.11</v>
      </c>
      <c r="B1346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46" s="42" t="str">
        <f ca="1">IFERROR(__xludf.DUMMYFUNCTION("""COMPUTED_VALUE"""),"3. Operación")</f>
        <v>3. Operación</v>
      </c>
      <c r="D1346" s="42" t="str">
        <f ca="1">IFERROR(__xludf.DUMMYFUNCTION("""COMPUTED_VALUE"""),"Guadalajara en Paz")</f>
        <v>Guadalajara en Paz</v>
      </c>
      <c r="E1346" s="42" t="str">
        <f ca="1">IFERROR(__xludf.DUMMYFUNCTION("""COMPUTED_VALUE"""),"Atención en Laboratorio Clínico")</f>
        <v>Atención en Laboratorio Clínico</v>
      </c>
      <c r="F1346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46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46" s="42" t="str">
        <f ca="1">IFERROR(__xludf.DUMMYFUNCTION("""COMPUTED_VALUE"""),"NAS enero")</f>
        <v>NAS enero</v>
      </c>
      <c r="I1346" s="42" t="str">
        <f ca="1">IFERROR(__xludf.DUMMYFUNCTION("""COMPUTED_VALUE"""),"Enero")</f>
        <v>Enero</v>
      </c>
      <c r="J1346" s="42" t="str">
        <f ca="1">IFERROR(__xludf.DUMMYFUNCTION("""COMPUTED_VALUE"""),"NAS")</f>
        <v>NAS</v>
      </c>
      <c r="K1346" s="98">
        <f ca="1">IFERROR(__xludf.DUMMYFUNCTION("""COMPUTED_VALUE"""),41)</f>
        <v>41</v>
      </c>
      <c r="L1346" s="42" t="str">
        <f ca="1">IFERROR(__xludf.DUMMYFUNCTION("""COMPUTED_VALUE"""),"TRIMESTRE 1")</f>
        <v>TRIMESTRE 1</v>
      </c>
      <c r="M1346" s="42" t="str">
        <f ca="1">IFERROR(__xludf.DUMMYFUNCTION("""COMPUTED_VALUE"""),"NIÑAS")</f>
        <v>NIÑAS</v>
      </c>
    </row>
    <row r="1347" spans="1:13">
      <c r="A1347" s="42" t="str">
        <f ca="1">IFERROR(__xludf.DUMMYFUNCTION("""COMPUTED_VALUE"""),"2.1.1.11")</f>
        <v>2.1.1.11</v>
      </c>
      <c r="B1347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47" s="42" t="str">
        <f ca="1">IFERROR(__xludf.DUMMYFUNCTION("""COMPUTED_VALUE"""),"3. Operación")</f>
        <v>3. Operación</v>
      </c>
      <c r="D1347" s="42" t="str">
        <f ca="1">IFERROR(__xludf.DUMMYFUNCTION("""COMPUTED_VALUE"""),"Guadalajara en Paz")</f>
        <v>Guadalajara en Paz</v>
      </c>
      <c r="E1347" s="42" t="str">
        <f ca="1">IFERROR(__xludf.DUMMYFUNCTION("""COMPUTED_VALUE"""),"Atención en Laboratorio Clínico")</f>
        <v>Atención en Laboratorio Clínico</v>
      </c>
      <c r="F1347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47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47" s="42" t="str">
        <f ca="1">IFERROR(__xludf.DUMMYFUNCTION("""COMPUTED_VALUE"""),"NOS enero")</f>
        <v>NOS enero</v>
      </c>
      <c r="I1347" s="42" t="str">
        <f ca="1">IFERROR(__xludf.DUMMYFUNCTION("""COMPUTED_VALUE"""),"Enero")</f>
        <v>Enero</v>
      </c>
      <c r="J1347" s="42" t="str">
        <f ca="1">IFERROR(__xludf.DUMMYFUNCTION("""COMPUTED_VALUE"""),"NOS")</f>
        <v>NOS</v>
      </c>
      <c r="K1347" s="98">
        <f ca="1">IFERROR(__xludf.DUMMYFUNCTION("""COMPUTED_VALUE"""),82)</f>
        <v>82</v>
      </c>
      <c r="L1347" s="42" t="str">
        <f ca="1">IFERROR(__xludf.DUMMYFUNCTION("""COMPUTED_VALUE"""),"TRIMESTRE 1")</f>
        <v>TRIMESTRE 1</v>
      </c>
      <c r="M1347" s="42" t="str">
        <f ca="1">IFERROR(__xludf.DUMMYFUNCTION("""COMPUTED_VALUE"""),"NIÑOS")</f>
        <v>NIÑOS</v>
      </c>
    </row>
    <row r="1348" spans="1:13">
      <c r="A1348" s="42" t="str">
        <f ca="1">IFERROR(__xludf.DUMMYFUNCTION("""COMPUTED_VALUE"""),"2.1.1.11")</f>
        <v>2.1.1.11</v>
      </c>
      <c r="B1348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48" s="42" t="str">
        <f ca="1">IFERROR(__xludf.DUMMYFUNCTION("""COMPUTED_VALUE"""),"3. Operación")</f>
        <v>3. Operación</v>
      </c>
      <c r="D1348" s="42" t="str">
        <f ca="1">IFERROR(__xludf.DUMMYFUNCTION("""COMPUTED_VALUE"""),"Guadalajara en Paz")</f>
        <v>Guadalajara en Paz</v>
      </c>
      <c r="E1348" s="42" t="str">
        <f ca="1">IFERROR(__xludf.DUMMYFUNCTION("""COMPUTED_VALUE"""),"Atención en Laboratorio Clínico")</f>
        <v>Atención en Laboratorio Clínico</v>
      </c>
      <c r="F1348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48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48" s="42" t="str">
        <f ca="1">IFERROR(__xludf.DUMMYFUNCTION("""COMPUTED_VALUE"""),"AM enero")</f>
        <v>AM enero</v>
      </c>
      <c r="I1348" s="42" t="str">
        <f ca="1">IFERROR(__xludf.DUMMYFUNCTION("""COMPUTED_VALUE"""),"Enero")</f>
        <v>Enero</v>
      </c>
      <c r="J1348" s="42" t="str">
        <f ca="1">IFERROR(__xludf.DUMMYFUNCTION("""COMPUTED_VALUE"""),"AM")</f>
        <v>AM</v>
      </c>
      <c r="K1348" s="98">
        <f ca="1">IFERROR(__xludf.DUMMYFUNCTION("""COMPUTED_VALUE"""),52)</f>
        <v>52</v>
      </c>
      <c r="L1348" s="42" t="str">
        <f ca="1">IFERROR(__xludf.DUMMYFUNCTION("""COMPUTED_VALUE"""),"TRIMESTRE 1")</f>
        <v>TRIMESTRE 1</v>
      </c>
      <c r="M1348" s="42" t="str">
        <f ca="1">IFERROR(__xludf.DUMMYFUNCTION("""COMPUTED_VALUE"""),"ADOLESCENTES MUJERES")</f>
        <v>ADOLESCENTES MUJERES</v>
      </c>
    </row>
    <row r="1349" spans="1:13">
      <c r="A1349" s="42" t="str">
        <f ca="1">IFERROR(__xludf.DUMMYFUNCTION("""COMPUTED_VALUE"""),"2.1.1.11")</f>
        <v>2.1.1.11</v>
      </c>
      <c r="B1349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49" s="42" t="str">
        <f ca="1">IFERROR(__xludf.DUMMYFUNCTION("""COMPUTED_VALUE"""),"3. Operación")</f>
        <v>3. Operación</v>
      </c>
      <c r="D1349" s="42" t="str">
        <f ca="1">IFERROR(__xludf.DUMMYFUNCTION("""COMPUTED_VALUE"""),"Guadalajara en Paz")</f>
        <v>Guadalajara en Paz</v>
      </c>
      <c r="E1349" s="42" t="str">
        <f ca="1">IFERROR(__xludf.DUMMYFUNCTION("""COMPUTED_VALUE"""),"Atención en Laboratorio Clínico")</f>
        <v>Atención en Laboratorio Clínico</v>
      </c>
      <c r="F1349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49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49" s="42" t="str">
        <f ca="1">IFERROR(__xludf.DUMMYFUNCTION("""COMPUTED_VALUE"""),"AH enero")</f>
        <v>AH enero</v>
      </c>
      <c r="I1349" s="42" t="str">
        <f ca="1">IFERROR(__xludf.DUMMYFUNCTION("""COMPUTED_VALUE"""),"Enero")</f>
        <v>Enero</v>
      </c>
      <c r="J1349" s="42" t="str">
        <f ca="1">IFERROR(__xludf.DUMMYFUNCTION("""COMPUTED_VALUE"""),"AH")</f>
        <v>AH</v>
      </c>
      <c r="K1349" s="98">
        <f ca="1">IFERROR(__xludf.DUMMYFUNCTION("""COMPUTED_VALUE"""),4)</f>
        <v>4</v>
      </c>
      <c r="L1349" s="42" t="str">
        <f ca="1">IFERROR(__xludf.DUMMYFUNCTION("""COMPUTED_VALUE"""),"TRIMESTRE 1")</f>
        <v>TRIMESTRE 1</v>
      </c>
      <c r="M1349" s="42" t="str">
        <f ca="1">IFERROR(__xludf.DUMMYFUNCTION("""COMPUTED_VALUE"""),"ADOLESCENTES HOMBRES")</f>
        <v>ADOLESCENTES HOMBRES</v>
      </c>
    </row>
    <row r="1350" spans="1:13">
      <c r="A1350" s="42" t="str">
        <f ca="1">IFERROR(__xludf.DUMMYFUNCTION("""COMPUTED_VALUE"""),"2.1.1.11")</f>
        <v>2.1.1.11</v>
      </c>
      <c r="B1350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50" s="42" t="str">
        <f ca="1">IFERROR(__xludf.DUMMYFUNCTION("""COMPUTED_VALUE"""),"3. Operación")</f>
        <v>3. Operación</v>
      </c>
      <c r="D1350" s="42" t="str">
        <f ca="1">IFERROR(__xludf.DUMMYFUNCTION("""COMPUTED_VALUE"""),"Guadalajara en Paz")</f>
        <v>Guadalajara en Paz</v>
      </c>
      <c r="E1350" s="42" t="str">
        <f ca="1">IFERROR(__xludf.DUMMYFUNCTION("""COMPUTED_VALUE"""),"Atención en Laboratorio Clínico")</f>
        <v>Atención en Laboratorio Clínico</v>
      </c>
      <c r="F1350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50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50" s="42" t="str">
        <f ca="1">IFERROR(__xludf.DUMMYFUNCTION("""COMPUTED_VALUE"""),"MUJ enero")</f>
        <v>MUJ enero</v>
      </c>
      <c r="I1350" s="42" t="str">
        <f ca="1">IFERROR(__xludf.DUMMYFUNCTION("""COMPUTED_VALUE"""),"Enero")</f>
        <v>Enero</v>
      </c>
      <c r="J1350" s="42" t="str">
        <f ca="1">IFERROR(__xludf.DUMMYFUNCTION("""COMPUTED_VALUE"""),"MUJ")</f>
        <v>MUJ</v>
      </c>
      <c r="K1350" s="98">
        <f ca="1">IFERROR(__xludf.DUMMYFUNCTION("""COMPUTED_VALUE"""),529)</f>
        <v>529</v>
      </c>
      <c r="L1350" s="42" t="str">
        <f ca="1">IFERROR(__xludf.DUMMYFUNCTION("""COMPUTED_VALUE"""),"TRIMESTRE 1")</f>
        <v>TRIMESTRE 1</v>
      </c>
      <c r="M1350" s="42" t="str">
        <f ca="1">IFERROR(__xludf.DUMMYFUNCTION("""COMPUTED_VALUE"""),"MUJERES ADULTAS")</f>
        <v>MUJERES ADULTAS</v>
      </c>
    </row>
    <row r="1351" spans="1:13">
      <c r="A1351" s="42" t="str">
        <f ca="1">IFERROR(__xludf.DUMMYFUNCTION("""COMPUTED_VALUE"""),"2.1.1.11")</f>
        <v>2.1.1.11</v>
      </c>
      <c r="B1351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51" s="42" t="str">
        <f ca="1">IFERROR(__xludf.DUMMYFUNCTION("""COMPUTED_VALUE"""),"3. Operación")</f>
        <v>3. Operación</v>
      </c>
      <c r="D1351" s="42" t="str">
        <f ca="1">IFERROR(__xludf.DUMMYFUNCTION("""COMPUTED_VALUE"""),"Guadalajara en Paz")</f>
        <v>Guadalajara en Paz</v>
      </c>
      <c r="E1351" s="42" t="str">
        <f ca="1">IFERROR(__xludf.DUMMYFUNCTION("""COMPUTED_VALUE"""),"Atención en Laboratorio Clínico")</f>
        <v>Atención en Laboratorio Clínico</v>
      </c>
      <c r="F1351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51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51" s="42" t="str">
        <f ca="1">IFERROR(__xludf.DUMMYFUNCTION("""COMPUTED_VALUE"""),"HOM enero")</f>
        <v>HOM enero</v>
      </c>
      <c r="I1351" s="42" t="str">
        <f ca="1">IFERROR(__xludf.DUMMYFUNCTION("""COMPUTED_VALUE"""),"Enero")</f>
        <v>Enero</v>
      </c>
      <c r="J1351" s="42" t="str">
        <f ca="1">IFERROR(__xludf.DUMMYFUNCTION("""COMPUTED_VALUE"""),"HOM")</f>
        <v>HOM</v>
      </c>
      <c r="K1351" s="98">
        <f ca="1">IFERROR(__xludf.DUMMYFUNCTION("""COMPUTED_VALUE"""),373)</f>
        <v>373</v>
      </c>
      <c r="L1351" s="42" t="str">
        <f ca="1">IFERROR(__xludf.DUMMYFUNCTION("""COMPUTED_VALUE"""),"TRIMESTRE 1")</f>
        <v>TRIMESTRE 1</v>
      </c>
      <c r="M1351" s="42" t="str">
        <f ca="1">IFERROR(__xludf.DUMMYFUNCTION("""COMPUTED_VALUE"""),"HOMBRES ADULTOS")</f>
        <v>HOMBRES ADULTOS</v>
      </c>
    </row>
    <row r="1352" spans="1:13">
      <c r="A1352" s="42" t="str">
        <f ca="1">IFERROR(__xludf.DUMMYFUNCTION("""COMPUTED_VALUE"""),"2.1.1.11")</f>
        <v>2.1.1.11</v>
      </c>
      <c r="B1352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52" s="42" t="str">
        <f ca="1">IFERROR(__xludf.DUMMYFUNCTION("""COMPUTED_VALUE"""),"3. Operación")</f>
        <v>3. Operación</v>
      </c>
      <c r="D1352" s="42" t="str">
        <f ca="1">IFERROR(__xludf.DUMMYFUNCTION("""COMPUTED_VALUE"""),"Guadalajara en Paz")</f>
        <v>Guadalajara en Paz</v>
      </c>
      <c r="E1352" s="42" t="str">
        <f ca="1">IFERROR(__xludf.DUMMYFUNCTION("""COMPUTED_VALUE"""),"Atención en Laboratorio Clínico")</f>
        <v>Atención en Laboratorio Clínico</v>
      </c>
      <c r="F1352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52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52" s="42" t="str">
        <f ca="1">IFERROR(__xludf.DUMMYFUNCTION("""COMPUTED_VALUE"""),"AMM enero")</f>
        <v>AMM enero</v>
      </c>
      <c r="I1352" s="42" t="str">
        <f ca="1">IFERROR(__xludf.DUMMYFUNCTION("""COMPUTED_VALUE"""),"Enero")</f>
        <v>Enero</v>
      </c>
      <c r="J1352" s="42" t="str">
        <f ca="1">IFERROR(__xludf.DUMMYFUNCTION("""COMPUTED_VALUE"""),"AMM")</f>
        <v>AMM</v>
      </c>
      <c r="K1352" s="98">
        <f ca="1">IFERROR(__xludf.DUMMYFUNCTION("""COMPUTED_VALUE"""),243)</f>
        <v>243</v>
      </c>
      <c r="L1352" s="42" t="str">
        <f ca="1">IFERROR(__xludf.DUMMYFUNCTION("""COMPUTED_VALUE"""),"TRIMESTRE 1")</f>
        <v>TRIMESTRE 1</v>
      </c>
      <c r="M1352" s="42" t="str">
        <f ca="1">IFERROR(__xludf.DUMMYFUNCTION("""COMPUTED_VALUE"""),"ADULTA MAYOR MUJER")</f>
        <v>ADULTA MAYOR MUJER</v>
      </c>
    </row>
    <row r="1353" spans="1:13">
      <c r="A1353" s="42" t="str">
        <f ca="1">IFERROR(__xludf.DUMMYFUNCTION("""COMPUTED_VALUE"""),"2.1.1.11")</f>
        <v>2.1.1.11</v>
      </c>
      <c r="B1353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53" s="42" t="str">
        <f ca="1">IFERROR(__xludf.DUMMYFUNCTION("""COMPUTED_VALUE"""),"3. Operación")</f>
        <v>3. Operación</v>
      </c>
      <c r="D1353" s="42" t="str">
        <f ca="1">IFERROR(__xludf.DUMMYFUNCTION("""COMPUTED_VALUE"""),"Guadalajara en Paz")</f>
        <v>Guadalajara en Paz</v>
      </c>
      <c r="E1353" s="42" t="str">
        <f ca="1">IFERROR(__xludf.DUMMYFUNCTION("""COMPUTED_VALUE"""),"Atención en Laboratorio Clínico")</f>
        <v>Atención en Laboratorio Clínico</v>
      </c>
      <c r="F1353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53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53" s="42" t="str">
        <f ca="1">IFERROR(__xludf.DUMMYFUNCTION("""COMPUTED_VALUE"""),"AMH enero")</f>
        <v>AMH enero</v>
      </c>
      <c r="I1353" s="42" t="str">
        <f ca="1">IFERROR(__xludf.DUMMYFUNCTION("""COMPUTED_VALUE"""),"Enero")</f>
        <v>Enero</v>
      </c>
      <c r="J1353" s="42" t="str">
        <f ca="1">IFERROR(__xludf.DUMMYFUNCTION("""COMPUTED_VALUE"""),"AMH")</f>
        <v>AMH</v>
      </c>
      <c r="K1353" s="98">
        <f ca="1">IFERROR(__xludf.DUMMYFUNCTION("""COMPUTED_VALUE"""),203)</f>
        <v>203</v>
      </c>
      <c r="L1353" s="42" t="str">
        <f ca="1">IFERROR(__xludf.DUMMYFUNCTION("""COMPUTED_VALUE"""),"TRIMESTRE 1")</f>
        <v>TRIMESTRE 1</v>
      </c>
      <c r="M1353" s="42" t="str">
        <f ca="1">IFERROR(__xludf.DUMMYFUNCTION("""COMPUTED_VALUE"""),"ADULTO MAYOR HOMBRE")</f>
        <v>ADULTO MAYOR HOMBRE</v>
      </c>
    </row>
    <row r="1354" spans="1:13">
      <c r="A1354" s="42" t="str">
        <f ca="1">IFERROR(__xludf.DUMMYFUNCTION("""COMPUTED_VALUE"""),"2.1.1.11")</f>
        <v>2.1.1.11</v>
      </c>
      <c r="B1354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54" s="42" t="str">
        <f ca="1">IFERROR(__xludf.DUMMYFUNCTION("""COMPUTED_VALUE"""),"3. Operación")</f>
        <v>3. Operación</v>
      </c>
      <c r="D1354" s="42" t="str">
        <f ca="1">IFERROR(__xludf.DUMMYFUNCTION("""COMPUTED_VALUE"""),"Guadalajara en Paz")</f>
        <v>Guadalajara en Paz</v>
      </c>
      <c r="E1354" s="42" t="str">
        <f ca="1">IFERROR(__xludf.DUMMYFUNCTION("""COMPUTED_VALUE"""),"Atención en Laboratorio Clínico")</f>
        <v>Atención en Laboratorio Clínico</v>
      </c>
      <c r="F1354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54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54" s="42" t="str">
        <f ca="1">IFERROR(__xludf.DUMMYFUNCTION("""COMPUTED_VALUE"""),"NAS FEBRERO")</f>
        <v>NAS FEBRERO</v>
      </c>
      <c r="I1354" s="42" t="str">
        <f ca="1">IFERROR(__xludf.DUMMYFUNCTION("""COMPUTED_VALUE"""),"Febrero")</f>
        <v>Febrero</v>
      </c>
      <c r="J1354" s="42" t="str">
        <f ca="1">IFERROR(__xludf.DUMMYFUNCTION("""COMPUTED_VALUE"""),"NAS")</f>
        <v>NAS</v>
      </c>
      <c r="K1354" s="98">
        <f ca="1">IFERROR(__xludf.DUMMYFUNCTION("""COMPUTED_VALUE"""),984)</f>
        <v>984</v>
      </c>
      <c r="L1354" s="42" t="str">
        <f ca="1">IFERROR(__xludf.DUMMYFUNCTION("""COMPUTED_VALUE"""),"TRIMESTRE 1")</f>
        <v>TRIMESTRE 1</v>
      </c>
      <c r="M1354" s="42" t="str">
        <f ca="1">IFERROR(__xludf.DUMMYFUNCTION("""COMPUTED_VALUE"""),"NIÑAS")</f>
        <v>NIÑAS</v>
      </c>
    </row>
    <row r="1355" spans="1:13">
      <c r="A1355" s="42" t="str">
        <f ca="1">IFERROR(__xludf.DUMMYFUNCTION("""COMPUTED_VALUE"""),"2.1.1.11")</f>
        <v>2.1.1.11</v>
      </c>
      <c r="B1355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55" s="42" t="str">
        <f ca="1">IFERROR(__xludf.DUMMYFUNCTION("""COMPUTED_VALUE"""),"3. Operación")</f>
        <v>3. Operación</v>
      </c>
      <c r="D1355" s="42" t="str">
        <f ca="1">IFERROR(__xludf.DUMMYFUNCTION("""COMPUTED_VALUE"""),"Guadalajara en Paz")</f>
        <v>Guadalajara en Paz</v>
      </c>
      <c r="E1355" s="42" t="str">
        <f ca="1">IFERROR(__xludf.DUMMYFUNCTION("""COMPUTED_VALUE"""),"Atención en Laboratorio Clínico")</f>
        <v>Atención en Laboratorio Clínico</v>
      </c>
      <c r="F1355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55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55" s="42" t="str">
        <f ca="1">IFERROR(__xludf.DUMMYFUNCTION("""COMPUTED_VALUE"""),"NOS FEBRERO")</f>
        <v>NOS FEBRERO</v>
      </c>
      <c r="I1355" s="42" t="str">
        <f ca="1">IFERROR(__xludf.DUMMYFUNCTION("""COMPUTED_VALUE"""),"Febrero")</f>
        <v>Febrero</v>
      </c>
      <c r="J1355" s="42" t="str">
        <f ca="1">IFERROR(__xludf.DUMMYFUNCTION("""COMPUTED_VALUE"""),"NOS")</f>
        <v>NOS</v>
      </c>
      <c r="K1355" s="98">
        <f ca="1">IFERROR(__xludf.DUMMYFUNCTION("""COMPUTED_VALUE"""),1294)</f>
        <v>1294</v>
      </c>
      <c r="L1355" s="42" t="str">
        <f ca="1">IFERROR(__xludf.DUMMYFUNCTION("""COMPUTED_VALUE"""),"TRIMESTRE 1")</f>
        <v>TRIMESTRE 1</v>
      </c>
      <c r="M1355" s="42" t="str">
        <f ca="1">IFERROR(__xludf.DUMMYFUNCTION("""COMPUTED_VALUE"""),"NIÑOS")</f>
        <v>NIÑOS</v>
      </c>
    </row>
    <row r="1356" spans="1:13">
      <c r="A1356" s="42" t="str">
        <f ca="1">IFERROR(__xludf.DUMMYFUNCTION("""COMPUTED_VALUE"""),"2.1.1.11")</f>
        <v>2.1.1.11</v>
      </c>
      <c r="B1356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56" s="42" t="str">
        <f ca="1">IFERROR(__xludf.DUMMYFUNCTION("""COMPUTED_VALUE"""),"3. Operación")</f>
        <v>3. Operación</v>
      </c>
      <c r="D1356" s="42" t="str">
        <f ca="1">IFERROR(__xludf.DUMMYFUNCTION("""COMPUTED_VALUE"""),"Guadalajara en Paz")</f>
        <v>Guadalajara en Paz</v>
      </c>
      <c r="E1356" s="42" t="str">
        <f ca="1">IFERROR(__xludf.DUMMYFUNCTION("""COMPUTED_VALUE"""),"Atención en Laboratorio Clínico")</f>
        <v>Atención en Laboratorio Clínico</v>
      </c>
      <c r="F1356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56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56" s="42" t="str">
        <f ca="1">IFERROR(__xludf.DUMMYFUNCTION("""COMPUTED_VALUE"""),"AM FEBRERO")</f>
        <v>AM FEBRERO</v>
      </c>
      <c r="I1356" s="42" t="str">
        <f ca="1">IFERROR(__xludf.DUMMYFUNCTION("""COMPUTED_VALUE"""),"Febrero")</f>
        <v>Febrero</v>
      </c>
      <c r="J1356" s="42" t="str">
        <f ca="1">IFERROR(__xludf.DUMMYFUNCTION("""COMPUTED_VALUE"""),"AM")</f>
        <v>AM</v>
      </c>
      <c r="K1356" s="98">
        <f ca="1">IFERROR(__xludf.DUMMYFUNCTION("""COMPUTED_VALUE"""),224)</f>
        <v>224</v>
      </c>
      <c r="L1356" s="42" t="str">
        <f ca="1">IFERROR(__xludf.DUMMYFUNCTION("""COMPUTED_VALUE"""),"TRIMESTRE 1")</f>
        <v>TRIMESTRE 1</v>
      </c>
      <c r="M1356" s="42" t="str">
        <f ca="1">IFERROR(__xludf.DUMMYFUNCTION("""COMPUTED_VALUE"""),"ADOLESCENTES MUJERES")</f>
        <v>ADOLESCENTES MUJERES</v>
      </c>
    </row>
    <row r="1357" spans="1:13">
      <c r="A1357" s="42" t="str">
        <f ca="1">IFERROR(__xludf.DUMMYFUNCTION("""COMPUTED_VALUE"""),"2.1.1.11")</f>
        <v>2.1.1.11</v>
      </c>
      <c r="B1357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57" s="42" t="str">
        <f ca="1">IFERROR(__xludf.DUMMYFUNCTION("""COMPUTED_VALUE"""),"3. Operación")</f>
        <v>3. Operación</v>
      </c>
      <c r="D1357" s="42" t="str">
        <f ca="1">IFERROR(__xludf.DUMMYFUNCTION("""COMPUTED_VALUE"""),"Guadalajara en Paz")</f>
        <v>Guadalajara en Paz</v>
      </c>
      <c r="E1357" s="42" t="str">
        <f ca="1">IFERROR(__xludf.DUMMYFUNCTION("""COMPUTED_VALUE"""),"Atención en Laboratorio Clínico")</f>
        <v>Atención en Laboratorio Clínico</v>
      </c>
      <c r="F1357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57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57" s="42" t="str">
        <f ca="1">IFERROR(__xludf.DUMMYFUNCTION("""COMPUTED_VALUE"""),"AH FEBRERO")</f>
        <v>AH FEBRERO</v>
      </c>
      <c r="I1357" s="42" t="str">
        <f ca="1">IFERROR(__xludf.DUMMYFUNCTION("""COMPUTED_VALUE"""),"Febrero")</f>
        <v>Febrero</v>
      </c>
      <c r="J1357" s="42" t="str">
        <f ca="1">IFERROR(__xludf.DUMMYFUNCTION("""COMPUTED_VALUE"""),"AH")</f>
        <v>AH</v>
      </c>
      <c r="K1357" s="98">
        <f ca="1">IFERROR(__xludf.DUMMYFUNCTION("""COMPUTED_VALUE"""),209)</f>
        <v>209</v>
      </c>
      <c r="L1357" s="42" t="str">
        <f ca="1">IFERROR(__xludf.DUMMYFUNCTION("""COMPUTED_VALUE"""),"TRIMESTRE 1")</f>
        <v>TRIMESTRE 1</v>
      </c>
      <c r="M1357" s="42" t="str">
        <f ca="1">IFERROR(__xludf.DUMMYFUNCTION("""COMPUTED_VALUE"""),"ADOLESCENTES HOMBRES")</f>
        <v>ADOLESCENTES HOMBRES</v>
      </c>
    </row>
    <row r="1358" spans="1:13">
      <c r="A1358" s="42" t="str">
        <f ca="1">IFERROR(__xludf.DUMMYFUNCTION("""COMPUTED_VALUE"""),"2.1.1.11")</f>
        <v>2.1.1.11</v>
      </c>
      <c r="B1358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58" s="42" t="str">
        <f ca="1">IFERROR(__xludf.DUMMYFUNCTION("""COMPUTED_VALUE"""),"3. Operación")</f>
        <v>3. Operación</v>
      </c>
      <c r="D1358" s="42" t="str">
        <f ca="1">IFERROR(__xludf.DUMMYFUNCTION("""COMPUTED_VALUE"""),"Guadalajara en Paz")</f>
        <v>Guadalajara en Paz</v>
      </c>
      <c r="E1358" s="42" t="str">
        <f ca="1">IFERROR(__xludf.DUMMYFUNCTION("""COMPUTED_VALUE"""),"Atención en Laboratorio Clínico")</f>
        <v>Atención en Laboratorio Clínico</v>
      </c>
      <c r="F1358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58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58" s="42" t="str">
        <f ca="1">IFERROR(__xludf.DUMMYFUNCTION("""COMPUTED_VALUE"""),"MUJ FEBRERO")</f>
        <v>MUJ FEBRERO</v>
      </c>
      <c r="I1358" s="42" t="str">
        <f ca="1">IFERROR(__xludf.DUMMYFUNCTION("""COMPUTED_VALUE"""),"Febrero")</f>
        <v>Febrero</v>
      </c>
      <c r="J1358" s="42" t="str">
        <f ca="1">IFERROR(__xludf.DUMMYFUNCTION("""COMPUTED_VALUE"""),"MUJ")</f>
        <v>MUJ</v>
      </c>
      <c r="K1358" s="98">
        <f ca="1">IFERROR(__xludf.DUMMYFUNCTION("""COMPUTED_VALUE"""),670)</f>
        <v>670</v>
      </c>
      <c r="L1358" s="42" t="str">
        <f ca="1">IFERROR(__xludf.DUMMYFUNCTION("""COMPUTED_VALUE"""),"TRIMESTRE 1")</f>
        <v>TRIMESTRE 1</v>
      </c>
      <c r="M1358" s="42" t="str">
        <f ca="1">IFERROR(__xludf.DUMMYFUNCTION("""COMPUTED_VALUE"""),"MUJERES ADULTAS")</f>
        <v>MUJERES ADULTAS</v>
      </c>
    </row>
    <row r="1359" spans="1:13">
      <c r="A1359" s="42" t="str">
        <f ca="1">IFERROR(__xludf.DUMMYFUNCTION("""COMPUTED_VALUE"""),"2.1.1.11")</f>
        <v>2.1.1.11</v>
      </c>
      <c r="B1359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59" s="42" t="str">
        <f ca="1">IFERROR(__xludf.DUMMYFUNCTION("""COMPUTED_VALUE"""),"3. Operación")</f>
        <v>3. Operación</v>
      </c>
      <c r="D1359" s="42" t="str">
        <f ca="1">IFERROR(__xludf.DUMMYFUNCTION("""COMPUTED_VALUE"""),"Guadalajara en Paz")</f>
        <v>Guadalajara en Paz</v>
      </c>
      <c r="E1359" s="42" t="str">
        <f ca="1">IFERROR(__xludf.DUMMYFUNCTION("""COMPUTED_VALUE"""),"Atención en Laboratorio Clínico")</f>
        <v>Atención en Laboratorio Clínico</v>
      </c>
      <c r="F1359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59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59" s="42" t="str">
        <f ca="1">IFERROR(__xludf.DUMMYFUNCTION("""COMPUTED_VALUE"""),"HOM FEBRERO")</f>
        <v>HOM FEBRERO</v>
      </c>
      <c r="I1359" s="42" t="str">
        <f ca="1">IFERROR(__xludf.DUMMYFUNCTION("""COMPUTED_VALUE"""),"Febrero")</f>
        <v>Febrero</v>
      </c>
      <c r="J1359" s="42" t="str">
        <f ca="1">IFERROR(__xludf.DUMMYFUNCTION("""COMPUTED_VALUE"""),"HOM")</f>
        <v>HOM</v>
      </c>
      <c r="K1359" s="98">
        <f ca="1">IFERROR(__xludf.DUMMYFUNCTION("""COMPUTED_VALUE"""),444)</f>
        <v>444</v>
      </c>
      <c r="L1359" s="42" t="str">
        <f ca="1">IFERROR(__xludf.DUMMYFUNCTION("""COMPUTED_VALUE"""),"TRIMESTRE 1")</f>
        <v>TRIMESTRE 1</v>
      </c>
      <c r="M1359" s="42" t="str">
        <f ca="1">IFERROR(__xludf.DUMMYFUNCTION("""COMPUTED_VALUE"""),"HOMBRES ADULTOS")</f>
        <v>HOMBRES ADULTOS</v>
      </c>
    </row>
    <row r="1360" spans="1:13">
      <c r="A1360" s="42" t="str">
        <f ca="1">IFERROR(__xludf.DUMMYFUNCTION("""COMPUTED_VALUE"""),"2.1.1.11")</f>
        <v>2.1.1.11</v>
      </c>
      <c r="B1360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60" s="42" t="str">
        <f ca="1">IFERROR(__xludf.DUMMYFUNCTION("""COMPUTED_VALUE"""),"3. Operación")</f>
        <v>3. Operación</v>
      </c>
      <c r="D1360" s="42" t="str">
        <f ca="1">IFERROR(__xludf.DUMMYFUNCTION("""COMPUTED_VALUE"""),"Guadalajara en Paz")</f>
        <v>Guadalajara en Paz</v>
      </c>
      <c r="E1360" s="42" t="str">
        <f ca="1">IFERROR(__xludf.DUMMYFUNCTION("""COMPUTED_VALUE"""),"Atención en Laboratorio Clínico")</f>
        <v>Atención en Laboratorio Clínico</v>
      </c>
      <c r="F1360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60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60" s="42" t="str">
        <f ca="1">IFERROR(__xludf.DUMMYFUNCTION("""COMPUTED_VALUE"""),"AMM FEBRERO")</f>
        <v>AMM FEBRERO</v>
      </c>
      <c r="I1360" s="42" t="str">
        <f ca="1">IFERROR(__xludf.DUMMYFUNCTION("""COMPUTED_VALUE"""),"Febrero")</f>
        <v>Febrero</v>
      </c>
      <c r="J1360" s="42" t="str">
        <f ca="1">IFERROR(__xludf.DUMMYFUNCTION("""COMPUTED_VALUE"""),"AMM")</f>
        <v>AMM</v>
      </c>
      <c r="K1360" s="98">
        <f ca="1">IFERROR(__xludf.DUMMYFUNCTION("""COMPUTED_VALUE"""),283)</f>
        <v>283</v>
      </c>
      <c r="L1360" s="42" t="str">
        <f ca="1">IFERROR(__xludf.DUMMYFUNCTION("""COMPUTED_VALUE"""),"TRIMESTRE 1")</f>
        <v>TRIMESTRE 1</v>
      </c>
      <c r="M1360" s="42" t="str">
        <f ca="1">IFERROR(__xludf.DUMMYFUNCTION("""COMPUTED_VALUE"""),"ADULTA MAYOR MUJER")</f>
        <v>ADULTA MAYOR MUJER</v>
      </c>
    </row>
    <row r="1361" spans="1:13">
      <c r="A1361" s="42" t="str">
        <f ca="1">IFERROR(__xludf.DUMMYFUNCTION("""COMPUTED_VALUE"""),"2.1.1.11")</f>
        <v>2.1.1.11</v>
      </c>
      <c r="B1361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61" s="42" t="str">
        <f ca="1">IFERROR(__xludf.DUMMYFUNCTION("""COMPUTED_VALUE"""),"3. Operación")</f>
        <v>3. Operación</v>
      </c>
      <c r="D1361" s="42" t="str">
        <f ca="1">IFERROR(__xludf.DUMMYFUNCTION("""COMPUTED_VALUE"""),"Guadalajara en Paz")</f>
        <v>Guadalajara en Paz</v>
      </c>
      <c r="E1361" s="42" t="str">
        <f ca="1">IFERROR(__xludf.DUMMYFUNCTION("""COMPUTED_VALUE"""),"Atención en Laboratorio Clínico")</f>
        <v>Atención en Laboratorio Clínico</v>
      </c>
      <c r="F1361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61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61" s="42" t="str">
        <f ca="1">IFERROR(__xludf.DUMMYFUNCTION("""COMPUTED_VALUE"""),"AMH FEBRERO")</f>
        <v>AMH FEBRERO</v>
      </c>
      <c r="I1361" s="42" t="str">
        <f ca="1">IFERROR(__xludf.DUMMYFUNCTION("""COMPUTED_VALUE"""),"Febrero")</f>
        <v>Febrero</v>
      </c>
      <c r="J1361" s="42" t="str">
        <f ca="1">IFERROR(__xludf.DUMMYFUNCTION("""COMPUTED_VALUE"""),"AMH")</f>
        <v>AMH</v>
      </c>
      <c r="K1361" s="98">
        <f ca="1">IFERROR(__xludf.DUMMYFUNCTION("""COMPUTED_VALUE"""),82)</f>
        <v>82</v>
      </c>
      <c r="L1361" s="42" t="str">
        <f ca="1">IFERROR(__xludf.DUMMYFUNCTION("""COMPUTED_VALUE"""),"TRIMESTRE 1")</f>
        <v>TRIMESTRE 1</v>
      </c>
      <c r="M1361" s="42" t="str">
        <f ca="1">IFERROR(__xludf.DUMMYFUNCTION("""COMPUTED_VALUE"""),"ADULTO MAYOR HOMBRE")</f>
        <v>ADULTO MAYOR HOMBRE</v>
      </c>
    </row>
    <row r="1362" spans="1:13">
      <c r="A1362" s="42" t="str">
        <f ca="1">IFERROR(__xludf.DUMMYFUNCTION("""COMPUTED_VALUE"""),"2.1.1.11")</f>
        <v>2.1.1.11</v>
      </c>
      <c r="B1362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62" s="42" t="str">
        <f ca="1">IFERROR(__xludf.DUMMYFUNCTION("""COMPUTED_VALUE"""),"3. Operación")</f>
        <v>3. Operación</v>
      </c>
      <c r="D1362" s="42" t="str">
        <f ca="1">IFERROR(__xludf.DUMMYFUNCTION("""COMPUTED_VALUE"""),"Guadalajara en Paz")</f>
        <v>Guadalajara en Paz</v>
      </c>
      <c r="E1362" s="42" t="str">
        <f ca="1">IFERROR(__xludf.DUMMYFUNCTION("""COMPUTED_VALUE"""),"Atención en Laboratorio Clínico")</f>
        <v>Atención en Laboratorio Clínico</v>
      </c>
      <c r="F1362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62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62" s="42" t="str">
        <f ca="1">IFERROR(__xludf.DUMMYFUNCTION("""COMPUTED_VALUE"""),"NAS Marzo")</f>
        <v>NAS Marzo</v>
      </c>
      <c r="I1362" s="42" t="str">
        <f ca="1">IFERROR(__xludf.DUMMYFUNCTION("""COMPUTED_VALUE"""),"Marzo")</f>
        <v>Marzo</v>
      </c>
      <c r="J1362" s="42" t="str">
        <f ca="1">IFERROR(__xludf.DUMMYFUNCTION("""COMPUTED_VALUE"""),"NAS")</f>
        <v>NAS</v>
      </c>
      <c r="K1362" s="98">
        <f ca="1">IFERROR(__xludf.DUMMYFUNCTION("""COMPUTED_VALUE"""),25)</f>
        <v>25</v>
      </c>
      <c r="L1362" s="42" t="str">
        <f ca="1">IFERROR(__xludf.DUMMYFUNCTION("""COMPUTED_VALUE"""),"TRIMESTRE 1")</f>
        <v>TRIMESTRE 1</v>
      </c>
      <c r="M1362" s="42" t="str">
        <f ca="1">IFERROR(__xludf.DUMMYFUNCTION("""COMPUTED_VALUE"""),"NIÑAS")</f>
        <v>NIÑAS</v>
      </c>
    </row>
    <row r="1363" spans="1:13">
      <c r="A1363" s="42" t="str">
        <f ca="1">IFERROR(__xludf.DUMMYFUNCTION("""COMPUTED_VALUE"""),"2.1.1.11")</f>
        <v>2.1.1.11</v>
      </c>
      <c r="B1363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63" s="42" t="str">
        <f ca="1">IFERROR(__xludf.DUMMYFUNCTION("""COMPUTED_VALUE"""),"3. Operación")</f>
        <v>3. Operación</v>
      </c>
      <c r="D1363" s="42" t="str">
        <f ca="1">IFERROR(__xludf.DUMMYFUNCTION("""COMPUTED_VALUE"""),"Guadalajara en Paz")</f>
        <v>Guadalajara en Paz</v>
      </c>
      <c r="E1363" s="42" t="str">
        <f ca="1">IFERROR(__xludf.DUMMYFUNCTION("""COMPUTED_VALUE"""),"Atención en Laboratorio Clínico")</f>
        <v>Atención en Laboratorio Clínico</v>
      </c>
      <c r="F1363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63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63" s="42" t="str">
        <f ca="1">IFERROR(__xludf.DUMMYFUNCTION("""COMPUTED_VALUE"""),"NOS Marzo")</f>
        <v>NOS Marzo</v>
      </c>
      <c r="I1363" s="42" t="str">
        <f ca="1">IFERROR(__xludf.DUMMYFUNCTION("""COMPUTED_VALUE"""),"Marzo")</f>
        <v>Marzo</v>
      </c>
      <c r="J1363" s="42" t="str">
        <f ca="1">IFERROR(__xludf.DUMMYFUNCTION("""COMPUTED_VALUE"""),"NOS")</f>
        <v>NOS</v>
      </c>
      <c r="K1363" s="98">
        <f ca="1">IFERROR(__xludf.DUMMYFUNCTION("""COMPUTED_VALUE"""),116)</f>
        <v>116</v>
      </c>
      <c r="L1363" s="42" t="str">
        <f ca="1">IFERROR(__xludf.DUMMYFUNCTION("""COMPUTED_VALUE"""),"TRIMESTRE 1")</f>
        <v>TRIMESTRE 1</v>
      </c>
      <c r="M1363" s="42" t="str">
        <f ca="1">IFERROR(__xludf.DUMMYFUNCTION("""COMPUTED_VALUE"""),"NIÑOS")</f>
        <v>NIÑOS</v>
      </c>
    </row>
    <row r="1364" spans="1:13">
      <c r="A1364" s="42" t="str">
        <f ca="1">IFERROR(__xludf.DUMMYFUNCTION("""COMPUTED_VALUE"""),"2.1.1.11")</f>
        <v>2.1.1.11</v>
      </c>
      <c r="B1364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64" s="42" t="str">
        <f ca="1">IFERROR(__xludf.DUMMYFUNCTION("""COMPUTED_VALUE"""),"3. Operación")</f>
        <v>3. Operación</v>
      </c>
      <c r="D1364" s="42" t="str">
        <f ca="1">IFERROR(__xludf.DUMMYFUNCTION("""COMPUTED_VALUE"""),"Guadalajara en Paz")</f>
        <v>Guadalajara en Paz</v>
      </c>
      <c r="E1364" s="42" t="str">
        <f ca="1">IFERROR(__xludf.DUMMYFUNCTION("""COMPUTED_VALUE"""),"Atención en Laboratorio Clínico")</f>
        <v>Atención en Laboratorio Clínico</v>
      </c>
      <c r="F1364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64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64" s="42" t="str">
        <f ca="1">IFERROR(__xludf.DUMMYFUNCTION("""COMPUTED_VALUE"""),"AM MARZO")</f>
        <v>AM MARZO</v>
      </c>
      <c r="I1364" s="42" t="str">
        <f ca="1">IFERROR(__xludf.DUMMYFUNCTION("""COMPUTED_VALUE"""),"Marzo")</f>
        <v>Marzo</v>
      </c>
      <c r="J1364" s="42" t="str">
        <f ca="1">IFERROR(__xludf.DUMMYFUNCTION("""COMPUTED_VALUE"""),"AM")</f>
        <v>AM</v>
      </c>
      <c r="K1364" s="98">
        <f ca="1">IFERROR(__xludf.DUMMYFUNCTION("""COMPUTED_VALUE"""),5)</f>
        <v>5</v>
      </c>
      <c r="L1364" s="42" t="str">
        <f ca="1">IFERROR(__xludf.DUMMYFUNCTION("""COMPUTED_VALUE"""),"TRIMESTRE 1")</f>
        <v>TRIMESTRE 1</v>
      </c>
      <c r="M1364" s="42" t="str">
        <f ca="1">IFERROR(__xludf.DUMMYFUNCTION("""COMPUTED_VALUE"""),"ADOLESCENTES MUJERES")</f>
        <v>ADOLESCENTES MUJERES</v>
      </c>
    </row>
    <row r="1365" spans="1:13">
      <c r="A1365" s="42" t="str">
        <f ca="1">IFERROR(__xludf.DUMMYFUNCTION("""COMPUTED_VALUE"""),"2.1.1.11")</f>
        <v>2.1.1.11</v>
      </c>
      <c r="B1365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65" s="42" t="str">
        <f ca="1">IFERROR(__xludf.DUMMYFUNCTION("""COMPUTED_VALUE"""),"3. Operación")</f>
        <v>3. Operación</v>
      </c>
      <c r="D1365" s="42" t="str">
        <f ca="1">IFERROR(__xludf.DUMMYFUNCTION("""COMPUTED_VALUE"""),"Guadalajara en Paz")</f>
        <v>Guadalajara en Paz</v>
      </c>
      <c r="E1365" s="42" t="str">
        <f ca="1">IFERROR(__xludf.DUMMYFUNCTION("""COMPUTED_VALUE"""),"Atención en Laboratorio Clínico")</f>
        <v>Atención en Laboratorio Clínico</v>
      </c>
      <c r="F1365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65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65" s="42" t="str">
        <f ca="1">IFERROR(__xludf.DUMMYFUNCTION("""COMPUTED_VALUE"""),"AH MARZO")</f>
        <v>AH MARZO</v>
      </c>
      <c r="I1365" s="42" t="str">
        <f ca="1">IFERROR(__xludf.DUMMYFUNCTION("""COMPUTED_VALUE"""),"Marzo")</f>
        <v>Marzo</v>
      </c>
      <c r="J1365" s="42" t="str">
        <f ca="1">IFERROR(__xludf.DUMMYFUNCTION("""COMPUTED_VALUE"""),"AH")</f>
        <v>AH</v>
      </c>
      <c r="K1365" s="98">
        <f ca="1">IFERROR(__xludf.DUMMYFUNCTION("""COMPUTED_VALUE"""),1)</f>
        <v>1</v>
      </c>
      <c r="L1365" s="42" t="str">
        <f ca="1">IFERROR(__xludf.DUMMYFUNCTION("""COMPUTED_VALUE"""),"TRIMESTRE 1")</f>
        <v>TRIMESTRE 1</v>
      </c>
      <c r="M1365" s="42" t="str">
        <f ca="1">IFERROR(__xludf.DUMMYFUNCTION("""COMPUTED_VALUE"""),"ADOLESCENTES HOMBRES")</f>
        <v>ADOLESCENTES HOMBRES</v>
      </c>
    </row>
    <row r="1366" spans="1:13">
      <c r="A1366" s="42" t="str">
        <f ca="1">IFERROR(__xludf.DUMMYFUNCTION("""COMPUTED_VALUE"""),"2.1.1.11")</f>
        <v>2.1.1.11</v>
      </c>
      <c r="B1366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66" s="42" t="str">
        <f ca="1">IFERROR(__xludf.DUMMYFUNCTION("""COMPUTED_VALUE"""),"3. Operación")</f>
        <v>3. Operación</v>
      </c>
      <c r="D1366" s="42" t="str">
        <f ca="1">IFERROR(__xludf.DUMMYFUNCTION("""COMPUTED_VALUE"""),"Guadalajara en Paz")</f>
        <v>Guadalajara en Paz</v>
      </c>
      <c r="E1366" s="42" t="str">
        <f ca="1">IFERROR(__xludf.DUMMYFUNCTION("""COMPUTED_VALUE"""),"Atención en Laboratorio Clínico")</f>
        <v>Atención en Laboratorio Clínico</v>
      </c>
      <c r="F1366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66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66" s="42" t="str">
        <f ca="1">IFERROR(__xludf.DUMMYFUNCTION("""COMPUTED_VALUE"""),"MUJ Marzo")</f>
        <v>MUJ Marzo</v>
      </c>
      <c r="I1366" s="42" t="str">
        <f ca="1">IFERROR(__xludf.DUMMYFUNCTION("""COMPUTED_VALUE"""),"Marzo")</f>
        <v>Marzo</v>
      </c>
      <c r="J1366" s="42" t="str">
        <f ca="1">IFERROR(__xludf.DUMMYFUNCTION("""COMPUTED_VALUE"""),"MUJ")</f>
        <v>MUJ</v>
      </c>
      <c r="K1366" s="98">
        <f ca="1">IFERROR(__xludf.DUMMYFUNCTION("""COMPUTED_VALUE"""),542)</f>
        <v>542</v>
      </c>
      <c r="L1366" s="42" t="str">
        <f ca="1">IFERROR(__xludf.DUMMYFUNCTION("""COMPUTED_VALUE"""),"TRIMESTRE 1")</f>
        <v>TRIMESTRE 1</v>
      </c>
      <c r="M1366" s="42" t="str">
        <f ca="1">IFERROR(__xludf.DUMMYFUNCTION("""COMPUTED_VALUE"""),"MUJERES ADULTAS")</f>
        <v>MUJERES ADULTAS</v>
      </c>
    </row>
    <row r="1367" spans="1:13">
      <c r="A1367" s="42" t="str">
        <f ca="1">IFERROR(__xludf.DUMMYFUNCTION("""COMPUTED_VALUE"""),"2.1.1.11")</f>
        <v>2.1.1.11</v>
      </c>
      <c r="B1367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67" s="42" t="str">
        <f ca="1">IFERROR(__xludf.DUMMYFUNCTION("""COMPUTED_VALUE"""),"3. Operación")</f>
        <v>3. Operación</v>
      </c>
      <c r="D1367" s="42" t="str">
        <f ca="1">IFERROR(__xludf.DUMMYFUNCTION("""COMPUTED_VALUE"""),"Guadalajara en Paz")</f>
        <v>Guadalajara en Paz</v>
      </c>
      <c r="E1367" s="42" t="str">
        <f ca="1">IFERROR(__xludf.DUMMYFUNCTION("""COMPUTED_VALUE"""),"Atención en Laboratorio Clínico")</f>
        <v>Atención en Laboratorio Clínico</v>
      </c>
      <c r="F1367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67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67" s="42" t="str">
        <f ca="1">IFERROR(__xludf.DUMMYFUNCTION("""COMPUTED_VALUE"""),"HOM Marzo")</f>
        <v>HOM Marzo</v>
      </c>
      <c r="I1367" s="42" t="str">
        <f ca="1">IFERROR(__xludf.DUMMYFUNCTION("""COMPUTED_VALUE"""),"Marzo")</f>
        <v>Marzo</v>
      </c>
      <c r="J1367" s="42" t="str">
        <f ca="1">IFERROR(__xludf.DUMMYFUNCTION("""COMPUTED_VALUE"""),"HOM")</f>
        <v>HOM</v>
      </c>
      <c r="K1367" s="98">
        <f ca="1">IFERROR(__xludf.DUMMYFUNCTION("""COMPUTED_VALUE"""),290)</f>
        <v>290</v>
      </c>
      <c r="L1367" s="42" t="str">
        <f ca="1">IFERROR(__xludf.DUMMYFUNCTION("""COMPUTED_VALUE"""),"TRIMESTRE 1")</f>
        <v>TRIMESTRE 1</v>
      </c>
      <c r="M1367" s="42" t="str">
        <f ca="1">IFERROR(__xludf.DUMMYFUNCTION("""COMPUTED_VALUE"""),"HOMBRES ADULTOS")</f>
        <v>HOMBRES ADULTOS</v>
      </c>
    </row>
    <row r="1368" spans="1:13">
      <c r="A1368" s="42" t="str">
        <f ca="1">IFERROR(__xludf.DUMMYFUNCTION("""COMPUTED_VALUE"""),"2.1.1.11")</f>
        <v>2.1.1.11</v>
      </c>
      <c r="B1368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68" s="42" t="str">
        <f ca="1">IFERROR(__xludf.DUMMYFUNCTION("""COMPUTED_VALUE"""),"3. Operación")</f>
        <v>3. Operación</v>
      </c>
      <c r="D1368" s="42" t="str">
        <f ca="1">IFERROR(__xludf.DUMMYFUNCTION("""COMPUTED_VALUE"""),"Guadalajara en Paz")</f>
        <v>Guadalajara en Paz</v>
      </c>
      <c r="E1368" s="42" t="str">
        <f ca="1">IFERROR(__xludf.DUMMYFUNCTION("""COMPUTED_VALUE"""),"Atención en Laboratorio Clínico")</f>
        <v>Atención en Laboratorio Clínico</v>
      </c>
      <c r="F1368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68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68" s="42" t="str">
        <f ca="1">IFERROR(__xludf.DUMMYFUNCTION("""COMPUTED_VALUE"""),"AMM Marzo")</f>
        <v>AMM Marzo</v>
      </c>
      <c r="I1368" s="42" t="str">
        <f ca="1">IFERROR(__xludf.DUMMYFUNCTION("""COMPUTED_VALUE"""),"Marzo")</f>
        <v>Marzo</v>
      </c>
      <c r="J1368" s="42" t="str">
        <f ca="1">IFERROR(__xludf.DUMMYFUNCTION("""COMPUTED_VALUE"""),"AMM")</f>
        <v>AMM</v>
      </c>
      <c r="K1368" s="98">
        <f ca="1">IFERROR(__xludf.DUMMYFUNCTION("""COMPUTED_VALUE"""),81)</f>
        <v>81</v>
      </c>
      <c r="L1368" s="42" t="str">
        <f ca="1">IFERROR(__xludf.DUMMYFUNCTION("""COMPUTED_VALUE"""),"TRIMESTRE 1")</f>
        <v>TRIMESTRE 1</v>
      </c>
      <c r="M1368" s="42" t="str">
        <f ca="1">IFERROR(__xludf.DUMMYFUNCTION("""COMPUTED_VALUE"""),"ADULTA MAYOR MUJER")</f>
        <v>ADULTA MAYOR MUJER</v>
      </c>
    </row>
    <row r="1369" spans="1:13">
      <c r="A1369" s="42" t="str">
        <f ca="1">IFERROR(__xludf.DUMMYFUNCTION("""COMPUTED_VALUE"""),"2.1.1.11")</f>
        <v>2.1.1.11</v>
      </c>
      <c r="B1369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69" s="42" t="str">
        <f ca="1">IFERROR(__xludf.DUMMYFUNCTION("""COMPUTED_VALUE"""),"3. Operación")</f>
        <v>3. Operación</v>
      </c>
      <c r="D1369" s="42" t="str">
        <f ca="1">IFERROR(__xludf.DUMMYFUNCTION("""COMPUTED_VALUE"""),"Guadalajara en Paz")</f>
        <v>Guadalajara en Paz</v>
      </c>
      <c r="E1369" s="42" t="str">
        <f ca="1">IFERROR(__xludf.DUMMYFUNCTION("""COMPUTED_VALUE"""),"Atención en Laboratorio Clínico")</f>
        <v>Atención en Laboratorio Clínico</v>
      </c>
      <c r="F1369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69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69" s="42" t="str">
        <f ca="1">IFERROR(__xludf.DUMMYFUNCTION("""COMPUTED_VALUE"""),"AMH Marzo")</f>
        <v>AMH Marzo</v>
      </c>
      <c r="I1369" s="42" t="str">
        <f ca="1">IFERROR(__xludf.DUMMYFUNCTION("""COMPUTED_VALUE"""),"Marzo")</f>
        <v>Marzo</v>
      </c>
      <c r="J1369" s="42" t="str">
        <f ca="1">IFERROR(__xludf.DUMMYFUNCTION("""COMPUTED_VALUE"""),"AMH")</f>
        <v>AMH</v>
      </c>
      <c r="K1369" s="98">
        <f ca="1">IFERROR(__xludf.DUMMYFUNCTION("""COMPUTED_VALUE"""),92)</f>
        <v>92</v>
      </c>
      <c r="L1369" s="42" t="str">
        <f ca="1">IFERROR(__xludf.DUMMYFUNCTION("""COMPUTED_VALUE"""),"TRIMESTRE 1")</f>
        <v>TRIMESTRE 1</v>
      </c>
      <c r="M1369" s="42" t="str">
        <f ca="1">IFERROR(__xludf.DUMMYFUNCTION("""COMPUTED_VALUE"""),"ADULTO MAYOR HOMBRE")</f>
        <v>ADULTO MAYOR HOMBRE</v>
      </c>
    </row>
    <row r="1370" spans="1:13">
      <c r="A1370" s="42" t="str">
        <f ca="1">IFERROR(__xludf.DUMMYFUNCTION("""COMPUTED_VALUE"""),"2.1.1.11")</f>
        <v>2.1.1.11</v>
      </c>
      <c r="B1370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70" s="42" t="str">
        <f ca="1">IFERROR(__xludf.DUMMYFUNCTION("""COMPUTED_VALUE"""),"3. Operación")</f>
        <v>3. Operación</v>
      </c>
      <c r="D1370" s="42" t="str">
        <f ca="1">IFERROR(__xludf.DUMMYFUNCTION("""COMPUTED_VALUE"""),"Guadalajara en Paz")</f>
        <v>Guadalajara en Paz</v>
      </c>
      <c r="E1370" s="42" t="str">
        <f ca="1">IFERROR(__xludf.DUMMYFUNCTION("""COMPUTED_VALUE"""),"Atención en Laboratorio Clínico")</f>
        <v>Atención en Laboratorio Clínico</v>
      </c>
      <c r="F1370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70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70" s="42" t="str">
        <f ca="1">IFERROR(__xludf.DUMMYFUNCTION("""COMPUTED_VALUE"""),"NAS Abril")</f>
        <v>NAS Abril</v>
      </c>
      <c r="I1370" s="42" t="str">
        <f ca="1">IFERROR(__xludf.DUMMYFUNCTION("""COMPUTED_VALUE"""),"Abril")</f>
        <v>Abril</v>
      </c>
      <c r="J1370" s="42" t="str">
        <f ca="1">IFERROR(__xludf.DUMMYFUNCTION("""COMPUTED_VALUE"""),"NAS")</f>
        <v>NAS</v>
      </c>
      <c r="K1370" s="98">
        <f ca="1">IFERROR(__xludf.DUMMYFUNCTION("""COMPUTED_VALUE"""),245)</f>
        <v>245</v>
      </c>
      <c r="L1370" s="42" t="str">
        <f ca="1">IFERROR(__xludf.DUMMYFUNCTION("""COMPUTED_VALUE"""),"TRIMESTRE 2")</f>
        <v>TRIMESTRE 2</v>
      </c>
      <c r="M1370" s="42" t="str">
        <f ca="1">IFERROR(__xludf.DUMMYFUNCTION("""COMPUTED_VALUE"""),"NIÑAS")</f>
        <v>NIÑAS</v>
      </c>
    </row>
    <row r="1371" spans="1:13">
      <c r="A1371" s="42" t="str">
        <f ca="1">IFERROR(__xludf.DUMMYFUNCTION("""COMPUTED_VALUE"""),"2.1.1.11")</f>
        <v>2.1.1.11</v>
      </c>
      <c r="B1371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71" s="42" t="str">
        <f ca="1">IFERROR(__xludf.DUMMYFUNCTION("""COMPUTED_VALUE"""),"3. Operación")</f>
        <v>3. Operación</v>
      </c>
      <c r="D1371" s="42" t="str">
        <f ca="1">IFERROR(__xludf.DUMMYFUNCTION("""COMPUTED_VALUE"""),"Guadalajara en Paz")</f>
        <v>Guadalajara en Paz</v>
      </c>
      <c r="E1371" s="42" t="str">
        <f ca="1">IFERROR(__xludf.DUMMYFUNCTION("""COMPUTED_VALUE"""),"Atención en Laboratorio Clínico")</f>
        <v>Atención en Laboratorio Clínico</v>
      </c>
      <c r="F1371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71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71" s="42" t="str">
        <f ca="1">IFERROR(__xludf.DUMMYFUNCTION("""COMPUTED_VALUE"""),"NOS Abril")</f>
        <v>NOS Abril</v>
      </c>
      <c r="I1371" s="42" t="str">
        <f ca="1">IFERROR(__xludf.DUMMYFUNCTION("""COMPUTED_VALUE"""),"Abril")</f>
        <v>Abril</v>
      </c>
      <c r="J1371" s="42" t="str">
        <f ca="1">IFERROR(__xludf.DUMMYFUNCTION("""COMPUTED_VALUE"""),"NOS")</f>
        <v>NOS</v>
      </c>
      <c r="K1371" s="98">
        <f ca="1">IFERROR(__xludf.DUMMYFUNCTION("""COMPUTED_VALUE"""),176)</f>
        <v>176</v>
      </c>
      <c r="L1371" s="42" t="str">
        <f ca="1">IFERROR(__xludf.DUMMYFUNCTION("""COMPUTED_VALUE"""),"TRIMESTRE 2")</f>
        <v>TRIMESTRE 2</v>
      </c>
      <c r="M1371" s="42" t="str">
        <f ca="1">IFERROR(__xludf.DUMMYFUNCTION("""COMPUTED_VALUE"""),"NIÑOS")</f>
        <v>NIÑOS</v>
      </c>
    </row>
    <row r="1372" spans="1:13">
      <c r="A1372" s="42" t="str">
        <f ca="1">IFERROR(__xludf.DUMMYFUNCTION("""COMPUTED_VALUE"""),"2.1.1.11")</f>
        <v>2.1.1.11</v>
      </c>
      <c r="B1372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72" s="42" t="str">
        <f ca="1">IFERROR(__xludf.DUMMYFUNCTION("""COMPUTED_VALUE"""),"3. Operación")</f>
        <v>3. Operación</v>
      </c>
      <c r="D1372" s="42" t="str">
        <f ca="1">IFERROR(__xludf.DUMMYFUNCTION("""COMPUTED_VALUE"""),"Guadalajara en Paz")</f>
        <v>Guadalajara en Paz</v>
      </c>
      <c r="E1372" s="42" t="str">
        <f ca="1">IFERROR(__xludf.DUMMYFUNCTION("""COMPUTED_VALUE"""),"Atención en Laboratorio Clínico")</f>
        <v>Atención en Laboratorio Clínico</v>
      </c>
      <c r="F1372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72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72" s="42" t="str">
        <f ca="1">IFERROR(__xludf.DUMMYFUNCTION("""COMPUTED_VALUE"""),"AM ABRIL")</f>
        <v>AM ABRIL</v>
      </c>
      <c r="I1372" s="42" t="str">
        <f ca="1">IFERROR(__xludf.DUMMYFUNCTION("""COMPUTED_VALUE"""),"Abril")</f>
        <v>Abril</v>
      </c>
      <c r="J1372" s="42" t="str">
        <f ca="1">IFERROR(__xludf.DUMMYFUNCTION("""COMPUTED_VALUE"""),"AM")</f>
        <v>AM</v>
      </c>
      <c r="K1372" s="98">
        <f ca="1">IFERROR(__xludf.DUMMYFUNCTION("""COMPUTED_VALUE"""),0)</f>
        <v>0</v>
      </c>
      <c r="L1372" s="42" t="str">
        <f ca="1">IFERROR(__xludf.DUMMYFUNCTION("""COMPUTED_VALUE"""),"TRIMESTRE 2")</f>
        <v>TRIMESTRE 2</v>
      </c>
      <c r="M1372" s="42" t="str">
        <f ca="1">IFERROR(__xludf.DUMMYFUNCTION("""COMPUTED_VALUE"""),"ADOLESCENTES MUJERES")</f>
        <v>ADOLESCENTES MUJERES</v>
      </c>
    </row>
    <row r="1373" spans="1:13">
      <c r="A1373" s="42" t="str">
        <f ca="1">IFERROR(__xludf.DUMMYFUNCTION("""COMPUTED_VALUE"""),"2.1.1.11")</f>
        <v>2.1.1.11</v>
      </c>
      <c r="B1373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73" s="42" t="str">
        <f ca="1">IFERROR(__xludf.DUMMYFUNCTION("""COMPUTED_VALUE"""),"3. Operación")</f>
        <v>3. Operación</v>
      </c>
      <c r="D1373" s="42" t="str">
        <f ca="1">IFERROR(__xludf.DUMMYFUNCTION("""COMPUTED_VALUE"""),"Guadalajara en Paz")</f>
        <v>Guadalajara en Paz</v>
      </c>
      <c r="E1373" s="42" t="str">
        <f ca="1">IFERROR(__xludf.DUMMYFUNCTION("""COMPUTED_VALUE"""),"Atención en Laboratorio Clínico")</f>
        <v>Atención en Laboratorio Clínico</v>
      </c>
      <c r="F1373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73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73" s="42" t="str">
        <f ca="1">IFERROR(__xludf.DUMMYFUNCTION("""COMPUTED_VALUE"""),"AH ABRIL")</f>
        <v>AH ABRIL</v>
      </c>
      <c r="I1373" s="42" t="str">
        <f ca="1">IFERROR(__xludf.DUMMYFUNCTION("""COMPUTED_VALUE"""),"Abril")</f>
        <v>Abril</v>
      </c>
      <c r="J1373" s="42" t="str">
        <f ca="1">IFERROR(__xludf.DUMMYFUNCTION("""COMPUTED_VALUE"""),"AH")</f>
        <v>AH</v>
      </c>
      <c r="K1373" s="98">
        <f ca="1">IFERROR(__xludf.DUMMYFUNCTION("""COMPUTED_VALUE"""),0)</f>
        <v>0</v>
      </c>
      <c r="L1373" s="42" t="str">
        <f ca="1">IFERROR(__xludf.DUMMYFUNCTION("""COMPUTED_VALUE"""),"TRIMESTRE 2")</f>
        <v>TRIMESTRE 2</v>
      </c>
      <c r="M1373" s="42" t="str">
        <f ca="1">IFERROR(__xludf.DUMMYFUNCTION("""COMPUTED_VALUE"""),"ADOLESCENTES HOMBRES")</f>
        <v>ADOLESCENTES HOMBRES</v>
      </c>
    </row>
    <row r="1374" spans="1:13">
      <c r="A1374" s="42" t="str">
        <f ca="1">IFERROR(__xludf.DUMMYFUNCTION("""COMPUTED_VALUE"""),"2.1.1.11")</f>
        <v>2.1.1.11</v>
      </c>
      <c r="B1374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74" s="42" t="str">
        <f ca="1">IFERROR(__xludf.DUMMYFUNCTION("""COMPUTED_VALUE"""),"3. Operación")</f>
        <v>3. Operación</v>
      </c>
      <c r="D1374" s="42" t="str">
        <f ca="1">IFERROR(__xludf.DUMMYFUNCTION("""COMPUTED_VALUE"""),"Guadalajara en Paz")</f>
        <v>Guadalajara en Paz</v>
      </c>
      <c r="E1374" s="42" t="str">
        <f ca="1">IFERROR(__xludf.DUMMYFUNCTION("""COMPUTED_VALUE"""),"Atención en Laboratorio Clínico")</f>
        <v>Atención en Laboratorio Clínico</v>
      </c>
      <c r="F1374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74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74" s="42" t="str">
        <f ca="1">IFERROR(__xludf.DUMMYFUNCTION("""COMPUTED_VALUE"""),"MUJ Abril")</f>
        <v>MUJ Abril</v>
      </c>
      <c r="I1374" s="42" t="str">
        <f ca="1">IFERROR(__xludf.DUMMYFUNCTION("""COMPUTED_VALUE"""),"Abril")</f>
        <v>Abril</v>
      </c>
      <c r="J1374" s="42" t="str">
        <f ca="1">IFERROR(__xludf.DUMMYFUNCTION("""COMPUTED_VALUE"""),"MUJ")</f>
        <v>MUJ</v>
      </c>
      <c r="K1374" s="98">
        <f ca="1">IFERROR(__xludf.DUMMYFUNCTION("""COMPUTED_VALUE"""),329)</f>
        <v>329</v>
      </c>
      <c r="L1374" s="42" t="str">
        <f ca="1">IFERROR(__xludf.DUMMYFUNCTION("""COMPUTED_VALUE"""),"TRIMESTRE 2")</f>
        <v>TRIMESTRE 2</v>
      </c>
      <c r="M1374" s="42" t="str">
        <f ca="1">IFERROR(__xludf.DUMMYFUNCTION("""COMPUTED_VALUE"""),"MUJERES ADULTAS")</f>
        <v>MUJERES ADULTAS</v>
      </c>
    </row>
    <row r="1375" spans="1:13">
      <c r="A1375" s="42" t="str">
        <f ca="1">IFERROR(__xludf.DUMMYFUNCTION("""COMPUTED_VALUE"""),"2.1.1.11")</f>
        <v>2.1.1.11</v>
      </c>
      <c r="B1375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75" s="42" t="str">
        <f ca="1">IFERROR(__xludf.DUMMYFUNCTION("""COMPUTED_VALUE"""),"3. Operación")</f>
        <v>3. Operación</v>
      </c>
      <c r="D1375" s="42" t="str">
        <f ca="1">IFERROR(__xludf.DUMMYFUNCTION("""COMPUTED_VALUE"""),"Guadalajara en Paz")</f>
        <v>Guadalajara en Paz</v>
      </c>
      <c r="E1375" s="42" t="str">
        <f ca="1">IFERROR(__xludf.DUMMYFUNCTION("""COMPUTED_VALUE"""),"Atención en Laboratorio Clínico")</f>
        <v>Atención en Laboratorio Clínico</v>
      </c>
      <c r="F1375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75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75" s="42" t="str">
        <f ca="1">IFERROR(__xludf.DUMMYFUNCTION("""COMPUTED_VALUE"""),"HOM Abril")</f>
        <v>HOM Abril</v>
      </c>
      <c r="I1375" s="42" t="str">
        <f ca="1">IFERROR(__xludf.DUMMYFUNCTION("""COMPUTED_VALUE"""),"Abril")</f>
        <v>Abril</v>
      </c>
      <c r="J1375" s="42" t="str">
        <f ca="1">IFERROR(__xludf.DUMMYFUNCTION("""COMPUTED_VALUE"""),"HOM")</f>
        <v>HOM</v>
      </c>
      <c r="K1375" s="98">
        <f ca="1">IFERROR(__xludf.DUMMYFUNCTION("""COMPUTED_VALUE"""),243)</f>
        <v>243</v>
      </c>
      <c r="L1375" s="42" t="str">
        <f ca="1">IFERROR(__xludf.DUMMYFUNCTION("""COMPUTED_VALUE"""),"TRIMESTRE 2")</f>
        <v>TRIMESTRE 2</v>
      </c>
      <c r="M1375" s="42" t="str">
        <f ca="1">IFERROR(__xludf.DUMMYFUNCTION("""COMPUTED_VALUE"""),"HOMBRES ADULTOS")</f>
        <v>HOMBRES ADULTOS</v>
      </c>
    </row>
    <row r="1376" spans="1:13">
      <c r="A1376" s="42" t="str">
        <f ca="1">IFERROR(__xludf.DUMMYFUNCTION("""COMPUTED_VALUE"""),"2.1.1.11")</f>
        <v>2.1.1.11</v>
      </c>
      <c r="B1376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76" s="42" t="str">
        <f ca="1">IFERROR(__xludf.DUMMYFUNCTION("""COMPUTED_VALUE"""),"3. Operación")</f>
        <v>3. Operación</v>
      </c>
      <c r="D1376" s="42" t="str">
        <f ca="1">IFERROR(__xludf.DUMMYFUNCTION("""COMPUTED_VALUE"""),"Guadalajara en Paz")</f>
        <v>Guadalajara en Paz</v>
      </c>
      <c r="E1376" s="42" t="str">
        <f ca="1">IFERROR(__xludf.DUMMYFUNCTION("""COMPUTED_VALUE"""),"Atención en Laboratorio Clínico")</f>
        <v>Atención en Laboratorio Clínico</v>
      </c>
      <c r="F1376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76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76" s="42" t="str">
        <f ca="1">IFERROR(__xludf.DUMMYFUNCTION("""COMPUTED_VALUE"""),"AMM Abril")</f>
        <v>AMM Abril</v>
      </c>
      <c r="I1376" s="42" t="str">
        <f ca="1">IFERROR(__xludf.DUMMYFUNCTION("""COMPUTED_VALUE"""),"Abril")</f>
        <v>Abril</v>
      </c>
      <c r="J1376" s="42" t="str">
        <f ca="1">IFERROR(__xludf.DUMMYFUNCTION("""COMPUTED_VALUE"""),"AMM")</f>
        <v>AMM</v>
      </c>
      <c r="K1376" s="98">
        <f ca="1">IFERROR(__xludf.DUMMYFUNCTION("""COMPUTED_VALUE"""),184)</f>
        <v>184</v>
      </c>
      <c r="L1376" s="42" t="str">
        <f ca="1">IFERROR(__xludf.DUMMYFUNCTION("""COMPUTED_VALUE"""),"TRIMESTRE 2")</f>
        <v>TRIMESTRE 2</v>
      </c>
      <c r="M1376" s="42" t="str">
        <f ca="1">IFERROR(__xludf.DUMMYFUNCTION("""COMPUTED_VALUE"""),"ADULTA MAYOR MUJER")</f>
        <v>ADULTA MAYOR MUJER</v>
      </c>
    </row>
    <row r="1377" spans="1:13">
      <c r="A1377" s="42" t="str">
        <f ca="1">IFERROR(__xludf.DUMMYFUNCTION("""COMPUTED_VALUE"""),"2.1.1.11")</f>
        <v>2.1.1.11</v>
      </c>
      <c r="B1377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77" s="42" t="str">
        <f ca="1">IFERROR(__xludf.DUMMYFUNCTION("""COMPUTED_VALUE"""),"3. Operación")</f>
        <v>3. Operación</v>
      </c>
      <c r="D1377" s="42" t="str">
        <f ca="1">IFERROR(__xludf.DUMMYFUNCTION("""COMPUTED_VALUE"""),"Guadalajara en Paz")</f>
        <v>Guadalajara en Paz</v>
      </c>
      <c r="E1377" s="42" t="str">
        <f ca="1">IFERROR(__xludf.DUMMYFUNCTION("""COMPUTED_VALUE"""),"Atención en Laboratorio Clínico")</f>
        <v>Atención en Laboratorio Clínico</v>
      </c>
      <c r="F1377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77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77" s="42" t="str">
        <f ca="1">IFERROR(__xludf.DUMMYFUNCTION("""COMPUTED_VALUE"""),"AMH Abril")</f>
        <v>AMH Abril</v>
      </c>
      <c r="I1377" s="42" t="str">
        <f ca="1">IFERROR(__xludf.DUMMYFUNCTION("""COMPUTED_VALUE"""),"Abril")</f>
        <v>Abril</v>
      </c>
      <c r="J1377" s="42" t="str">
        <f ca="1">IFERROR(__xludf.DUMMYFUNCTION("""COMPUTED_VALUE"""),"AMH")</f>
        <v>AMH</v>
      </c>
      <c r="K1377" s="98">
        <f ca="1">IFERROR(__xludf.DUMMYFUNCTION("""COMPUTED_VALUE"""),109)</f>
        <v>109</v>
      </c>
      <c r="L1377" s="42" t="str">
        <f ca="1">IFERROR(__xludf.DUMMYFUNCTION("""COMPUTED_VALUE"""),"TRIMESTRE 2")</f>
        <v>TRIMESTRE 2</v>
      </c>
      <c r="M1377" s="42" t="str">
        <f ca="1">IFERROR(__xludf.DUMMYFUNCTION("""COMPUTED_VALUE"""),"ADULTO MAYOR HOMBRE")</f>
        <v>ADULTO MAYOR HOMBRE</v>
      </c>
    </row>
    <row r="1378" spans="1:13">
      <c r="A1378" s="42" t="str">
        <f ca="1">IFERROR(__xludf.DUMMYFUNCTION("""COMPUTED_VALUE"""),"2.1.1.11")</f>
        <v>2.1.1.11</v>
      </c>
      <c r="B1378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78" s="42" t="str">
        <f ca="1">IFERROR(__xludf.DUMMYFUNCTION("""COMPUTED_VALUE"""),"3. Operación")</f>
        <v>3. Operación</v>
      </c>
      <c r="D1378" s="42" t="str">
        <f ca="1">IFERROR(__xludf.DUMMYFUNCTION("""COMPUTED_VALUE"""),"Guadalajara en Paz")</f>
        <v>Guadalajara en Paz</v>
      </c>
      <c r="E1378" s="42" t="str">
        <f ca="1">IFERROR(__xludf.DUMMYFUNCTION("""COMPUTED_VALUE"""),"Atención en Laboratorio Clínico")</f>
        <v>Atención en Laboratorio Clínico</v>
      </c>
      <c r="F1378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78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78" s="42" t="str">
        <f ca="1">IFERROR(__xludf.DUMMYFUNCTION("""COMPUTED_VALUE"""),"NAS Mayo")</f>
        <v>NAS Mayo</v>
      </c>
      <c r="I1378" s="42" t="str">
        <f ca="1">IFERROR(__xludf.DUMMYFUNCTION("""COMPUTED_VALUE"""),"Mayo")</f>
        <v>Mayo</v>
      </c>
      <c r="J1378" s="42" t="str">
        <f ca="1">IFERROR(__xludf.DUMMYFUNCTION("""COMPUTED_VALUE"""),"NAS")</f>
        <v>NAS</v>
      </c>
      <c r="K1378" s="98">
        <f ca="1">IFERROR(__xludf.DUMMYFUNCTION("""COMPUTED_VALUE"""),1132)</f>
        <v>1132</v>
      </c>
      <c r="L1378" s="42" t="str">
        <f ca="1">IFERROR(__xludf.DUMMYFUNCTION("""COMPUTED_VALUE"""),"TRIMESTRE 2")</f>
        <v>TRIMESTRE 2</v>
      </c>
      <c r="M1378" s="42" t="str">
        <f ca="1">IFERROR(__xludf.DUMMYFUNCTION("""COMPUTED_VALUE"""),"NIÑAS")</f>
        <v>NIÑAS</v>
      </c>
    </row>
    <row r="1379" spans="1:13">
      <c r="A1379" s="42" t="str">
        <f ca="1">IFERROR(__xludf.DUMMYFUNCTION("""COMPUTED_VALUE"""),"2.1.1.11")</f>
        <v>2.1.1.11</v>
      </c>
      <c r="B1379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79" s="42" t="str">
        <f ca="1">IFERROR(__xludf.DUMMYFUNCTION("""COMPUTED_VALUE"""),"3. Operación")</f>
        <v>3. Operación</v>
      </c>
      <c r="D1379" s="42" t="str">
        <f ca="1">IFERROR(__xludf.DUMMYFUNCTION("""COMPUTED_VALUE"""),"Guadalajara en Paz")</f>
        <v>Guadalajara en Paz</v>
      </c>
      <c r="E1379" s="42" t="str">
        <f ca="1">IFERROR(__xludf.DUMMYFUNCTION("""COMPUTED_VALUE"""),"Atención en Laboratorio Clínico")</f>
        <v>Atención en Laboratorio Clínico</v>
      </c>
      <c r="F1379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79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79" s="42" t="str">
        <f ca="1">IFERROR(__xludf.DUMMYFUNCTION("""COMPUTED_VALUE"""),"NOS Mayo")</f>
        <v>NOS Mayo</v>
      </c>
      <c r="I1379" s="42" t="str">
        <f ca="1">IFERROR(__xludf.DUMMYFUNCTION("""COMPUTED_VALUE"""),"Mayo")</f>
        <v>Mayo</v>
      </c>
      <c r="J1379" s="42" t="str">
        <f ca="1">IFERROR(__xludf.DUMMYFUNCTION("""COMPUTED_VALUE"""),"NOS")</f>
        <v>NOS</v>
      </c>
      <c r="K1379" s="98">
        <f ca="1">IFERROR(__xludf.DUMMYFUNCTION("""COMPUTED_VALUE"""),991)</f>
        <v>991</v>
      </c>
      <c r="L1379" s="42" t="str">
        <f ca="1">IFERROR(__xludf.DUMMYFUNCTION("""COMPUTED_VALUE"""),"TRIMESTRE 2")</f>
        <v>TRIMESTRE 2</v>
      </c>
      <c r="M1379" s="42" t="str">
        <f ca="1">IFERROR(__xludf.DUMMYFUNCTION("""COMPUTED_VALUE"""),"NIÑOS")</f>
        <v>NIÑOS</v>
      </c>
    </row>
    <row r="1380" spans="1:13">
      <c r="A1380" s="42" t="str">
        <f ca="1">IFERROR(__xludf.DUMMYFUNCTION("""COMPUTED_VALUE"""),"2.1.1.11")</f>
        <v>2.1.1.11</v>
      </c>
      <c r="B1380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80" s="42" t="str">
        <f ca="1">IFERROR(__xludf.DUMMYFUNCTION("""COMPUTED_VALUE"""),"3. Operación")</f>
        <v>3. Operación</v>
      </c>
      <c r="D1380" s="42" t="str">
        <f ca="1">IFERROR(__xludf.DUMMYFUNCTION("""COMPUTED_VALUE"""),"Guadalajara en Paz")</f>
        <v>Guadalajara en Paz</v>
      </c>
      <c r="E1380" s="42" t="str">
        <f ca="1">IFERROR(__xludf.DUMMYFUNCTION("""COMPUTED_VALUE"""),"Atención en Laboratorio Clínico")</f>
        <v>Atención en Laboratorio Clínico</v>
      </c>
      <c r="F1380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80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80" s="42" t="str">
        <f ca="1">IFERROR(__xludf.DUMMYFUNCTION("""COMPUTED_VALUE"""),"AM MAYO")</f>
        <v>AM MAYO</v>
      </c>
      <c r="I1380" s="42" t="str">
        <f ca="1">IFERROR(__xludf.DUMMYFUNCTION("""COMPUTED_VALUE"""),"Mayo")</f>
        <v>Mayo</v>
      </c>
      <c r="J1380" s="42" t="str">
        <f ca="1">IFERROR(__xludf.DUMMYFUNCTION("""COMPUTED_VALUE"""),"AM")</f>
        <v>AM</v>
      </c>
      <c r="K1380" s="98">
        <f ca="1">IFERROR(__xludf.DUMMYFUNCTION("""COMPUTED_VALUE"""),104)</f>
        <v>104</v>
      </c>
      <c r="L1380" s="42" t="str">
        <f ca="1">IFERROR(__xludf.DUMMYFUNCTION("""COMPUTED_VALUE"""),"TRIMESTRE 2")</f>
        <v>TRIMESTRE 2</v>
      </c>
      <c r="M1380" s="42" t="str">
        <f ca="1">IFERROR(__xludf.DUMMYFUNCTION("""COMPUTED_VALUE"""),"ADOLESCENTES MUJERES")</f>
        <v>ADOLESCENTES MUJERES</v>
      </c>
    </row>
    <row r="1381" spans="1:13">
      <c r="A1381" s="42" t="str">
        <f ca="1">IFERROR(__xludf.DUMMYFUNCTION("""COMPUTED_VALUE"""),"2.1.1.11")</f>
        <v>2.1.1.11</v>
      </c>
      <c r="B1381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81" s="42" t="str">
        <f ca="1">IFERROR(__xludf.DUMMYFUNCTION("""COMPUTED_VALUE"""),"3. Operación")</f>
        <v>3. Operación</v>
      </c>
      <c r="D1381" s="42" t="str">
        <f ca="1">IFERROR(__xludf.DUMMYFUNCTION("""COMPUTED_VALUE"""),"Guadalajara en Paz")</f>
        <v>Guadalajara en Paz</v>
      </c>
      <c r="E1381" s="42" t="str">
        <f ca="1">IFERROR(__xludf.DUMMYFUNCTION("""COMPUTED_VALUE"""),"Atención en Laboratorio Clínico")</f>
        <v>Atención en Laboratorio Clínico</v>
      </c>
      <c r="F1381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81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81" s="42" t="str">
        <f ca="1">IFERROR(__xludf.DUMMYFUNCTION("""COMPUTED_VALUE"""),"AH MAYO")</f>
        <v>AH MAYO</v>
      </c>
      <c r="I1381" s="42" t="str">
        <f ca="1">IFERROR(__xludf.DUMMYFUNCTION("""COMPUTED_VALUE"""),"Mayo")</f>
        <v>Mayo</v>
      </c>
      <c r="J1381" s="42" t="str">
        <f ca="1">IFERROR(__xludf.DUMMYFUNCTION("""COMPUTED_VALUE"""),"AH")</f>
        <v>AH</v>
      </c>
      <c r="K1381" s="98">
        <f ca="1">IFERROR(__xludf.DUMMYFUNCTION("""COMPUTED_VALUE"""),57)</f>
        <v>57</v>
      </c>
      <c r="L1381" s="42" t="str">
        <f ca="1">IFERROR(__xludf.DUMMYFUNCTION("""COMPUTED_VALUE"""),"TRIMESTRE 2")</f>
        <v>TRIMESTRE 2</v>
      </c>
      <c r="M1381" s="42" t="str">
        <f ca="1">IFERROR(__xludf.DUMMYFUNCTION("""COMPUTED_VALUE"""),"ADOLESCENTES HOMBRES")</f>
        <v>ADOLESCENTES HOMBRES</v>
      </c>
    </row>
    <row r="1382" spans="1:13">
      <c r="A1382" s="42" t="str">
        <f ca="1">IFERROR(__xludf.DUMMYFUNCTION("""COMPUTED_VALUE"""),"2.1.1.11")</f>
        <v>2.1.1.11</v>
      </c>
      <c r="B1382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82" s="42" t="str">
        <f ca="1">IFERROR(__xludf.DUMMYFUNCTION("""COMPUTED_VALUE"""),"3. Operación")</f>
        <v>3. Operación</v>
      </c>
      <c r="D1382" s="42" t="str">
        <f ca="1">IFERROR(__xludf.DUMMYFUNCTION("""COMPUTED_VALUE"""),"Guadalajara en Paz")</f>
        <v>Guadalajara en Paz</v>
      </c>
      <c r="E1382" s="42" t="str">
        <f ca="1">IFERROR(__xludf.DUMMYFUNCTION("""COMPUTED_VALUE"""),"Atención en Laboratorio Clínico")</f>
        <v>Atención en Laboratorio Clínico</v>
      </c>
      <c r="F1382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82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82" s="42" t="str">
        <f ca="1">IFERROR(__xludf.DUMMYFUNCTION("""COMPUTED_VALUE"""),"MUJ Mayo")</f>
        <v>MUJ Mayo</v>
      </c>
      <c r="I1382" s="42" t="str">
        <f ca="1">IFERROR(__xludf.DUMMYFUNCTION("""COMPUTED_VALUE"""),"Mayo")</f>
        <v>Mayo</v>
      </c>
      <c r="J1382" s="42" t="str">
        <f ca="1">IFERROR(__xludf.DUMMYFUNCTION("""COMPUTED_VALUE"""),"MUJ")</f>
        <v>MUJ</v>
      </c>
      <c r="K1382" s="98">
        <f ca="1">IFERROR(__xludf.DUMMYFUNCTION("""COMPUTED_VALUE"""),844)</f>
        <v>844</v>
      </c>
      <c r="L1382" s="42" t="str">
        <f ca="1">IFERROR(__xludf.DUMMYFUNCTION("""COMPUTED_VALUE"""),"TRIMESTRE 2")</f>
        <v>TRIMESTRE 2</v>
      </c>
      <c r="M1382" s="42" t="str">
        <f ca="1">IFERROR(__xludf.DUMMYFUNCTION("""COMPUTED_VALUE"""),"MUJERES ADULTAS")</f>
        <v>MUJERES ADULTAS</v>
      </c>
    </row>
    <row r="1383" spans="1:13">
      <c r="A1383" s="42" t="str">
        <f ca="1">IFERROR(__xludf.DUMMYFUNCTION("""COMPUTED_VALUE"""),"2.1.1.11")</f>
        <v>2.1.1.11</v>
      </c>
      <c r="B1383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83" s="42" t="str">
        <f ca="1">IFERROR(__xludf.DUMMYFUNCTION("""COMPUTED_VALUE"""),"3. Operación")</f>
        <v>3. Operación</v>
      </c>
      <c r="D1383" s="42" t="str">
        <f ca="1">IFERROR(__xludf.DUMMYFUNCTION("""COMPUTED_VALUE"""),"Guadalajara en Paz")</f>
        <v>Guadalajara en Paz</v>
      </c>
      <c r="E1383" s="42" t="str">
        <f ca="1">IFERROR(__xludf.DUMMYFUNCTION("""COMPUTED_VALUE"""),"Atención en Laboratorio Clínico")</f>
        <v>Atención en Laboratorio Clínico</v>
      </c>
      <c r="F1383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83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83" s="42" t="str">
        <f ca="1">IFERROR(__xludf.DUMMYFUNCTION("""COMPUTED_VALUE"""),"HOM Mayo")</f>
        <v>HOM Mayo</v>
      </c>
      <c r="I1383" s="42" t="str">
        <f ca="1">IFERROR(__xludf.DUMMYFUNCTION("""COMPUTED_VALUE"""),"Mayo")</f>
        <v>Mayo</v>
      </c>
      <c r="J1383" s="42" t="str">
        <f ca="1">IFERROR(__xludf.DUMMYFUNCTION("""COMPUTED_VALUE"""),"HOM")</f>
        <v>HOM</v>
      </c>
      <c r="K1383" s="98">
        <f ca="1">IFERROR(__xludf.DUMMYFUNCTION("""COMPUTED_VALUE"""),364)</f>
        <v>364</v>
      </c>
      <c r="L1383" s="42" t="str">
        <f ca="1">IFERROR(__xludf.DUMMYFUNCTION("""COMPUTED_VALUE"""),"TRIMESTRE 2")</f>
        <v>TRIMESTRE 2</v>
      </c>
      <c r="M1383" s="42" t="str">
        <f ca="1">IFERROR(__xludf.DUMMYFUNCTION("""COMPUTED_VALUE"""),"HOMBRES ADULTOS")</f>
        <v>HOMBRES ADULTOS</v>
      </c>
    </row>
    <row r="1384" spans="1:13">
      <c r="A1384" s="42" t="str">
        <f ca="1">IFERROR(__xludf.DUMMYFUNCTION("""COMPUTED_VALUE"""),"2.1.1.11")</f>
        <v>2.1.1.11</v>
      </c>
      <c r="B1384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84" s="42" t="str">
        <f ca="1">IFERROR(__xludf.DUMMYFUNCTION("""COMPUTED_VALUE"""),"3. Operación")</f>
        <v>3. Operación</v>
      </c>
      <c r="D1384" s="42" t="str">
        <f ca="1">IFERROR(__xludf.DUMMYFUNCTION("""COMPUTED_VALUE"""),"Guadalajara en Paz")</f>
        <v>Guadalajara en Paz</v>
      </c>
      <c r="E1384" s="42" t="str">
        <f ca="1">IFERROR(__xludf.DUMMYFUNCTION("""COMPUTED_VALUE"""),"Atención en Laboratorio Clínico")</f>
        <v>Atención en Laboratorio Clínico</v>
      </c>
      <c r="F1384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84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84" s="42" t="str">
        <f ca="1">IFERROR(__xludf.DUMMYFUNCTION("""COMPUTED_VALUE"""),"AMM Mayo")</f>
        <v>AMM Mayo</v>
      </c>
      <c r="I1384" s="42" t="str">
        <f ca="1">IFERROR(__xludf.DUMMYFUNCTION("""COMPUTED_VALUE"""),"Mayo")</f>
        <v>Mayo</v>
      </c>
      <c r="J1384" s="42" t="str">
        <f ca="1">IFERROR(__xludf.DUMMYFUNCTION("""COMPUTED_VALUE"""),"AMM")</f>
        <v>AMM</v>
      </c>
      <c r="K1384" s="98">
        <f ca="1">IFERROR(__xludf.DUMMYFUNCTION("""COMPUTED_VALUE"""),245)</f>
        <v>245</v>
      </c>
      <c r="L1384" s="42" t="str">
        <f ca="1">IFERROR(__xludf.DUMMYFUNCTION("""COMPUTED_VALUE"""),"TRIMESTRE 2")</f>
        <v>TRIMESTRE 2</v>
      </c>
      <c r="M1384" s="42" t="str">
        <f ca="1">IFERROR(__xludf.DUMMYFUNCTION("""COMPUTED_VALUE"""),"ADULTA MAYOR MUJER")</f>
        <v>ADULTA MAYOR MUJER</v>
      </c>
    </row>
    <row r="1385" spans="1:13">
      <c r="A1385" s="42" t="str">
        <f ca="1">IFERROR(__xludf.DUMMYFUNCTION("""COMPUTED_VALUE"""),"2.1.1.11")</f>
        <v>2.1.1.11</v>
      </c>
      <c r="B1385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85" s="42" t="str">
        <f ca="1">IFERROR(__xludf.DUMMYFUNCTION("""COMPUTED_VALUE"""),"3. Operación")</f>
        <v>3. Operación</v>
      </c>
      <c r="D1385" s="42" t="str">
        <f ca="1">IFERROR(__xludf.DUMMYFUNCTION("""COMPUTED_VALUE"""),"Guadalajara en Paz")</f>
        <v>Guadalajara en Paz</v>
      </c>
      <c r="E1385" s="42" t="str">
        <f ca="1">IFERROR(__xludf.DUMMYFUNCTION("""COMPUTED_VALUE"""),"Atención en Laboratorio Clínico")</f>
        <v>Atención en Laboratorio Clínico</v>
      </c>
      <c r="F1385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85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85" s="42" t="str">
        <f ca="1">IFERROR(__xludf.DUMMYFUNCTION("""COMPUTED_VALUE"""),"AMH Mayo")</f>
        <v>AMH Mayo</v>
      </c>
      <c r="I1385" s="42" t="str">
        <f ca="1">IFERROR(__xludf.DUMMYFUNCTION("""COMPUTED_VALUE"""),"Mayo")</f>
        <v>Mayo</v>
      </c>
      <c r="J1385" s="42" t="str">
        <f ca="1">IFERROR(__xludf.DUMMYFUNCTION("""COMPUTED_VALUE"""),"AMH")</f>
        <v>AMH</v>
      </c>
      <c r="K1385" s="98">
        <f ca="1">IFERROR(__xludf.DUMMYFUNCTION("""COMPUTED_VALUE"""),93)</f>
        <v>93</v>
      </c>
      <c r="L1385" s="42" t="str">
        <f ca="1">IFERROR(__xludf.DUMMYFUNCTION("""COMPUTED_VALUE"""),"TRIMESTRE 2")</f>
        <v>TRIMESTRE 2</v>
      </c>
      <c r="M1385" s="42" t="str">
        <f ca="1">IFERROR(__xludf.DUMMYFUNCTION("""COMPUTED_VALUE"""),"ADULTO MAYOR HOMBRE")</f>
        <v>ADULTO MAYOR HOMBRE</v>
      </c>
    </row>
    <row r="1386" spans="1:13">
      <c r="A1386" s="42" t="str">
        <f ca="1">IFERROR(__xludf.DUMMYFUNCTION("""COMPUTED_VALUE"""),"2.1.1.11")</f>
        <v>2.1.1.11</v>
      </c>
      <c r="B1386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86" s="42" t="str">
        <f ca="1">IFERROR(__xludf.DUMMYFUNCTION("""COMPUTED_VALUE"""),"3. Operación")</f>
        <v>3. Operación</v>
      </c>
      <c r="D1386" s="42" t="str">
        <f ca="1">IFERROR(__xludf.DUMMYFUNCTION("""COMPUTED_VALUE"""),"Guadalajara en Paz")</f>
        <v>Guadalajara en Paz</v>
      </c>
      <c r="E1386" s="42" t="str">
        <f ca="1">IFERROR(__xludf.DUMMYFUNCTION("""COMPUTED_VALUE"""),"Atención en Laboratorio Clínico")</f>
        <v>Atención en Laboratorio Clínico</v>
      </c>
      <c r="F1386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86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86" s="42" t="str">
        <f ca="1">IFERROR(__xludf.DUMMYFUNCTION("""COMPUTED_VALUE"""),"NAS Junio")</f>
        <v>NAS Junio</v>
      </c>
      <c r="I1386" s="42" t="str">
        <f ca="1">IFERROR(__xludf.DUMMYFUNCTION("""COMPUTED_VALUE"""),"Junio")</f>
        <v>Junio</v>
      </c>
      <c r="J1386" s="42" t="str">
        <f ca="1">IFERROR(__xludf.DUMMYFUNCTION("""COMPUTED_VALUE"""),"NAS")</f>
        <v>NAS</v>
      </c>
      <c r="K1386" s="98">
        <f ca="1">IFERROR(__xludf.DUMMYFUNCTION("""COMPUTED_VALUE"""),817)</f>
        <v>817</v>
      </c>
      <c r="L1386" s="42" t="str">
        <f ca="1">IFERROR(__xludf.DUMMYFUNCTION("""COMPUTED_VALUE"""),"TRIMESTRE 2")</f>
        <v>TRIMESTRE 2</v>
      </c>
      <c r="M1386" s="42" t="str">
        <f ca="1">IFERROR(__xludf.DUMMYFUNCTION("""COMPUTED_VALUE"""),"NIÑAS")</f>
        <v>NIÑAS</v>
      </c>
    </row>
    <row r="1387" spans="1:13">
      <c r="A1387" s="42" t="str">
        <f ca="1">IFERROR(__xludf.DUMMYFUNCTION("""COMPUTED_VALUE"""),"2.1.1.11")</f>
        <v>2.1.1.11</v>
      </c>
      <c r="B1387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87" s="42" t="str">
        <f ca="1">IFERROR(__xludf.DUMMYFUNCTION("""COMPUTED_VALUE"""),"3. Operación")</f>
        <v>3. Operación</v>
      </c>
      <c r="D1387" s="42" t="str">
        <f ca="1">IFERROR(__xludf.DUMMYFUNCTION("""COMPUTED_VALUE"""),"Guadalajara en Paz")</f>
        <v>Guadalajara en Paz</v>
      </c>
      <c r="E1387" s="42" t="str">
        <f ca="1">IFERROR(__xludf.DUMMYFUNCTION("""COMPUTED_VALUE"""),"Atención en Laboratorio Clínico")</f>
        <v>Atención en Laboratorio Clínico</v>
      </c>
      <c r="F1387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87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87" s="42" t="str">
        <f ca="1">IFERROR(__xludf.DUMMYFUNCTION("""COMPUTED_VALUE"""),"NOS Junio")</f>
        <v>NOS Junio</v>
      </c>
      <c r="I1387" s="42" t="str">
        <f ca="1">IFERROR(__xludf.DUMMYFUNCTION("""COMPUTED_VALUE"""),"Junio")</f>
        <v>Junio</v>
      </c>
      <c r="J1387" s="42" t="str">
        <f ca="1">IFERROR(__xludf.DUMMYFUNCTION("""COMPUTED_VALUE"""),"NOS")</f>
        <v>NOS</v>
      </c>
      <c r="K1387" s="98">
        <f ca="1">IFERROR(__xludf.DUMMYFUNCTION("""COMPUTED_VALUE"""),998)</f>
        <v>998</v>
      </c>
      <c r="L1387" s="42" t="str">
        <f ca="1">IFERROR(__xludf.DUMMYFUNCTION("""COMPUTED_VALUE"""),"TRIMESTRE 2")</f>
        <v>TRIMESTRE 2</v>
      </c>
      <c r="M1387" s="42" t="str">
        <f ca="1">IFERROR(__xludf.DUMMYFUNCTION("""COMPUTED_VALUE"""),"NIÑOS")</f>
        <v>NIÑOS</v>
      </c>
    </row>
    <row r="1388" spans="1:13">
      <c r="A1388" s="42" t="str">
        <f ca="1">IFERROR(__xludf.DUMMYFUNCTION("""COMPUTED_VALUE"""),"2.1.1.11")</f>
        <v>2.1.1.11</v>
      </c>
      <c r="B1388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88" s="42" t="str">
        <f ca="1">IFERROR(__xludf.DUMMYFUNCTION("""COMPUTED_VALUE"""),"3. Operación")</f>
        <v>3. Operación</v>
      </c>
      <c r="D1388" s="42" t="str">
        <f ca="1">IFERROR(__xludf.DUMMYFUNCTION("""COMPUTED_VALUE"""),"Guadalajara en Paz")</f>
        <v>Guadalajara en Paz</v>
      </c>
      <c r="E1388" s="42" t="str">
        <f ca="1">IFERROR(__xludf.DUMMYFUNCTION("""COMPUTED_VALUE"""),"Atención en Laboratorio Clínico")</f>
        <v>Atención en Laboratorio Clínico</v>
      </c>
      <c r="F1388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88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88" s="42" t="str">
        <f ca="1">IFERROR(__xludf.DUMMYFUNCTION("""COMPUTED_VALUE"""),"AM JUNIO")</f>
        <v>AM JUNIO</v>
      </c>
      <c r="I1388" s="42" t="str">
        <f ca="1">IFERROR(__xludf.DUMMYFUNCTION("""COMPUTED_VALUE"""),"Junio")</f>
        <v>Junio</v>
      </c>
      <c r="J1388" s="42" t="str">
        <f ca="1">IFERROR(__xludf.DUMMYFUNCTION("""COMPUTED_VALUE"""),"AM")</f>
        <v>AM</v>
      </c>
      <c r="K1388" s="98">
        <f ca="1">IFERROR(__xludf.DUMMYFUNCTION("""COMPUTED_VALUE"""),8)</f>
        <v>8</v>
      </c>
      <c r="L1388" s="42" t="str">
        <f ca="1">IFERROR(__xludf.DUMMYFUNCTION("""COMPUTED_VALUE"""),"TRIMESTRE 2")</f>
        <v>TRIMESTRE 2</v>
      </c>
      <c r="M1388" s="42" t="str">
        <f ca="1">IFERROR(__xludf.DUMMYFUNCTION("""COMPUTED_VALUE"""),"ADOLESCENTES MUJERES")</f>
        <v>ADOLESCENTES MUJERES</v>
      </c>
    </row>
    <row r="1389" spans="1:13">
      <c r="A1389" s="42" t="str">
        <f ca="1">IFERROR(__xludf.DUMMYFUNCTION("""COMPUTED_VALUE"""),"2.1.1.11")</f>
        <v>2.1.1.11</v>
      </c>
      <c r="B1389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89" s="42" t="str">
        <f ca="1">IFERROR(__xludf.DUMMYFUNCTION("""COMPUTED_VALUE"""),"3. Operación")</f>
        <v>3. Operación</v>
      </c>
      <c r="D1389" s="42" t="str">
        <f ca="1">IFERROR(__xludf.DUMMYFUNCTION("""COMPUTED_VALUE"""),"Guadalajara en Paz")</f>
        <v>Guadalajara en Paz</v>
      </c>
      <c r="E1389" s="42" t="str">
        <f ca="1">IFERROR(__xludf.DUMMYFUNCTION("""COMPUTED_VALUE"""),"Atención en Laboratorio Clínico")</f>
        <v>Atención en Laboratorio Clínico</v>
      </c>
      <c r="F1389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89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89" s="42" t="str">
        <f ca="1">IFERROR(__xludf.DUMMYFUNCTION("""COMPUTED_VALUE"""),"AH JUNIO")</f>
        <v>AH JUNIO</v>
      </c>
      <c r="I1389" s="42" t="str">
        <f ca="1">IFERROR(__xludf.DUMMYFUNCTION("""COMPUTED_VALUE"""),"Junio")</f>
        <v>Junio</v>
      </c>
      <c r="J1389" s="42" t="str">
        <f ca="1">IFERROR(__xludf.DUMMYFUNCTION("""COMPUTED_VALUE"""),"AH")</f>
        <v>AH</v>
      </c>
      <c r="K1389" s="98">
        <f ca="1">IFERROR(__xludf.DUMMYFUNCTION("""COMPUTED_VALUE"""),7)</f>
        <v>7</v>
      </c>
      <c r="L1389" s="42" t="str">
        <f ca="1">IFERROR(__xludf.DUMMYFUNCTION("""COMPUTED_VALUE"""),"TRIMESTRE 2")</f>
        <v>TRIMESTRE 2</v>
      </c>
      <c r="M1389" s="42" t="str">
        <f ca="1">IFERROR(__xludf.DUMMYFUNCTION("""COMPUTED_VALUE"""),"ADOLESCENTES HOMBRES")</f>
        <v>ADOLESCENTES HOMBRES</v>
      </c>
    </row>
    <row r="1390" spans="1:13">
      <c r="A1390" s="42" t="str">
        <f ca="1">IFERROR(__xludf.DUMMYFUNCTION("""COMPUTED_VALUE"""),"2.1.1.11")</f>
        <v>2.1.1.11</v>
      </c>
      <c r="B1390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90" s="42" t="str">
        <f ca="1">IFERROR(__xludf.DUMMYFUNCTION("""COMPUTED_VALUE"""),"3. Operación")</f>
        <v>3. Operación</v>
      </c>
      <c r="D1390" s="42" t="str">
        <f ca="1">IFERROR(__xludf.DUMMYFUNCTION("""COMPUTED_VALUE"""),"Guadalajara en Paz")</f>
        <v>Guadalajara en Paz</v>
      </c>
      <c r="E1390" s="42" t="str">
        <f ca="1">IFERROR(__xludf.DUMMYFUNCTION("""COMPUTED_VALUE"""),"Atención en Laboratorio Clínico")</f>
        <v>Atención en Laboratorio Clínico</v>
      </c>
      <c r="F1390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90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90" s="42" t="str">
        <f ca="1">IFERROR(__xludf.DUMMYFUNCTION("""COMPUTED_VALUE"""),"MUJ Junio")</f>
        <v>MUJ Junio</v>
      </c>
      <c r="I1390" s="42" t="str">
        <f ca="1">IFERROR(__xludf.DUMMYFUNCTION("""COMPUTED_VALUE"""),"Junio")</f>
        <v>Junio</v>
      </c>
      <c r="J1390" s="42" t="str">
        <f ca="1">IFERROR(__xludf.DUMMYFUNCTION("""COMPUTED_VALUE"""),"MUJ")</f>
        <v>MUJ</v>
      </c>
      <c r="K1390" s="98">
        <f ca="1">IFERROR(__xludf.DUMMYFUNCTION("""COMPUTED_VALUE"""),453)</f>
        <v>453</v>
      </c>
      <c r="L1390" s="42" t="str">
        <f ca="1">IFERROR(__xludf.DUMMYFUNCTION("""COMPUTED_VALUE"""),"TRIMESTRE 2")</f>
        <v>TRIMESTRE 2</v>
      </c>
      <c r="M1390" s="42" t="str">
        <f ca="1">IFERROR(__xludf.DUMMYFUNCTION("""COMPUTED_VALUE"""),"MUJERES ADULTAS")</f>
        <v>MUJERES ADULTAS</v>
      </c>
    </row>
    <row r="1391" spans="1:13">
      <c r="A1391" s="42" t="str">
        <f ca="1">IFERROR(__xludf.DUMMYFUNCTION("""COMPUTED_VALUE"""),"2.1.1.11")</f>
        <v>2.1.1.11</v>
      </c>
      <c r="B1391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91" s="42" t="str">
        <f ca="1">IFERROR(__xludf.DUMMYFUNCTION("""COMPUTED_VALUE"""),"3. Operación")</f>
        <v>3. Operación</v>
      </c>
      <c r="D1391" s="42" t="str">
        <f ca="1">IFERROR(__xludf.DUMMYFUNCTION("""COMPUTED_VALUE"""),"Guadalajara en Paz")</f>
        <v>Guadalajara en Paz</v>
      </c>
      <c r="E1391" s="42" t="str">
        <f ca="1">IFERROR(__xludf.DUMMYFUNCTION("""COMPUTED_VALUE"""),"Atención en Laboratorio Clínico")</f>
        <v>Atención en Laboratorio Clínico</v>
      </c>
      <c r="F1391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91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91" s="42" t="str">
        <f ca="1">IFERROR(__xludf.DUMMYFUNCTION("""COMPUTED_VALUE"""),"HOM Junio")</f>
        <v>HOM Junio</v>
      </c>
      <c r="I1391" s="42" t="str">
        <f ca="1">IFERROR(__xludf.DUMMYFUNCTION("""COMPUTED_VALUE"""),"Junio")</f>
        <v>Junio</v>
      </c>
      <c r="J1391" s="42" t="str">
        <f ca="1">IFERROR(__xludf.DUMMYFUNCTION("""COMPUTED_VALUE"""),"HOM")</f>
        <v>HOM</v>
      </c>
      <c r="K1391" s="98">
        <f ca="1">IFERROR(__xludf.DUMMYFUNCTION("""COMPUTED_VALUE"""),264)</f>
        <v>264</v>
      </c>
      <c r="L1391" s="42" t="str">
        <f ca="1">IFERROR(__xludf.DUMMYFUNCTION("""COMPUTED_VALUE"""),"TRIMESTRE 2")</f>
        <v>TRIMESTRE 2</v>
      </c>
      <c r="M1391" s="42" t="str">
        <f ca="1">IFERROR(__xludf.DUMMYFUNCTION("""COMPUTED_VALUE"""),"HOMBRES ADULTOS")</f>
        <v>HOMBRES ADULTOS</v>
      </c>
    </row>
    <row r="1392" spans="1:13">
      <c r="A1392" s="42" t="str">
        <f ca="1">IFERROR(__xludf.DUMMYFUNCTION("""COMPUTED_VALUE"""),"2.1.1.11")</f>
        <v>2.1.1.11</v>
      </c>
      <c r="B1392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92" s="42" t="str">
        <f ca="1">IFERROR(__xludf.DUMMYFUNCTION("""COMPUTED_VALUE"""),"3. Operación")</f>
        <v>3. Operación</v>
      </c>
      <c r="D1392" s="42" t="str">
        <f ca="1">IFERROR(__xludf.DUMMYFUNCTION("""COMPUTED_VALUE"""),"Guadalajara en Paz")</f>
        <v>Guadalajara en Paz</v>
      </c>
      <c r="E1392" s="42" t="str">
        <f ca="1">IFERROR(__xludf.DUMMYFUNCTION("""COMPUTED_VALUE"""),"Atención en Laboratorio Clínico")</f>
        <v>Atención en Laboratorio Clínico</v>
      </c>
      <c r="F1392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92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92" s="42" t="str">
        <f ca="1">IFERROR(__xludf.DUMMYFUNCTION("""COMPUTED_VALUE"""),"AMM Junio")</f>
        <v>AMM Junio</v>
      </c>
      <c r="I1392" s="42" t="str">
        <f ca="1">IFERROR(__xludf.DUMMYFUNCTION("""COMPUTED_VALUE"""),"Junio")</f>
        <v>Junio</v>
      </c>
      <c r="J1392" s="42" t="str">
        <f ca="1">IFERROR(__xludf.DUMMYFUNCTION("""COMPUTED_VALUE"""),"AMM")</f>
        <v>AMM</v>
      </c>
      <c r="K1392" s="98">
        <f ca="1">IFERROR(__xludf.DUMMYFUNCTION("""COMPUTED_VALUE"""),182)</f>
        <v>182</v>
      </c>
      <c r="L1392" s="42" t="str">
        <f ca="1">IFERROR(__xludf.DUMMYFUNCTION("""COMPUTED_VALUE"""),"TRIMESTRE 2")</f>
        <v>TRIMESTRE 2</v>
      </c>
      <c r="M1392" s="42" t="str">
        <f ca="1">IFERROR(__xludf.DUMMYFUNCTION("""COMPUTED_VALUE"""),"ADULTA MAYOR MUJER")</f>
        <v>ADULTA MAYOR MUJER</v>
      </c>
    </row>
    <row r="1393" spans="1:13">
      <c r="A1393" s="42" t="str">
        <f ca="1">IFERROR(__xludf.DUMMYFUNCTION("""COMPUTED_VALUE"""),"2.1.1.11")</f>
        <v>2.1.1.11</v>
      </c>
      <c r="B1393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93" s="42" t="str">
        <f ca="1">IFERROR(__xludf.DUMMYFUNCTION("""COMPUTED_VALUE"""),"3. Operación")</f>
        <v>3. Operación</v>
      </c>
      <c r="D1393" s="42" t="str">
        <f ca="1">IFERROR(__xludf.DUMMYFUNCTION("""COMPUTED_VALUE"""),"Guadalajara en Paz")</f>
        <v>Guadalajara en Paz</v>
      </c>
      <c r="E1393" s="42" t="str">
        <f ca="1">IFERROR(__xludf.DUMMYFUNCTION("""COMPUTED_VALUE"""),"Atención en Laboratorio Clínico")</f>
        <v>Atención en Laboratorio Clínico</v>
      </c>
      <c r="F1393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93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93" s="42" t="str">
        <f ca="1">IFERROR(__xludf.DUMMYFUNCTION("""COMPUTED_VALUE"""),"AMH Junio")</f>
        <v>AMH Junio</v>
      </c>
      <c r="I1393" s="42" t="str">
        <f ca="1">IFERROR(__xludf.DUMMYFUNCTION("""COMPUTED_VALUE"""),"Junio")</f>
        <v>Junio</v>
      </c>
      <c r="J1393" s="42" t="str">
        <f ca="1">IFERROR(__xludf.DUMMYFUNCTION("""COMPUTED_VALUE"""),"AMH")</f>
        <v>AMH</v>
      </c>
      <c r="K1393" s="98">
        <f ca="1">IFERROR(__xludf.DUMMYFUNCTION("""COMPUTED_VALUE"""),139)</f>
        <v>139</v>
      </c>
      <c r="L1393" s="42" t="str">
        <f ca="1">IFERROR(__xludf.DUMMYFUNCTION("""COMPUTED_VALUE"""),"TRIMESTRE 2")</f>
        <v>TRIMESTRE 2</v>
      </c>
      <c r="M1393" s="42" t="str">
        <f ca="1">IFERROR(__xludf.DUMMYFUNCTION("""COMPUTED_VALUE"""),"ADULTO MAYOR HOMBRE")</f>
        <v>ADULTO MAYOR HOMBRE</v>
      </c>
    </row>
    <row r="1394" spans="1:13">
      <c r="A1394" s="42" t="str">
        <f ca="1">IFERROR(__xludf.DUMMYFUNCTION("""COMPUTED_VALUE"""),"2.1.1.11")</f>
        <v>2.1.1.11</v>
      </c>
      <c r="B1394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94" s="42" t="str">
        <f ca="1">IFERROR(__xludf.DUMMYFUNCTION("""COMPUTED_VALUE"""),"3. Operación")</f>
        <v>3. Operación</v>
      </c>
      <c r="D1394" s="42" t="str">
        <f ca="1">IFERROR(__xludf.DUMMYFUNCTION("""COMPUTED_VALUE"""),"Guadalajara en Paz")</f>
        <v>Guadalajara en Paz</v>
      </c>
      <c r="E1394" s="42" t="str">
        <f ca="1">IFERROR(__xludf.DUMMYFUNCTION("""COMPUTED_VALUE"""),"Atención en Laboratorio Clínico")</f>
        <v>Atención en Laboratorio Clínico</v>
      </c>
      <c r="F1394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94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94" s="42" t="str">
        <f ca="1">IFERROR(__xludf.DUMMYFUNCTION("""COMPUTED_VALUE"""),"NAS Julio")</f>
        <v>NAS Julio</v>
      </c>
      <c r="I1394" s="42" t="str">
        <f ca="1">IFERROR(__xludf.DUMMYFUNCTION("""COMPUTED_VALUE"""),"Julio")</f>
        <v>Julio</v>
      </c>
      <c r="J1394" s="42" t="str">
        <f ca="1">IFERROR(__xludf.DUMMYFUNCTION("""COMPUTED_VALUE"""),"NAS")</f>
        <v>NAS</v>
      </c>
      <c r="K1394" s="98">
        <f ca="1">IFERROR(__xludf.DUMMYFUNCTION("""COMPUTED_VALUE"""),603)</f>
        <v>603</v>
      </c>
      <c r="L1394" s="42" t="str">
        <f ca="1">IFERROR(__xludf.DUMMYFUNCTION("""COMPUTED_VALUE"""),"TRIMESTRE 3")</f>
        <v>TRIMESTRE 3</v>
      </c>
      <c r="M1394" s="42" t="str">
        <f ca="1">IFERROR(__xludf.DUMMYFUNCTION("""COMPUTED_VALUE"""),"NIÑAS")</f>
        <v>NIÑAS</v>
      </c>
    </row>
    <row r="1395" spans="1:13">
      <c r="A1395" s="42" t="str">
        <f ca="1">IFERROR(__xludf.DUMMYFUNCTION("""COMPUTED_VALUE"""),"2.1.1.11")</f>
        <v>2.1.1.11</v>
      </c>
      <c r="B1395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95" s="42" t="str">
        <f ca="1">IFERROR(__xludf.DUMMYFUNCTION("""COMPUTED_VALUE"""),"3. Operación")</f>
        <v>3. Operación</v>
      </c>
      <c r="D1395" s="42" t="str">
        <f ca="1">IFERROR(__xludf.DUMMYFUNCTION("""COMPUTED_VALUE"""),"Guadalajara en Paz")</f>
        <v>Guadalajara en Paz</v>
      </c>
      <c r="E1395" s="42" t="str">
        <f ca="1">IFERROR(__xludf.DUMMYFUNCTION("""COMPUTED_VALUE"""),"Atención en Laboratorio Clínico")</f>
        <v>Atención en Laboratorio Clínico</v>
      </c>
      <c r="F1395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95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95" s="42" t="str">
        <f ca="1">IFERROR(__xludf.DUMMYFUNCTION("""COMPUTED_VALUE"""),"NOS Julio")</f>
        <v>NOS Julio</v>
      </c>
      <c r="I1395" s="42" t="str">
        <f ca="1">IFERROR(__xludf.DUMMYFUNCTION("""COMPUTED_VALUE"""),"Julio")</f>
        <v>Julio</v>
      </c>
      <c r="J1395" s="42" t="str">
        <f ca="1">IFERROR(__xludf.DUMMYFUNCTION("""COMPUTED_VALUE"""),"NOS")</f>
        <v>NOS</v>
      </c>
      <c r="K1395" s="98">
        <f ca="1">IFERROR(__xludf.DUMMYFUNCTION("""COMPUTED_VALUE"""),606)</f>
        <v>606</v>
      </c>
      <c r="L1395" s="42" t="str">
        <f ca="1">IFERROR(__xludf.DUMMYFUNCTION("""COMPUTED_VALUE"""),"TRIMESTRE 3")</f>
        <v>TRIMESTRE 3</v>
      </c>
      <c r="M1395" s="42" t="str">
        <f ca="1">IFERROR(__xludf.DUMMYFUNCTION("""COMPUTED_VALUE"""),"NIÑOS")</f>
        <v>NIÑOS</v>
      </c>
    </row>
    <row r="1396" spans="1:13">
      <c r="A1396" s="42" t="str">
        <f ca="1">IFERROR(__xludf.DUMMYFUNCTION("""COMPUTED_VALUE"""),"2.1.1.11")</f>
        <v>2.1.1.11</v>
      </c>
      <c r="B1396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96" s="42" t="str">
        <f ca="1">IFERROR(__xludf.DUMMYFUNCTION("""COMPUTED_VALUE"""),"3. Operación")</f>
        <v>3. Operación</v>
      </c>
      <c r="D1396" s="42" t="str">
        <f ca="1">IFERROR(__xludf.DUMMYFUNCTION("""COMPUTED_VALUE"""),"Guadalajara en Paz")</f>
        <v>Guadalajara en Paz</v>
      </c>
      <c r="E1396" s="42" t="str">
        <f ca="1">IFERROR(__xludf.DUMMYFUNCTION("""COMPUTED_VALUE"""),"Atención en Laboratorio Clínico")</f>
        <v>Atención en Laboratorio Clínico</v>
      </c>
      <c r="F1396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96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96" s="42" t="str">
        <f ca="1">IFERROR(__xludf.DUMMYFUNCTION("""COMPUTED_VALUE"""),"AM JULIO")</f>
        <v>AM JULIO</v>
      </c>
      <c r="I1396" s="42" t="str">
        <f ca="1">IFERROR(__xludf.DUMMYFUNCTION("""COMPUTED_VALUE"""),"Julio")</f>
        <v>Julio</v>
      </c>
      <c r="J1396" s="42" t="str">
        <f ca="1">IFERROR(__xludf.DUMMYFUNCTION("""COMPUTED_VALUE"""),"AM")</f>
        <v>AM</v>
      </c>
      <c r="K1396" s="98">
        <f ca="1">IFERROR(__xludf.DUMMYFUNCTION("""COMPUTED_VALUE"""),9)</f>
        <v>9</v>
      </c>
      <c r="L1396" s="42" t="str">
        <f ca="1">IFERROR(__xludf.DUMMYFUNCTION("""COMPUTED_VALUE"""),"TRIMESTRE 3")</f>
        <v>TRIMESTRE 3</v>
      </c>
      <c r="M1396" s="42" t="str">
        <f ca="1">IFERROR(__xludf.DUMMYFUNCTION("""COMPUTED_VALUE"""),"ADOLESCENTES MUJERES")</f>
        <v>ADOLESCENTES MUJERES</v>
      </c>
    </row>
    <row r="1397" spans="1:13">
      <c r="A1397" s="42" t="str">
        <f ca="1">IFERROR(__xludf.DUMMYFUNCTION("""COMPUTED_VALUE"""),"2.1.1.11")</f>
        <v>2.1.1.11</v>
      </c>
      <c r="B1397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97" s="42" t="str">
        <f ca="1">IFERROR(__xludf.DUMMYFUNCTION("""COMPUTED_VALUE"""),"3. Operación")</f>
        <v>3. Operación</v>
      </c>
      <c r="D1397" s="42" t="str">
        <f ca="1">IFERROR(__xludf.DUMMYFUNCTION("""COMPUTED_VALUE"""),"Guadalajara en Paz")</f>
        <v>Guadalajara en Paz</v>
      </c>
      <c r="E1397" s="42" t="str">
        <f ca="1">IFERROR(__xludf.DUMMYFUNCTION("""COMPUTED_VALUE"""),"Atención en Laboratorio Clínico")</f>
        <v>Atención en Laboratorio Clínico</v>
      </c>
      <c r="F1397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97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97" s="42" t="str">
        <f ca="1">IFERROR(__xludf.DUMMYFUNCTION("""COMPUTED_VALUE"""),"AH JULIO")</f>
        <v>AH JULIO</v>
      </c>
      <c r="I1397" s="42" t="str">
        <f ca="1">IFERROR(__xludf.DUMMYFUNCTION("""COMPUTED_VALUE"""),"Julio")</f>
        <v>Julio</v>
      </c>
      <c r="J1397" s="42" t="str">
        <f ca="1">IFERROR(__xludf.DUMMYFUNCTION("""COMPUTED_VALUE"""),"AH")</f>
        <v>AH</v>
      </c>
      <c r="K1397" s="98">
        <f ca="1">IFERROR(__xludf.DUMMYFUNCTION("""COMPUTED_VALUE"""),48)</f>
        <v>48</v>
      </c>
      <c r="L1397" s="42" t="str">
        <f ca="1">IFERROR(__xludf.DUMMYFUNCTION("""COMPUTED_VALUE"""),"TRIMESTRE 3")</f>
        <v>TRIMESTRE 3</v>
      </c>
      <c r="M1397" s="42" t="str">
        <f ca="1">IFERROR(__xludf.DUMMYFUNCTION("""COMPUTED_VALUE"""),"ADOLESCENTES HOMBRES")</f>
        <v>ADOLESCENTES HOMBRES</v>
      </c>
    </row>
    <row r="1398" spans="1:13">
      <c r="A1398" s="42" t="str">
        <f ca="1">IFERROR(__xludf.DUMMYFUNCTION("""COMPUTED_VALUE"""),"2.1.1.11")</f>
        <v>2.1.1.11</v>
      </c>
      <c r="B1398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98" s="42" t="str">
        <f ca="1">IFERROR(__xludf.DUMMYFUNCTION("""COMPUTED_VALUE"""),"3. Operación")</f>
        <v>3. Operación</v>
      </c>
      <c r="D1398" s="42" t="str">
        <f ca="1">IFERROR(__xludf.DUMMYFUNCTION("""COMPUTED_VALUE"""),"Guadalajara en Paz")</f>
        <v>Guadalajara en Paz</v>
      </c>
      <c r="E1398" s="42" t="str">
        <f ca="1">IFERROR(__xludf.DUMMYFUNCTION("""COMPUTED_VALUE"""),"Atención en Laboratorio Clínico")</f>
        <v>Atención en Laboratorio Clínico</v>
      </c>
      <c r="F1398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98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98" s="42" t="str">
        <f ca="1">IFERROR(__xludf.DUMMYFUNCTION("""COMPUTED_VALUE"""),"MUJ Julio")</f>
        <v>MUJ Julio</v>
      </c>
      <c r="I1398" s="42" t="str">
        <f ca="1">IFERROR(__xludf.DUMMYFUNCTION("""COMPUTED_VALUE"""),"Julio")</f>
        <v>Julio</v>
      </c>
      <c r="J1398" s="42" t="str">
        <f ca="1">IFERROR(__xludf.DUMMYFUNCTION("""COMPUTED_VALUE"""),"MUJ")</f>
        <v>MUJ</v>
      </c>
      <c r="K1398" s="98">
        <f ca="1">IFERROR(__xludf.DUMMYFUNCTION("""COMPUTED_VALUE"""),632)</f>
        <v>632</v>
      </c>
      <c r="L1398" s="42" t="str">
        <f ca="1">IFERROR(__xludf.DUMMYFUNCTION("""COMPUTED_VALUE"""),"TRIMESTRE 3")</f>
        <v>TRIMESTRE 3</v>
      </c>
      <c r="M1398" s="42" t="str">
        <f ca="1">IFERROR(__xludf.DUMMYFUNCTION("""COMPUTED_VALUE"""),"MUJERES ADULTAS")</f>
        <v>MUJERES ADULTAS</v>
      </c>
    </row>
    <row r="1399" spans="1:13">
      <c r="A1399" s="42" t="str">
        <f ca="1">IFERROR(__xludf.DUMMYFUNCTION("""COMPUTED_VALUE"""),"2.1.1.11")</f>
        <v>2.1.1.11</v>
      </c>
      <c r="B1399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399" s="42" t="str">
        <f ca="1">IFERROR(__xludf.DUMMYFUNCTION("""COMPUTED_VALUE"""),"3. Operación")</f>
        <v>3. Operación</v>
      </c>
      <c r="D1399" s="42" t="str">
        <f ca="1">IFERROR(__xludf.DUMMYFUNCTION("""COMPUTED_VALUE"""),"Guadalajara en Paz")</f>
        <v>Guadalajara en Paz</v>
      </c>
      <c r="E1399" s="42" t="str">
        <f ca="1">IFERROR(__xludf.DUMMYFUNCTION("""COMPUTED_VALUE"""),"Atención en Laboratorio Clínico")</f>
        <v>Atención en Laboratorio Clínico</v>
      </c>
      <c r="F1399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399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399" s="42" t="str">
        <f ca="1">IFERROR(__xludf.DUMMYFUNCTION("""COMPUTED_VALUE"""),"HOM Julio")</f>
        <v>HOM Julio</v>
      </c>
      <c r="I1399" s="42" t="str">
        <f ca="1">IFERROR(__xludf.DUMMYFUNCTION("""COMPUTED_VALUE"""),"Julio")</f>
        <v>Julio</v>
      </c>
      <c r="J1399" s="42" t="str">
        <f ca="1">IFERROR(__xludf.DUMMYFUNCTION("""COMPUTED_VALUE"""),"HOM")</f>
        <v>HOM</v>
      </c>
      <c r="K1399" s="98">
        <f ca="1">IFERROR(__xludf.DUMMYFUNCTION("""COMPUTED_VALUE"""),318)</f>
        <v>318</v>
      </c>
      <c r="L1399" s="42" t="str">
        <f ca="1">IFERROR(__xludf.DUMMYFUNCTION("""COMPUTED_VALUE"""),"TRIMESTRE 3")</f>
        <v>TRIMESTRE 3</v>
      </c>
      <c r="M1399" s="42" t="str">
        <f ca="1">IFERROR(__xludf.DUMMYFUNCTION("""COMPUTED_VALUE"""),"HOMBRES ADULTOS")</f>
        <v>HOMBRES ADULTOS</v>
      </c>
    </row>
    <row r="1400" spans="1:13">
      <c r="A1400" s="42" t="str">
        <f ca="1">IFERROR(__xludf.DUMMYFUNCTION("""COMPUTED_VALUE"""),"2.1.1.11")</f>
        <v>2.1.1.11</v>
      </c>
      <c r="B1400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400" s="42" t="str">
        <f ca="1">IFERROR(__xludf.DUMMYFUNCTION("""COMPUTED_VALUE"""),"3. Operación")</f>
        <v>3. Operación</v>
      </c>
      <c r="D1400" s="42" t="str">
        <f ca="1">IFERROR(__xludf.DUMMYFUNCTION("""COMPUTED_VALUE"""),"Guadalajara en Paz")</f>
        <v>Guadalajara en Paz</v>
      </c>
      <c r="E1400" s="42" t="str">
        <f ca="1">IFERROR(__xludf.DUMMYFUNCTION("""COMPUTED_VALUE"""),"Atención en Laboratorio Clínico")</f>
        <v>Atención en Laboratorio Clínico</v>
      </c>
      <c r="F1400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400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400" s="42" t="str">
        <f ca="1">IFERROR(__xludf.DUMMYFUNCTION("""COMPUTED_VALUE"""),"AMM Julio")</f>
        <v>AMM Julio</v>
      </c>
      <c r="I1400" s="42" t="str">
        <f ca="1">IFERROR(__xludf.DUMMYFUNCTION("""COMPUTED_VALUE"""),"Julio")</f>
        <v>Julio</v>
      </c>
      <c r="J1400" s="42" t="str">
        <f ca="1">IFERROR(__xludf.DUMMYFUNCTION("""COMPUTED_VALUE"""),"AMM")</f>
        <v>AMM</v>
      </c>
      <c r="K1400" s="98">
        <f ca="1">IFERROR(__xludf.DUMMYFUNCTION("""COMPUTED_VALUE"""),237)</f>
        <v>237</v>
      </c>
      <c r="L1400" s="42" t="str">
        <f ca="1">IFERROR(__xludf.DUMMYFUNCTION("""COMPUTED_VALUE"""),"TRIMESTRE 3")</f>
        <v>TRIMESTRE 3</v>
      </c>
      <c r="M1400" s="42" t="str">
        <f ca="1">IFERROR(__xludf.DUMMYFUNCTION("""COMPUTED_VALUE"""),"ADULTA MAYOR MUJER")</f>
        <v>ADULTA MAYOR MUJER</v>
      </c>
    </row>
    <row r="1401" spans="1:13">
      <c r="A1401" s="42" t="str">
        <f ca="1">IFERROR(__xludf.DUMMYFUNCTION("""COMPUTED_VALUE"""),"2.1.1.11")</f>
        <v>2.1.1.11</v>
      </c>
      <c r="B1401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401" s="42" t="str">
        <f ca="1">IFERROR(__xludf.DUMMYFUNCTION("""COMPUTED_VALUE"""),"3. Operación")</f>
        <v>3. Operación</v>
      </c>
      <c r="D1401" s="42" t="str">
        <f ca="1">IFERROR(__xludf.DUMMYFUNCTION("""COMPUTED_VALUE"""),"Guadalajara en Paz")</f>
        <v>Guadalajara en Paz</v>
      </c>
      <c r="E1401" s="42" t="str">
        <f ca="1">IFERROR(__xludf.DUMMYFUNCTION("""COMPUTED_VALUE"""),"Atención en Laboratorio Clínico")</f>
        <v>Atención en Laboratorio Clínico</v>
      </c>
      <c r="F1401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401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401" s="42" t="str">
        <f ca="1">IFERROR(__xludf.DUMMYFUNCTION("""COMPUTED_VALUE"""),"AMH Julio")</f>
        <v>AMH Julio</v>
      </c>
      <c r="I1401" s="42" t="str">
        <f ca="1">IFERROR(__xludf.DUMMYFUNCTION("""COMPUTED_VALUE"""),"Julio")</f>
        <v>Julio</v>
      </c>
      <c r="J1401" s="42" t="str">
        <f ca="1">IFERROR(__xludf.DUMMYFUNCTION("""COMPUTED_VALUE"""),"AMH")</f>
        <v>AMH</v>
      </c>
      <c r="K1401" s="98">
        <f ca="1">IFERROR(__xludf.DUMMYFUNCTION("""COMPUTED_VALUE"""),118)</f>
        <v>118</v>
      </c>
      <c r="L1401" s="42" t="str">
        <f ca="1">IFERROR(__xludf.DUMMYFUNCTION("""COMPUTED_VALUE"""),"TRIMESTRE 3")</f>
        <v>TRIMESTRE 3</v>
      </c>
      <c r="M1401" s="42" t="str">
        <f ca="1">IFERROR(__xludf.DUMMYFUNCTION("""COMPUTED_VALUE"""),"ADULTO MAYOR HOMBRE")</f>
        <v>ADULTO MAYOR HOMBRE</v>
      </c>
    </row>
    <row r="1402" spans="1:13">
      <c r="A1402" s="42" t="str">
        <f ca="1">IFERROR(__xludf.DUMMYFUNCTION("""COMPUTED_VALUE"""),"2.1.1.11")</f>
        <v>2.1.1.11</v>
      </c>
      <c r="B1402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402" s="42" t="str">
        <f ca="1">IFERROR(__xludf.DUMMYFUNCTION("""COMPUTED_VALUE"""),"3. Operación")</f>
        <v>3. Operación</v>
      </c>
      <c r="D1402" s="42" t="str">
        <f ca="1">IFERROR(__xludf.DUMMYFUNCTION("""COMPUTED_VALUE"""),"Guadalajara en Paz")</f>
        <v>Guadalajara en Paz</v>
      </c>
      <c r="E1402" s="42" t="str">
        <f ca="1">IFERROR(__xludf.DUMMYFUNCTION("""COMPUTED_VALUE"""),"Atención en Laboratorio Clínico")</f>
        <v>Atención en Laboratorio Clínico</v>
      </c>
      <c r="F1402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402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402" s="42" t="str">
        <f ca="1">IFERROR(__xludf.DUMMYFUNCTION("""COMPUTED_VALUE"""),"NAS Agosto")</f>
        <v>NAS Agosto</v>
      </c>
      <c r="I1402" s="42" t="str">
        <f ca="1">IFERROR(__xludf.DUMMYFUNCTION("""COMPUTED_VALUE"""),"Agosto")</f>
        <v>Agosto</v>
      </c>
      <c r="J1402" s="42" t="str">
        <f ca="1">IFERROR(__xludf.DUMMYFUNCTION("""COMPUTED_VALUE"""),"NAS")</f>
        <v>NAS</v>
      </c>
      <c r="K1402" s="98">
        <f ca="1">IFERROR(__xludf.DUMMYFUNCTION("""COMPUTED_VALUE"""),532)</f>
        <v>532</v>
      </c>
      <c r="L1402" s="42" t="str">
        <f ca="1">IFERROR(__xludf.DUMMYFUNCTION("""COMPUTED_VALUE"""),"TRIMESTRE 3")</f>
        <v>TRIMESTRE 3</v>
      </c>
      <c r="M1402" s="42" t="str">
        <f ca="1">IFERROR(__xludf.DUMMYFUNCTION("""COMPUTED_VALUE"""),"NIÑAS")</f>
        <v>NIÑAS</v>
      </c>
    </row>
    <row r="1403" spans="1:13">
      <c r="A1403" s="42" t="str">
        <f ca="1">IFERROR(__xludf.DUMMYFUNCTION("""COMPUTED_VALUE"""),"2.1.1.11")</f>
        <v>2.1.1.11</v>
      </c>
      <c r="B1403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403" s="42" t="str">
        <f ca="1">IFERROR(__xludf.DUMMYFUNCTION("""COMPUTED_VALUE"""),"3. Operación")</f>
        <v>3. Operación</v>
      </c>
      <c r="D1403" s="42" t="str">
        <f ca="1">IFERROR(__xludf.DUMMYFUNCTION("""COMPUTED_VALUE"""),"Guadalajara en Paz")</f>
        <v>Guadalajara en Paz</v>
      </c>
      <c r="E1403" s="42" t="str">
        <f ca="1">IFERROR(__xludf.DUMMYFUNCTION("""COMPUTED_VALUE"""),"Atención en Laboratorio Clínico")</f>
        <v>Atención en Laboratorio Clínico</v>
      </c>
      <c r="F1403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403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403" s="42" t="str">
        <f ca="1">IFERROR(__xludf.DUMMYFUNCTION("""COMPUTED_VALUE"""),"NOS Agosto")</f>
        <v>NOS Agosto</v>
      </c>
      <c r="I1403" s="42" t="str">
        <f ca="1">IFERROR(__xludf.DUMMYFUNCTION("""COMPUTED_VALUE"""),"Agosto")</f>
        <v>Agosto</v>
      </c>
      <c r="J1403" s="42" t="str">
        <f ca="1">IFERROR(__xludf.DUMMYFUNCTION("""COMPUTED_VALUE"""),"NOS")</f>
        <v>NOS</v>
      </c>
      <c r="K1403" s="98">
        <f ca="1">IFERROR(__xludf.DUMMYFUNCTION("""COMPUTED_VALUE"""),711)</f>
        <v>711</v>
      </c>
      <c r="L1403" s="42" t="str">
        <f ca="1">IFERROR(__xludf.DUMMYFUNCTION("""COMPUTED_VALUE"""),"TRIMESTRE 3")</f>
        <v>TRIMESTRE 3</v>
      </c>
      <c r="M1403" s="42" t="str">
        <f ca="1">IFERROR(__xludf.DUMMYFUNCTION("""COMPUTED_VALUE"""),"NIÑOS")</f>
        <v>NIÑOS</v>
      </c>
    </row>
    <row r="1404" spans="1:13">
      <c r="A1404" s="42" t="str">
        <f ca="1">IFERROR(__xludf.DUMMYFUNCTION("""COMPUTED_VALUE"""),"2.1.1.11")</f>
        <v>2.1.1.11</v>
      </c>
      <c r="B1404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404" s="42" t="str">
        <f ca="1">IFERROR(__xludf.DUMMYFUNCTION("""COMPUTED_VALUE"""),"3. Operación")</f>
        <v>3. Operación</v>
      </c>
      <c r="D1404" s="42" t="str">
        <f ca="1">IFERROR(__xludf.DUMMYFUNCTION("""COMPUTED_VALUE"""),"Guadalajara en Paz")</f>
        <v>Guadalajara en Paz</v>
      </c>
      <c r="E1404" s="42" t="str">
        <f ca="1">IFERROR(__xludf.DUMMYFUNCTION("""COMPUTED_VALUE"""),"Atención en Laboratorio Clínico")</f>
        <v>Atención en Laboratorio Clínico</v>
      </c>
      <c r="F1404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404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404" s="42" t="str">
        <f ca="1">IFERROR(__xludf.DUMMYFUNCTION("""COMPUTED_VALUE"""),"AM AGOSTO")</f>
        <v>AM AGOSTO</v>
      </c>
      <c r="I1404" s="42" t="str">
        <f ca="1">IFERROR(__xludf.DUMMYFUNCTION("""COMPUTED_VALUE"""),"Agosto")</f>
        <v>Agosto</v>
      </c>
      <c r="J1404" s="42" t="str">
        <f ca="1">IFERROR(__xludf.DUMMYFUNCTION("""COMPUTED_VALUE"""),"AM")</f>
        <v>AM</v>
      </c>
      <c r="K1404" s="98">
        <f ca="1">IFERROR(__xludf.DUMMYFUNCTION("""COMPUTED_VALUE"""),44)</f>
        <v>44</v>
      </c>
      <c r="L1404" s="42" t="str">
        <f ca="1">IFERROR(__xludf.DUMMYFUNCTION("""COMPUTED_VALUE"""),"TRIMESTRE 3")</f>
        <v>TRIMESTRE 3</v>
      </c>
      <c r="M1404" s="42" t="str">
        <f ca="1">IFERROR(__xludf.DUMMYFUNCTION("""COMPUTED_VALUE"""),"ADOLESCENTES MUJERES")</f>
        <v>ADOLESCENTES MUJERES</v>
      </c>
    </row>
    <row r="1405" spans="1:13">
      <c r="A1405" s="42" t="str">
        <f ca="1">IFERROR(__xludf.DUMMYFUNCTION("""COMPUTED_VALUE"""),"2.1.1.11")</f>
        <v>2.1.1.11</v>
      </c>
      <c r="B1405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405" s="42" t="str">
        <f ca="1">IFERROR(__xludf.DUMMYFUNCTION("""COMPUTED_VALUE"""),"3. Operación")</f>
        <v>3. Operación</v>
      </c>
      <c r="D1405" s="42" t="str">
        <f ca="1">IFERROR(__xludf.DUMMYFUNCTION("""COMPUTED_VALUE"""),"Guadalajara en Paz")</f>
        <v>Guadalajara en Paz</v>
      </c>
      <c r="E1405" s="42" t="str">
        <f ca="1">IFERROR(__xludf.DUMMYFUNCTION("""COMPUTED_VALUE"""),"Atención en Laboratorio Clínico")</f>
        <v>Atención en Laboratorio Clínico</v>
      </c>
      <c r="F1405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405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405" s="42" t="str">
        <f ca="1">IFERROR(__xludf.DUMMYFUNCTION("""COMPUTED_VALUE"""),"AH AGOSTO")</f>
        <v>AH AGOSTO</v>
      </c>
      <c r="I1405" s="42" t="str">
        <f ca="1">IFERROR(__xludf.DUMMYFUNCTION("""COMPUTED_VALUE"""),"Agosto")</f>
        <v>Agosto</v>
      </c>
      <c r="J1405" s="42" t="str">
        <f ca="1">IFERROR(__xludf.DUMMYFUNCTION("""COMPUTED_VALUE"""),"AH")</f>
        <v>AH</v>
      </c>
      <c r="K1405" s="98">
        <f ca="1">IFERROR(__xludf.DUMMYFUNCTION("""COMPUTED_VALUE"""),235)</f>
        <v>235</v>
      </c>
      <c r="L1405" s="42" t="str">
        <f ca="1">IFERROR(__xludf.DUMMYFUNCTION("""COMPUTED_VALUE"""),"TRIMESTRE 3")</f>
        <v>TRIMESTRE 3</v>
      </c>
      <c r="M1405" s="42" t="str">
        <f ca="1">IFERROR(__xludf.DUMMYFUNCTION("""COMPUTED_VALUE"""),"ADOLESCENTES HOMBRES")</f>
        <v>ADOLESCENTES HOMBRES</v>
      </c>
    </row>
    <row r="1406" spans="1:13">
      <c r="A1406" s="42" t="str">
        <f ca="1">IFERROR(__xludf.DUMMYFUNCTION("""COMPUTED_VALUE"""),"2.1.1.11")</f>
        <v>2.1.1.11</v>
      </c>
      <c r="B1406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406" s="42" t="str">
        <f ca="1">IFERROR(__xludf.DUMMYFUNCTION("""COMPUTED_VALUE"""),"3. Operación")</f>
        <v>3. Operación</v>
      </c>
      <c r="D1406" s="42" t="str">
        <f ca="1">IFERROR(__xludf.DUMMYFUNCTION("""COMPUTED_VALUE"""),"Guadalajara en Paz")</f>
        <v>Guadalajara en Paz</v>
      </c>
      <c r="E1406" s="42" t="str">
        <f ca="1">IFERROR(__xludf.DUMMYFUNCTION("""COMPUTED_VALUE"""),"Atención en Laboratorio Clínico")</f>
        <v>Atención en Laboratorio Clínico</v>
      </c>
      <c r="F1406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406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406" s="42" t="str">
        <f ca="1">IFERROR(__xludf.DUMMYFUNCTION("""COMPUTED_VALUE"""),"MUJ Agosto")</f>
        <v>MUJ Agosto</v>
      </c>
      <c r="I1406" s="42" t="str">
        <f ca="1">IFERROR(__xludf.DUMMYFUNCTION("""COMPUTED_VALUE"""),"Agosto")</f>
        <v>Agosto</v>
      </c>
      <c r="J1406" s="42" t="str">
        <f ca="1">IFERROR(__xludf.DUMMYFUNCTION("""COMPUTED_VALUE"""),"MUJ")</f>
        <v>MUJ</v>
      </c>
      <c r="K1406" s="98">
        <f ca="1">IFERROR(__xludf.DUMMYFUNCTION("""COMPUTED_VALUE"""),574)</f>
        <v>574</v>
      </c>
      <c r="L1406" s="42" t="str">
        <f ca="1">IFERROR(__xludf.DUMMYFUNCTION("""COMPUTED_VALUE"""),"TRIMESTRE 3")</f>
        <v>TRIMESTRE 3</v>
      </c>
      <c r="M1406" s="42" t="str">
        <f ca="1">IFERROR(__xludf.DUMMYFUNCTION("""COMPUTED_VALUE"""),"MUJERES ADULTAS")</f>
        <v>MUJERES ADULTAS</v>
      </c>
    </row>
    <row r="1407" spans="1:13">
      <c r="A1407" s="42" t="str">
        <f ca="1">IFERROR(__xludf.DUMMYFUNCTION("""COMPUTED_VALUE"""),"2.1.1.11")</f>
        <v>2.1.1.11</v>
      </c>
      <c r="B1407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407" s="42" t="str">
        <f ca="1">IFERROR(__xludf.DUMMYFUNCTION("""COMPUTED_VALUE"""),"3. Operación")</f>
        <v>3. Operación</v>
      </c>
      <c r="D1407" s="42" t="str">
        <f ca="1">IFERROR(__xludf.DUMMYFUNCTION("""COMPUTED_VALUE"""),"Guadalajara en Paz")</f>
        <v>Guadalajara en Paz</v>
      </c>
      <c r="E1407" s="42" t="str">
        <f ca="1">IFERROR(__xludf.DUMMYFUNCTION("""COMPUTED_VALUE"""),"Atención en Laboratorio Clínico")</f>
        <v>Atención en Laboratorio Clínico</v>
      </c>
      <c r="F1407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407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407" s="42" t="str">
        <f ca="1">IFERROR(__xludf.DUMMYFUNCTION("""COMPUTED_VALUE"""),"HOM Agosto")</f>
        <v>HOM Agosto</v>
      </c>
      <c r="I1407" s="42" t="str">
        <f ca="1">IFERROR(__xludf.DUMMYFUNCTION("""COMPUTED_VALUE"""),"Agosto")</f>
        <v>Agosto</v>
      </c>
      <c r="J1407" s="42" t="str">
        <f ca="1">IFERROR(__xludf.DUMMYFUNCTION("""COMPUTED_VALUE"""),"HOM")</f>
        <v>HOM</v>
      </c>
      <c r="K1407" s="98">
        <f ca="1">IFERROR(__xludf.DUMMYFUNCTION("""COMPUTED_VALUE"""),566)</f>
        <v>566</v>
      </c>
      <c r="L1407" s="42" t="str">
        <f ca="1">IFERROR(__xludf.DUMMYFUNCTION("""COMPUTED_VALUE"""),"TRIMESTRE 3")</f>
        <v>TRIMESTRE 3</v>
      </c>
      <c r="M1407" s="42" t="str">
        <f ca="1">IFERROR(__xludf.DUMMYFUNCTION("""COMPUTED_VALUE"""),"HOMBRES ADULTOS")</f>
        <v>HOMBRES ADULTOS</v>
      </c>
    </row>
    <row r="1408" spans="1:13">
      <c r="A1408" s="42" t="str">
        <f ca="1">IFERROR(__xludf.DUMMYFUNCTION("""COMPUTED_VALUE"""),"2.1.1.11")</f>
        <v>2.1.1.11</v>
      </c>
      <c r="B1408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408" s="42" t="str">
        <f ca="1">IFERROR(__xludf.DUMMYFUNCTION("""COMPUTED_VALUE"""),"3. Operación")</f>
        <v>3. Operación</v>
      </c>
      <c r="D1408" s="42" t="str">
        <f ca="1">IFERROR(__xludf.DUMMYFUNCTION("""COMPUTED_VALUE"""),"Guadalajara en Paz")</f>
        <v>Guadalajara en Paz</v>
      </c>
      <c r="E1408" s="42" t="str">
        <f ca="1">IFERROR(__xludf.DUMMYFUNCTION("""COMPUTED_VALUE"""),"Atención en Laboratorio Clínico")</f>
        <v>Atención en Laboratorio Clínico</v>
      </c>
      <c r="F1408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408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408" s="42" t="str">
        <f ca="1">IFERROR(__xludf.DUMMYFUNCTION("""COMPUTED_VALUE"""),"AMM Agosto")</f>
        <v>AMM Agosto</v>
      </c>
      <c r="I1408" s="42" t="str">
        <f ca="1">IFERROR(__xludf.DUMMYFUNCTION("""COMPUTED_VALUE"""),"Agosto")</f>
        <v>Agosto</v>
      </c>
      <c r="J1408" s="42" t="str">
        <f ca="1">IFERROR(__xludf.DUMMYFUNCTION("""COMPUTED_VALUE"""),"AMM")</f>
        <v>AMM</v>
      </c>
      <c r="K1408" s="98">
        <f ca="1">IFERROR(__xludf.DUMMYFUNCTION("""COMPUTED_VALUE"""),211)</f>
        <v>211</v>
      </c>
      <c r="L1408" s="42" t="str">
        <f ca="1">IFERROR(__xludf.DUMMYFUNCTION("""COMPUTED_VALUE"""),"TRIMESTRE 3")</f>
        <v>TRIMESTRE 3</v>
      </c>
      <c r="M1408" s="42" t="str">
        <f ca="1">IFERROR(__xludf.DUMMYFUNCTION("""COMPUTED_VALUE"""),"ADULTA MAYOR MUJER")</f>
        <v>ADULTA MAYOR MUJER</v>
      </c>
    </row>
    <row r="1409" spans="1:13">
      <c r="A1409" s="42" t="str">
        <f ca="1">IFERROR(__xludf.DUMMYFUNCTION("""COMPUTED_VALUE"""),"2.1.1.11")</f>
        <v>2.1.1.11</v>
      </c>
      <c r="B1409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409" s="42" t="str">
        <f ca="1">IFERROR(__xludf.DUMMYFUNCTION("""COMPUTED_VALUE"""),"3. Operación")</f>
        <v>3. Operación</v>
      </c>
      <c r="D1409" s="42" t="str">
        <f ca="1">IFERROR(__xludf.DUMMYFUNCTION("""COMPUTED_VALUE"""),"Guadalajara en Paz")</f>
        <v>Guadalajara en Paz</v>
      </c>
      <c r="E1409" s="42" t="str">
        <f ca="1">IFERROR(__xludf.DUMMYFUNCTION("""COMPUTED_VALUE"""),"Atención en Laboratorio Clínico")</f>
        <v>Atención en Laboratorio Clínico</v>
      </c>
      <c r="F1409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409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409" s="42" t="str">
        <f ca="1">IFERROR(__xludf.DUMMYFUNCTION("""COMPUTED_VALUE"""),"AMH Agosto")</f>
        <v>AMH Agosto</v>
      </c>
      <c r="I1409" s="42" t="str">
        <f ca="1">IFERROR(__xludf.DUMMYFUNCTION("""COMPUTED_VALUE"""),"Agosto")</f>
        <v>Agosto</v>
      </c>
      <c r="J1409" s="42" t="str">
        <f ca="1">IFERROR(__xludf.DUMMYFUNCTION("""COMPUTED_VALUE"""),"AMH")</f>
        <v>AMH</v>
      </c>
      <c r="K1409" s="98">
        <f ca="1">IFERROR(__xludf.DUMMYFUNCTION("""COMPUTED_VALUE"""),206)</f>
        <v>206</v>
      </c>
      <c r="L1409" s="42" t="str">
        <f ca="1">IFERROR(__xludf.DUMMYFUNCTION("""COMPUTED_VALUE"""),"TRIMESTRE 3")</f>
        <v>TRIMESTRE 3</v>
      </c>
      <c r="M1409" s="42" t="str">
        <f ca="1">IFERROR(__xludf.DUMMYFUNCTION("""COMPUTED_VALUE"""),"ADULTO MAYOR HOMBRE")</f>
        <v>ADULTO MAYOR HOMBRE</v>
      </c>
    </row>
    <row r="1410" spans="1:13">
      <c r="A1410" s="42" t="str">
        <f ca="1">IFERROR(__xludf.DUMMYFUNCTION("""COMPUTED_VALUE"""),"2.1.1.11")</f>
        <v>2.1.1.11</v>
      </c>
      <c r="B1410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410" s="42" t="str">
        <f ca="1">IFERROR(__xludf.DUMMYFUNCTION("""COMPUTED_VALUE"""),"3. Operación")</f>
        <v>3. Operación</v>
      </c>
      <c r="D1410" s="42" t="str">
        <f ca="1">IFERROR(__xludf.DUMMYFUNCTION("""COMPUTED_VALUE"""),"Guadalajara en Paz")</f>
        <v>Guadalajara en Paz</v>
      </c>
      <c r="E1410" s="42" t="str">
        <f ca="1">IFERROR(__xludf.DUMMYFUNCTION("""COMPUTED_VALUE"""),"Atención en Laboratorio Clínico")</f>
        <v>Atención en Laboratorio Clínico</v>
      </c>
      <c r="F1410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410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410" s="42" t="str">
        <f ca="1">IFERROR(__xludf.DUMMYFUNCTION("""COMPUTED_VALUE"""),"NAS Septiembre")</f>
        <v>NAS Septiembre</v>
      </c>
      <c r="I1410" s="42" t="str">
        <f ca="1">IFERROR(__xludf.DUMMYFUNCTION("""COMPUTED_VALUE"""),"Septiembre")</f>
        <v>Septiembre</v>
      </c>
      <c r="J1410" s="42" t="str">
        <f ca="1">IFERROR(__xludf.DUMMYFUNCTION("""COMPUTED_VALUE"""),"NAS")</f>
        <v>NAS</v>
      </c>
      <c r="K1410" s="98">
        <f ca="1">IFERROR(__xludf.DUMMYFUNCTION("""COMPUTED_VALUE"""),542)</f>
        <v>542</v>
      </c>
      <c r="L1410" s="42" t="str">
        <f ca="1">IFERROR(__xludf.DUMMYFUNCTION("""COMPUTED_VALUE"""),"TRIMESTRE 3")</f>
        <v>TRIMESTRE 3</v>
      </c>
      <c r="M1410" s="42" t="str">
        <f ca="1">IFERROR(__xludf.DUMMYFUNCTION("""COMPUTED_VALUE"""),"NIÑAS")</f>
        <v>NIÑAS</v>
      </c>
    </row>
    <row r="1411" spans="1:13">
      <c r="A1411" s="42" t="str">
        <f ca="1">IFERROR(__xludf.DUMMYFUNCTION("""COMPUTED_VALUE"""),"2.1.1.11")</f>
        <v>2.1.1.11</v>
      </c>
      <c r="B1411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411" s="42" t="str">
        <f ca="1">IFERROR(__xludf.DUMMYFUNCTION("""COMPUTED_VALUE"""),"3. Operación")</f>
        <v>3. Operación</v>
      </c>
      <c r="D1411" s="42" t="str">
        <f ca="1">IFERROR(__xludf.DUMMYFUNCTION("""COMPUTED_VALUE"""),"Guadalajara en Paz")</f>
        <v>Guadalajara en Paz</v>
      </c>
      <c r="E1411" s="42" t="str">
        <f ca="1">IFERROR(__xludf.DUMMYFUNCTION("""COMPUTED_VALUE"""),"Atención en Laboratorio Clínico")</f>
        <v>Atención en Laboratorio Clínico</v>
      </c>
      <c r="F1411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411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411" s="42" t="str">
        <f ca="1">IFERROR(__xludf.DUMMYFUNCTION("""COMPUTED_VALUE"""),"NOS Septiembre")</f>
        <v>NOS Septiembre</v>
      </c>
      <c r="I1411" s="42" t="str">
        <f ca="1">IFERROR(__xludf.DUMMYFUNCTION("""COMPUTED_VALUE"""),"Septiembre")</f>
        <v>Septiembre</v>
      </c>
      <c r="J1411" s="42" t="str">
        <f ca="1">IFERROR(__xludf.DUMMYFUNCTION("""COMPUTED_VALUE"""),"NOS")</f>
        <v>NOS</v>
      </c>
      <c r="K1411" s="98">
        <f ca="1">IFERROR(__xludf.DUMMYFUNCTION("""COMPUTED_VALUE"""),623)</f>
        <v>623</v>
      </c>
      <c r="L1411" s="42" t="str">
        <f ca="1">IFERROR(__xludf.DUMMYFUNCTION("""COMPUTED_VALUE"""),"TRIMESTRE 3")</f>
        <v>TRIMESTRE 3</v>
      </c>
      <c r="M1411" s="42" t="str">
        <f ca="1">IFERROR(__xludf.DUMMYFUNCTION("""COMPUTED_VALUE"""),"NIÑOS")</f>
        <v>NIÑOS</v>
      </c>
    </row>
    <row r="1412" spans="1:13">
      <c r="A1412" s="42" t="str">
        <f ca="1">IFERROR(__xludf.DUMMYFUNCTION("""COMPUTED_VALUE"""),"2.1.1.11")</f>
        <v>2.1.1.11</v>
      </c>
      <c r="B1412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412" s="42" t="str">
        <f ca="1">IFERROR(__xludf.DUMMYFUNCTION("""COMPUTED_VALUE"""),"3. Operación")</f>
        <v>3. Operación</v>
      </c>
      <c r="D1412" s="42" t="str">
        <f ca="1">IFERROR(__xludf.DUMMYFUNCTION("""COMPUTED_VALUE"""),"Guadalajara en Paz")</f>
        <v>Guadalajara en Paz</v>
      </c>
      <c r="E1412" s="42" t="str">
        <f ca="1">IFERROR(__xludf.DUMMYFUNCTION("""COMPUTED_VALUE"""),"Atención en Laboratorio Clínico")</f>
        <v>Atención en Laboratorio Clínico</v>
      </c>
      <c r="F1412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412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412" s="42" t="str">
        <f ca="1">IFERROR(__xludf.DUMMYFUNCTION("""COMPUTED_VALUE"""),"AM SEPTIEMBRE")</f>
        <v>AM SEPTIEMBRE</v>
      </c>
      <c r="I1412" s="42" t="str">
        <f ca="1">IFERROR(__xludf.DUMMYFUNCTION("""COMPUTED_VALUE"""),"Septiembre")</f>
        <v>Septiembre</v>
      </c>
      <c r="J1412" s="42" t="str">
        <f ca="1">IFERROR(__xludf.DUMMYFUNCTION("""COMPUTED_VALUE"""),"AM")</f>
        <v>AM</v>
      </c>
      <c r="K1412" s="98">
        <f ca="1">IFERROR(__xludf.DUMMYFUNCTION("""COMPUTED_VALUE"""),41)</f>
        <v>41</v>
      </c>
      <c r="L1412" s="42" t="str">
        <f ca="1">IFERROR(__xludf.DUMMYFUNCTION("""COMPUTED_VALUE"""),"TRIMESTRE 3")</f>
        <v>TRIMESTRE 3</v>
      </c>
      <c r="M1412" s="42" t="str">
        <f ca="1">IFERROR(__xludf.DUMMYFUNCTION("""COMPUTED_VALUE"""),"ADOLESCENTES MUJERES")</f>
        <v>ADOLESCENTES MUJERES</v>
      </c>
    </row>
    <row r="1413" spans="1:13">
      <c r="A1413" s="42" t="str">
        <f ca="1">IFERROR(__xludf.DUMMYFUNCTION("""COMPUTED_VALUE"""),"2.1.1.11")</f>
        <v>2.1.1.11</v>
      </c>
      <c r="B1413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413" s="42" t="str">
        <f ca="1">IFERROR(__xludf.DUMMYFUNCTION("""COMPUTED_VALUE"""),"3. Operación")</f>
        <v>3. Operación</v>
      </c>
      <c r="D1413" s="42" t="str">
        <f ca="1">IFERROR(__xludf.DUMMYFUNCTION("""COMPUTED_VALUE"""),"Guadalajara en Paz")</f>
        <v>Guadalajara en Paz</v>
      </c>
      <c r="E1413" s="42" t="str">
        <f ca="1">IFERROR(__xludf.DUMMYFUNCTION("""COMPUTED_VALUE"""),"Atención en Laboratorio Clínico")</f>
        <v>Atención en Laboratorio Clínico</v>
      </c>
      <c r="F1413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413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413" s="42" t="str">
        <f ca="1">IFERROR(__xludf.DUMMYFUNCTION("""COMPUTED_VALUE"""),"AH SEPTIEMBRE")</f>
        <v>AH SEPTIEMBRE</v>
      </c>
      <c r="I1413" s="42" t="str">
        <f ca="1">IFERROR(__xludf.DUMMYFUNCTION("""COMPUTED_VALUE"""),"Septiembre")</f>
        <v>Septiembre</v>
      </c>
      <c r="J1413" s="42" t="str">
        <f ca="1">IFERROR(__xludf.DUMMYFUNCTION("""COMPUTED_VALUE"""),"AH")</f>
        <v>AH</v>
      </c>
      <c r="K1413" s="98">
        <f ca="1">IFERROR(__xludf.DUMMYFUNCTION("""COMPUTED_VALUE"""),14)</f>
        <v>14</v>
      </c>
      <c r="L1413" s="42" t="str">
        <f ca="1">IFERROR(__xludf.DUMMYFUNCTION("""COMPUTED_VALUE"""),"TRIMESTRE 3")</f>
        <v>TRIMESTRE 3</v>
      </c>
      <c r="M1413" s="42" t="str">
        <f ca="1">IFERROR(__xludf.DUMMYFUNCTION("""COMPUTED_VALUE"""),"ADOLESCENTES HOMBRES")</f>
        <v>ADOLESCENTES HOMBRES</v>
      </c>
    </row>
    <row r="1414" spans="1:13">
      <c r="A1414" s="42" t="str">
        <f ca="1">IFERROR(__xludf.DUMMYFUNCTION("""COMPUTED_VALUE"""),"2.1.1.11")</f>
        <v>2.1.1.11</v>
      </c>
      <c r="B1414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414" s="42" t="str">
        <f ca="1">IFERROR(__xludf.DUMMYFUNCTION("""COMPUTED_VALUE"""),"3. Operación")</f>
        <v>3. Operación</v>
      </c>
      <c r="D1414" s="42" t="str">
        <f ca="1">IFERROR(__xludf.DUMMYFUNCTION("""COMPUTED_VALUE"""),"Guadalajara en Paz")</f>
        <v>Guadalajara en Paz</v>
      </c>
      <c r="E1414" s="42" t="str">
        <f ca="1">IFERROR(__xludf.DUMMYFUNCTION("""COMPUTED_VALUE"""),"Atención en Laboratorio Clínico")</f>
        <v>Atención en Laboratorio Clínico</v>
      </c>
      <c r="F1414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414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414" s="42" t="str">
        <f ca="1">IFERROR(__xludf.DUMMYFUNCTION("""COMPUTED_VALUE"""),"MUJ Septiembre")</f>
        <v>MUJ Septiembre</v>
      </c>
      <c r="I1414" s="42" t="str">
        <f ca="1">IFERROR(__xludf.DUMMYFUNCTION("""COMPUTED_VALUE"""),"Septiembre")</f>
        <v>Septiembre</v>
      </c>
      <c r="J1414" s="42" t="str">
        <f ca="1">IFERROR(__xludf.DUMMYFUNCTION("""COMPUTED_VALUE"""),"MUJ")</f>
        <v>MUJ</v>
      </c>
      <c r="K1414" s="98">
        <f ca="1">IFERROR(__xludf.DUMMYFUNCTION("""COMPUTED_VALUE"""),471)</f>
        <v>471</v>
      </c>
      <c r="L1414" s="42" t="str">
        <f ca="1">IFERROR(__xludf.DUMMYFUNCTION("""COMPUTED_VALUE"""),"TRIMESTRE 3")</f>
        <v>TRIMESTRE 3</v>
      </c>
      <c r="M1414" s="42" t="str">
        <f ca="1">IFERROR(__xludf.DUMMYFUNCTION("""COMPUTED_VALUE"""),"MUJERES ADULTAS")</f>
        <v>MUJERES ADULTAS</v>
      </c>
    </row>
    <row r="1415" spans="1:13">
      <c r="A1415" s="42" t="str">
        <f ca="1">IFERROR(__xludf.DUMMYFUNCTION("""COMPUTED_VALUE"""),"2.1.1.11")</f>
        <v>2.1.1.11</v>
      </c>
      <c r="B1415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415" s="42" t="str">
        <f ca="1">IFERROR(__xludf.DUMMYFUNCTION("""COMPUTED_VALUE"""),"3. Operación")</f>
        <v>3. Operación</v>
      </c>
      <c r="D1415" s="42" t="str">
        <f ca="1">IFERROR(__xludf.DUMMYFUNCTION("""COMPUTED_VALUE"""),"Guadalajara en Paz")</f>
        <v>Guadalajara en Paz</v>
      </c>
      <c r="E1415" s="42" t="str">
        <f ca="1">IFERROR(__xludf.DUMMYFUNCTION("""COMPUTED_VALUE"""),"Atención en Laboratorio Clínico")</f>
        <v>Atención en Laboratorio Clínico</v>
      </c>
      <c r="F1415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415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415" s="42" t="str">
        <f ca="1">IFERROR(__xludf.DUMMYFUNCTION("""COMPUTED_VALUE"""),"HOM Septiembre")</f>
        <v>HOM Septiembre</v>
      </c>
      <c r="I1415" s="42" t="str">
        <f ca="1">IFERROR(__xludf.DUMMYFUNCTION("""COMPUTED_VALUE"""),"Septiembre")</f>
        <v>Septiembre</v>
      </c>
      <c r="J1415" s="42" t="str">
        <f ca="1">IFERROR(__xludf.DUMMYFUNCTION("""COMPUTED_VALUE"""),"HOM")</f>
        <v>HOM</v>
      </c>
      <c r="K1415" s="98">
        <f ca="1">IFERROR(__xludf.DUMMYFUNCTION("""COMPUTED_VALUE"""),294)</f>
        <v>294</v>
      </c>
      <c r="L1415" s="42" t="str">
        <f ca="1">IFERROR(__xludf.DUMMYFUNCTION("""COMPUTED_VALUE"""),"TRIMESTRE 3")</f>
        <v>TRIMESTRE 3</v>
      </c>
      <c r="M1415" s="42" t="str">
        <f ca="1">IFERROR(__xludf.DUMMYFUNCTION("""COMPUTED_VALUE"""),"HOMBRES ADULTOS")</f>
        <v>HOMBRES ADULTOS</v>
      </c>
    </row>
    <row r="1416" spans="1:13">
      <c r="A1416" s="42" t="str">
        <f ca="1">IFERROR(__xludf.DUMMYFUNCTION("""COMPUTED_VALUE"""),"2.1.1.11")</f>
        <v>2.1.1.11</v>
      </c>
      <c r="B1416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416" s="42" t="str">
        <f ca="1">IFERROR(__xludf.DUMMYFUNCTION("""COMPUTED_VALUE"""),"3. Operación")</f>
        <v>3. Operación</v>
      </c>
      <c r="D1416" s="42" t="str">
        <f ca="1">IFERROR(__xludf.DUMMYFUNCTION("""COMPUTED_VALUE"""),"Guadalajara en Paz")</f>
        <v>Guadalajara en Paz</v>
      </c>
      <c r="E1416" s="42" t="str">
        <f ca="1">IFERROR(__xludf.DUMMYFUNCTION("""COMPUTED_VALUE"""),"Atención en Laboratorio Clínico")</f>
        <v>Atención en Laboratorio Clínico</v>
      </c>
      <c r="F1416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416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416" s="42" t="str">
        <f ca="1">IFERROR(__xludf.DUMMYFUNCTION("""COMPUTED_VALUE"""),"AMM Septiembre")</f>
        <v>AMM Septiembre</v>
      </c>
      <c r="I1416" s="42" t="str">
        <f ca="1">IFERROR(__xludf.DUMMYFUNCTION("""COMPUTED_VALUE"""),"Septiembre")</f>
        <v>Septiembre</v>
      </c>
      <c r="J1416" s="42" t="str">
        <f ca="1">IFERROR(__xludf.DUMMYFUNCTION("""COMPUTED_VALUE"""),"AMM")</f>
        <v>AMM</v>
      </c>
      <c r="K1416" s="98">
        <f ca="1">IFERROR(__xludf.DUMMYFUNCTION("""COMPUTED_VALUE"""),319)</f>
        <v>319</v>
      </c>
      <c r="L1416" s="42" t="str">
        <f ca="1">IFERROR(__xludf.DUMMYFUNCTION("""COMPUTED_VALUE"""),"TRIMESTRE 3")</f>
        <v>TRIMESTRE 3</v>
      </c>
      <c r="M1416" s="42" t="str">
        <f ca="1">IFERROR(__xludf.DUMMYFUNCTION("""COMPUTED_VALUE"""),"ADULTA MAYOR MUJER")</f>
        <v>ADULTA MAYOR MUJER</v>
      </c>
    </row>
    <row r="1417" spans="1:13">
      <c r="A1417" s="42" t="str">
        <f ca="1">IFERROR(__xludf.DUMMYFUNCTION("""COMPUTED_VALUE"""),"2.1.1.11")</f>
        <v>2.1.1.11</v>
      </c>
      <c r="B1417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417" s="42" t="str">
        <f ca="1">IFERROR(__xludf.DUMMYFUNCTION("""COMPUTED_VALUE"""),"3. Operación")</f>
        <v>3. Operación</v>
      </c>
      <c r="D1417" s="42" t="str">
        <f ca="1">IFERROR(__xludf.DUMMYFUNCTION("""COMPUTED_VALUE"""),"Guadalajara en Paz")</f>
        <v>Guadalajara en Paz</v>
      </c>
      <c r="E1417" s="42" t="str">
        <f ca="1">IFERROR(__xludf.DUMMYFUNCTION("""COMPUTED_VALUE"""),"Atención en Laboratorio Clínico")</f>
        <v>Atención en Laboratorio Clínico</v>
      </c>
      <c r="F1417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417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417" s="42" t="str">
        <f ca="1">IFERROR(__xludf.DUMMYFUNCTION("""COMPUTED_VALUE"""),"AMH Septiembre")</f>
        <v>AMH Septiembre</v>
      </c>
      <c r="I1417" s="42" t="str">
        <f ca="1">IFERROR(__xludf.DUMMYFUNCTION("""COMPUTED_VALUE"""),"Septiembre")</f>
        <v>Septiembre</v>
      </c>
      <c r="J1417" s="42" t="str">
        <f ca="1">IFERROR(__xludf.DUMMYFUNCTION("""COMPUTED_VALUE"""),"AMH")</f>
        <v>AMH</v>
      </c>
      <c r="K1417" s="98">
        <f ca="1">IFERROR(__xludf.DUMMYFUNCTION("""COMPUTED_VALUE"""),222)</f>
        <v>222</v>
      </c>
      <c r="L1417" s="42" t="str">
        <f ca="1">IFERROR(__xludf.DUMMYFUNCTION("""COMPUTED_VALUE"""),"TRIMESTRE 3")</f>
        <v>TRIMESTRE 3</v>
      </c>
      <c r="M1417" s="42" t="str">
        <f ca="1">IFERROR(__xludf.DUMMYFUNCTION("""COMPUTED_VALUE"""),"ADULTO MAYOR HOMBRE")</f>
        <v>ADULTO MAYOR HOMBRE</v>
      </c>
    </row>
    <row r="1418" spans="1:13">
      <c r="A1418" s="42" t="str">
        <f ca="1">IFERROR(__xludf.DUMMYFUNCTION("""COMPUTED_VALUE"""),"2.1.1.11")</f>
        <v>2.1.1.11</v>
      </c>
      <c r="B1418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418" s="42" t="str">
        <f ca="1">IFERROR(__xludf.DUMMYFUNCTION("""COMPUTED_VALUE"""),"3. Operación")</f>
        <v>3. Operación</v>
      </c>
      <c r="D1418" s="42" t="str">
        <f ca="1">IFERROR(__xludf.DUMMYFUNCTION("""COMPUTED_VALUE"""),"Guadalajara en Paz")</f>
        <v>Guadalajara en Paz</v>
      </c>
      <c r="E1418" s="42" t="str">
        <f ca="1">IFERROR(__xludf.DUMMYFUNCTION("""COMPUTED_VALUE"""),"Atención en Laboratorio Clínico")</f>
        <v>Atención en Laboratorio Clínico</v>
      </c>
      <c r="F1418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418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418" s="42" t="str">
        <f ca="1">IFERROR(__xludf.DUMMYFUNCTION("""COMPUTED_VALUE"""),"NAS Octubre")</f>
        <v>NAS Octubre</v>
      </c>
      <c r="I1418" s="42" t="str">
        <f ca="1">IFERROR(__xludf.DUMMYFUNCTION("""COMPUTED_VALUE"""),"Octubre")</f>
        <v>Octubre</v>
      </c>
      <c r="J1418" s="42" t="str">
        <f ca="1">IFERROR(__xludf.DUMMYFUNCTION("""COMPUTED_VALUE"""),"NAS")</f>
        <v>NAS</v>
      </c>
      <c r="K1418" s="98"/>
      <c r="L1418" s="42" t="str">
        <f ca="1">IFERROR(__xludf.DUMMYFUNCTION("""COMPUTED_VALUE"""),"TRIMESTRE 4")</f>
        <v>TRIMESTRE 4</v>
      </c>
      <c r="M1418" s="42" t="str">
        <f ca="1">IFERROR(__xludf.DUMMYFUNCTION("""COMPUTED_VALUE"""),"NIÑAS")</f>
        <v>NIÑAS</v>
      </c>
    </row>
    <row r="1419" spans="1:13">
      <c r="A1419" s="42" t="str">
        <f ca="1">IFERROR(__xludf.DUMMYFUNCTION("""COMPUTED_VALUE"""),"2.1.1.11")</f>
        <v>2.1.1.11</v>
      </c>
      <c r="B1419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419" s="42" t="str">
        <f ca="1">IFERROR(__xludf.DUMMYFUNCTION("""COMPUTED_VALUE"""),"3. Operación")</f>
        <v>3. Operación</v>
      </c>
      <c r="D1419" s="42" t="str">
        <f ca="1">IFERROR(__xludf.DUMMYFUNCTION("""COMPUTED_VALUE"""),"Guadalajara en Paz")</f>
        <v>Guadalajara en Paz</v>
      </c>
      <c r="E1419" s="42" t="str">
        <f ca="1">IFERROR(__xludf.DUMMYFUNCTION("""COMPUTED_VALUE"""),"Atención en Laboratorio Clínico")</f>
        <v>Atención en Laboratorio Clínico</v>
      </c>
      <c r="F1419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419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419" s="42" t="str">
        <f ca="1">IFERROR(__xludf.DUMMYFUNCTION("""COMPUTED_VALUE"""),"NOS Octubre")</f>
        <v>NOS Octubre</v>
      </c>
      <c r="I1419" s="42" t="str">
        <f ca="1">IFERROR(__xludf.DUMMYFUNCTION("""COMPUTED_VALUE"""),"Octubre")</f>
        <v>Octubre</v>
      </c>
      <c r="J1419" s="42" t="str">
        <f ca="1">IFERROR(__xludf.DUMMYFUNCTION("""COMPUTED_VALUE"""),"NOS")</f>
        <v>NOS</v>
      </c>
      <c r="K1419" s="98"/>
      <c r="L1419" s="42" t="str">
        <f ca="1">IFERROR(__xludf.DUMMYFUNCTION("""COMPUTED_VALUE"""),"TRIMESTRE 4")</f>
        <v>TRIMESTRE 4</v>
      </c>
      <c r="M1419" s="42" t="str">
        <f ca="1">IFERROR(__xludf.DUMMYFUNCTION("""COMPUTED_VALUE"""),"NIÑOS")</f>
        <v>NIÑOS</v>
      </c>
    </row>
    <row r="1420" spans="1:13">
      <c r="A1420" s="42" t="str">
        <f ca="1">IFERROR(__xludf.DUMMYFUNCTION("""COMPUTED_VALUE"""),"2.1.1.11")</f>
        <v>2.1.1.11</v>
      </c>
      <c r="B1420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420" s="42" t="str">
        <f ca="1">IFERROR(__xludf.DUMMYFUNCTION("""COMPUTED_VALUE"""),"3. Operación")</f>
        <v>3. Operación</v>
      </c>
      <c r="D1420" s="42" t="str">
        <f ca="1">IFERROR(__xludf.DUMMYFUNCTION("""COMPUTED_VALUE"""),"Guadalajara en Paz")</f>
        <v>Guadalajara en Paz</v>
      </c>
      <c r="E1420" s="42" t="str">
        <f ca="1">IFERROR(__xludf.DUMMYFUNCTION("""COMPUTED_VALUE"""),"Atención en Laboratorio Clínico")</f>
        <v>Atención en Laboratorio Clínico</v>
      </c>
      <c r="F1420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420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420" s="42" t="str">
        <f ca="1">IFERROR(__xludf.DUMMYFUNCTION("""COMPUTED_VALUE"""),"AM OCTUBRE")</f>
        <v>AM OCTUBRE</v>
      </c>
      <c r="I1420" s="42" t="str">
        <f ca="1">IFERROR(__xludf.DUMMYFUNCTION("""COMPUTED_VALUE"""),"Octubre")</f>
        <v>Octubre</v>
      </c>
      <c r="J1420" s="42" t="str">
        <f ca="1">IFERROR(__xludf.DUMMYFUNCTION("""COMPUTED_VALUE"""),"AM")</f>
        <v>AM</v>
      </c>
      <c r="K1420" s="98"/>
      <c r="L1420" s="42" t="str">
        <f ca="1">IFERROR(__xludf.DUMMYFUNCTION("""COMPUTED_VALUE"""),"TRIMESTRE 4")</f>
        <v>TRIMESTRE 4</v>
      </c>
      <c r="M1420" s="42" t="str">
        <f ca="1">IFERROR(__xludf.DUMMYFUNCTION("""COMPUTED_VALUE"""),"ADOLESCENTES MUJERES")</f>
        <v>ADOLESCENTES MUJERES</v>
      </c>
    </row>
    <row r="1421" spans="1:13">
      <c r="A1421" s="42" t="str">
        <f ca="1">IFERROR(__xludf.DUMMYFUNCTION("""COMPUTED_VALUE"""),"2.1.1.11")</f>
        <v>2.1.1.11</v>
      </c>
      <c r="B1421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421" s="42" t="str">
        <f ca="1">IFERROR(__xludf.DUMMYFUNCTION("""COMPUTED_VALUE"""),"3. Operación")</f>
        <v>3. Operación</v>
      </c>
      <c r="D1421" s="42" t="str">
        <f ca="1">IFERROR(__xludf.DUMMYFUNCTION("""COMPUTED_VALUE"""),"Guadalajara en Paz")</f>
        <v>Guadalajara en Paz</v>
      </c>
      <c r="E1421" s="42" t="str">
        <f ca="1">IFERROR(__xludf.DUMMYFUNCTION("""COMPUTED_VALUE"""),"Atención en Laboratorio Clínico")</f>
        <v>Atención en Laboratorio Clínico</v>
      </c>
      <c r="F1421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421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421" s="42" t="str">
        <f ca="1">IFERROR(__xludf.DUMMYFUNCTION("""COMPUTED_VALUE"""),"AH OCTUBRE")</f>
        <v>AH OCTUBRE</v>
      </c>
      <c r="I1421" s="42" t="str">
        <f ca="1">IFERROR(__xludf.DUMMYFUNCTION("""COMPUTED_VALUE"""),"Octubre")</f>
        <v>Octubre</v>
      </c>
      <c r="J1421" s="42" t="str">
        <f ca="1">IFERROR(__xludf.DUMMYFUNCTION("""COMPUTED_VALUE"""),"AH")</f>
        <v>AH</v>
      </c>
      <c r="K1421" s="98"/>
      <c r="L1421" s="42" t="str">
        <f ca="1">IFERROR(__xludf.DUMMYFUNCTION("""COMPUTED_VALUE"""),"TRIMESTRE 4")</f>
        <v>TRIMESTRE 4</v>
      </c>
      <c r="M1421" s="42" t="str">
        <f ca="1">IFERROR(__xludf.DUMMYFUNCTION("""COMPUTED_VALUE"""),"ADOLESCENTES HOMBRES")</f>
        <v>ADOLESCENTES HOMBRES</v>
      </c>
    </row>
    <row r="1422" spans="1:13">
      <c r="A1422" s="42" t="str">
        <f ca="1">IFERROR(__xludf.DUMMYFUNCTION("""COMPUTED_VALUE"""),"2.1.1.11")</f>
        <v>2.1.1.11</v>
      </c>
      <c r="B1422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422" s="42" t="str">
        <f ca="1">IFERROR(__xludf.DUMMYFUNCTION("""COMPUTED_VALUE"""),"3. Operación")</f>
        <v>3. Operación</v>
      </c>
      <c r="D1422" s="42" t="str">
        <f ca="1">IFERROR(__xludf.DUMMYFUNCTION("""COMPUTED_VALUE"""),"Guadalajara en Paz")</f>
        <v>Guadalajara en Paz</v>
      </c>
      <c r="E1422" s="42" t="str">
        <f ca="1">IFERROR(__xludf.DUMMYFUNCTION("""COMPUTED_VALUE"""),"Atención en Laboratorio Clínico")</f>
        <v>Atención en Laboratorio Clínico</v>
      </c>
      <c r="F1422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422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422" s="42" t="str">
        <f ca="1">IFERROR(__xludf.DUMMYFUNCTION("""COMPUTED_VALUE"""),"MUJ Octubre")</f>
        <v>MUJ Octubre</v>
      </c>
      <c r="I1422" s="42" t="str">
        <f ca="1">IFERROR(__xludf.DUMMYFUNCTION("""COMPUTED_VALUE"""),"Octubre")</f>
        <v>Octubre</v>
      </c>
      <c r="J1422" s="42" t="str">
        <f ca="1">IFERROR(__xludf.DUMMYFUNCTION("""COMPUTED_VALUE"""),"MUJ")</f>
        <v>MUJ</v>
      </c>
      <c r="K1422" s="98"/>
      <c r="L1422" s="42" t="str">
        <f ca="1">IFERROR(__xludf.DUMMYFUNCTION("""COMPUTED_VALUE"""),"TRIMESTRE 4")</f>
        <v>TRIMESTRE 4</v>
      </c>
      <c r="M1422" s="42" t="str">
        <f ca="1">IFERROR(__xludf.DUMMYFUNCTION("""COMPUTED_VALUE"""),"MUJERES ADULTAS")</f>
        <v>MUJERES ADULTAS</v>
      </c>
    </row>
    <row r="1423" spans="1:13">
      <c r="A1423" s="42" t="str">
        <f ca="1">IFERROR(__xludf.DUMMYFUNCTION("""COMPUTED_VALUE"""),"2.1.1.11")</f>
        <v>2.1.1.11</v>
      </c>
      <c r="B1423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423" s="42" t="str">
        <f ca="1">IFERROR(__xludf.DUMMYFUNCTION("""COMPUTED_VALUE"""),"3. Operación")</f>
        <v>3. Operación</v>
      </c>
      <c r="D1423" s="42" t="str">
        <f ca="1">IFERROR(__xludf.DUMMYFUNCTION("""COMPUTED_VALUE"""),"Guadalajara en Paz")</f>
        <v>Guadalajara en Paz</v>
      </c>
      <c r="E1423" s="42" t="str">
        <f ca="1">IFERROR(__xludf.DUMMYFUNCTION("""COMPUTED_VALUE"""),"Atención en Laboratorio Clínico")</f>
        <v>Atención en Laboratorio Clínico</v>
      </c>
      <c r="F1423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423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423" s="42" t="str">
        <f ca="1">IFERROR(__xludf.DUMMYFUNCTION("""COMPUTED_VALUE"""),"HOM Octubre")</f>
        <v>HOM Octubre</v>
      </c>
      <c r="I1423" s="42" t="str">
        <f ca="1">IFERROR(__xludf.DUMMYFUNCTION("""COMPUTED_VALUE"""),"Octubre")</f>
        <v>Octubre</v>
      </c>
      <c r="J1423" s="42" t="str">
        <f ca="1">IFERROR(__xludf.DUMMYFUNCTION("""COMPUTED_VALUE"""),"HOM")</f>
        <v>HOM</v>
      </c>
      <c r="K1423" s="98"/>
      <c r="L1423" s="42" t="str">
        <f ca="1">IFERROR(__xludf.DUMMYFUNCTION("""COMPUTED_VALUE"""),"TRIMESTRE 4")</f>
        <v>TRIMESTRE 4</v>
      </c>
      <c r="M1423" s="42" t="str">
        <f ca="1">IFERROR(__xludf.DUMMYFUNCTION("""COMPUTED_VALUE"""),"HOMBRES ADULTOS")</f>
        <v>HOMBRES ADULTOS</v>
      </c>
    </row>
    <row r="1424" spans="1:13">
      <c r="A1424" s="42" t="str">
        <f ca="1">IFERROR(__xludf.DUMMYFUNCTION("""COMPUTED_VALUE"""),"2.1.1.11")</f>
        <v>2.1.1.11</v>
      </c>
      <c r="B1424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424" s="42" t="str">
        <f ca="1">IFERROR(__xludf.DUMMYFUNCTION("""COMPUTED_VALUE"""),"3. Operación")</f>
        <v>3. Operación</v>
      </c>
      <c r="D1424" s="42" t="str">
        <f ca="1">IFERROR(__xludf.DUMMYFUNCTION("""COMPUTED_VALUE"""),"Guadalajara en Paz")</f>
        <v>Guadalajara en Paz</v>
      </c>
      <c r="E1424" s="42" t="str">
        <f ca="1">IFERROR(__xludf.DUMMYFUNCTION("""COMPUTED_VALUE"""),"Atención en Laboratorio Clínico")</f>
        <v>Atención en Laboratorio Clínico</v>
      </c>
      <c r="F1424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424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424" s="42" t="str">
        <f ca="1">IFERROR(__xludf.DUMMYFUNCTION("""COMPUTED_VALUE"""),"AMM Octubre")</f>
        <v>AMM Octubre</v>
      </c>
      <c r="I1424" s="42" t="str">
        <f ca="1">IFERROR(__xludf.DUMMYFUNCTION("""COMPUTED_VALUE"""),"Octubre")</f>
        <v>Octubre</v>
      </c>
      <c r="J1424" s="42" t="str">
        <f ca="1">IFERROR(__xludf.DUMMYFUNCTION("""COMPUTED_VALUE"""),"AMM")</f>
        <v>AMM</v>
      </c>
      <c r="K1424" s="98"/>
      <c r="L1424" s="42" t="str">
        <f ca="1">IFERROR(__xludf.DUMMYFUNCTION("""COMPUTED_VALUE"""),"TRIMESTRE 4")</f>
        <v>TRIMESTRE 4</v>
      </c>
      <c r="M1424" s="42" t="str">
        <f ca="1">IFERROR(__xludf.DUMMYFUNCTION("""COMPUTED_VALUE"""),"ADULTA MAYOR MUJER")</f>
        <v>ADULTA MAYOR MUJER</v>
      </c>
    </row>
    <row r="1425" spans="1:13">
      <c r="A1425" s="42" t="str">
        <f ca="1">IFERROR(__xludf.DUMMYFUNCTION("""COMPUTED_VALUE"""),"2.1.1.11")</f>
        <v>2.1.1.11</v>
      </c>
      <c r="B1425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425" s="42" t="str">
        <f ca="1">IFERROR(__xludf.DUMMYFUNCTION("""COMPUTED_VALUE"""),"3. Operación")</f>
        <v>3. Operación</v>
      </c>
      <c r="D1425" s="42" t="str">
        <f ca="1">IFERROR(__xludf.DUMMYFUNCTION("""COMPUTED_VALUE"""),"Guadalajara en Paz")</f>
        <v>Guadalajara en Paz</v>
      </c>
      <c r="E1425" s="42" t="str">
        <f ca="1">IFERROR(__xludf.DUMMYFUNCTION("""COMPUTED_VALUE"""),"Atención en Laboratorio Clínico")</f>
        <v>Atención en Laboratorio Clínico</v>
      </c>
      <c r="F1425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425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425" s="42" t="str">
        <f ca="1">IFERROR(__xludf.DUMMYFUNCTION("""COMPUTED_VALUE"""),"AMH Octubre")</f>
        <v>AMH Octubre</v>
      </c>
      <c r="I1425" s="42" t="str">
        <f ca="1">IFERROR(__xludf.DUMMYFUNCTION("""COMPUTED_VALUE"""),"Octubre")</f>
        <v>Octubre</v>
      </c>
      <c r="J1425" s="42" t="str">
        <f ca="1">IFERROR(__xludf.DUMMYFUNCTION("""COMPUTED_VALUE"""),"AMH")</f>
        <v>AMH</v>
      </c>
      <c r="K1425" s="98"/>
      <c r="L1425" s="42" t="str">
        <f ca="1">IFERROR(__xludf.DUMMYFUNCTION("""COMPUTED_VALUE"""),"TRIMESTRE 4")</f>
        <v>TRIMESTRE 4</v>
      </c>
      <c r="M1425" s="42" t="str">
        <f ca="1">IFERROR(__xludf.DUMMYFUNCTION("""COMPUTED_VALUE"""),"ADULTO MAYOR HOMBRE")</f>
        <v>ADULTO MAYOR HOMBRE</v>
      </c>
    </row>
    <row r="1426" spans="1:13">
      <c r="A1426" s="42" t="str">
        <f ca="1">IFERROR(__xludf.DUMMYFUNCTION("""COMPUTED_VALUE"""),"2.1.1.11")</f>
        <v>2.1.1.11</v>
      </c>
      <c r="B1426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426" s="42" t="str">
        <f ca="1">IFERROR(__xludf.DUMMYFUNCTION("""COMPUTED_VALUE"""),"3. Operación")</f>
        <v>3. Operación</v>
      </c>
      <c r="D1426" s="42" t="str">
        <f ca="1">IFERROR(__xludf.DUMMYFUNCTION("""COMPUTED_VALUE"""),"Guadalajara en Paz")</f>
        <v>Guadalajara en Paz</v>
      </c>
      <c r="E1426" s="42" t="str">
        <f ca="1">IFERROR(__xludf.DUMMYFUNCTION("""COMPUTED_VALUE"""),"Atención en Laboratorio Clínico")</f>
        <v>Atención en Laboratorio Clínico</v>
      </c>
      <c r="F1426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426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426" s="42" t="str">
        <f ca="1">IFERROR(__xludf.DUMMYFUNCTION("""COMPUTED_VALUE"""),"NAS Noviembre")</f>
        <v>NAS Noviembre</v>
      </c>
      <c r="I1426" s="42" t="str">
        <f ca="1">IFERROR(__xludf.DUMMYFUNCTION("""COMPUTED_VALUE"""),"Noviembre")</f>
        <v>Noviembre</v>
      </c>
      <c r="J1426" s="42" t="str">
        <f ca="1">IFERROR(__xludf.DUMMYFUNCTION("""COMPUTED_VALUE"""),"NAS")</f>
        <v>NAS</v>
      </c>
      <c r="K1426" s="98"/>
      <c r="L1426" s="42" t="str">
        <f ca="1">IFERROR(__xludf.DUMMYFUNCTION("""COMPUTED_VALUE"""),"TRIMESTRE 4")</f>
        <v>TRIMESTRE 4</v>
      </c>
      <c r="M1426" s="42" t="str">
        <f ca="1">IFERROR(__xludf.DUMMYFUNCTION("""COMPUTED_VALUE"""),"NIÑAS")</f>
        <v>NIÑAS</v>
      </c>
    </row>
    <row r="1427" spans="1:13">
      <c r="A1427" s="42" t="str">
        <f ca="1">IFERROR(__xludf.DUMMYFUNCTION("""COMPUTED_VALUE"""),"2.1.1.11")</f>
        <v>2.1.1.11</v>
      </c>
      <c r="B1427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427" s="42" t="str">
        <f ca="1">IFERROR(__xludf.DUMMYFUNCTION("""COMPUTED_VALUE"""),"3. Operación")</f>
        <v>3. Operación</v>
      </c>
      <c r="D1427" s="42" t="str">
        <f ca="1">IFERROR(__xludf.DUMMYFUNCTION("""COMPUTED_VALUE"""),"Guadalajara en Paz")</f>
        <v>Guadalajara en Paz</v>
      </c>
      <c r="E1427" s="42" t="str">
        <f ca="1">IFERROR(__xludf.DUMMYFUNCTION("""COMPUTED_VALUE"""),"Atención en Laboratorio Clínico")</f>
        <v>Atención en Laboratorio Clínico</v>
      </c>
      <c r="F1427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427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427" s="42" t="str">
        <f ca="1">IFERROR(__xludf.DUMMYFUNCTION("""COMPUTED_VALUE"""),"NOS Noviembre")</f>
        <v>NOS Noviembre</v>
      </c>
      <c r="I1427" s="42" t="str">
        <f ca="1">IFERROR(__xludf.DUMMYFUNCTION("""COMPUTED_VALUE"""),"Noviembre")</f>
        <v>Noviembre</v>
      </c>
      <c r="J1427" s="42" t="str">
        <f ca="1">IFERROR(__xludf.DUMMYFUNCTION("""COMPUTED_VALUE"""),"NOS")</f>
        <v>NOS</v>
      </c>
      <c r="K1427" s="98"/>
      <c r="L1427" s="42" t="str">
        <f ca="1">IFERROR(__xludf.DUMMYFUNCTION("""COMPUTED_VALUE"""),"TRIMESTRE 4")</f>
        <v>TRIMESTRE 4</v>
      </c>
      <c r="M1427" s="42" t="str">
        <f ca="1">IFERROR(__xludf.DUMMYFUNCTION("""COMPUTED_VALUE"""),"NIÑOS")</f>
        <v>NIÑOS</v>
      </c>
    </row>
    <row r="1428" spans="1:13">
      <c r="A1428" s="42" t="str">
        <f ca="1">IFERROR(__xludf.DUMMYFUNCTION("""COMPUTED_VALUE"""),"2.1.1.11")</f>
        <v>2.1.1.11</v>
      </c>
      <c r="B1428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428" s="42" t="str">
        <f ca="1">IFERROR(__xludf.DUMMYFUNCTION("""COMPUTED_VALUE"""),"3. Operación")</f>
        <v>3. Operación</v>
      </c>
      <c r="D1428" s="42" t="str">
        <f ca="1">IFERROR(__xludf.DUMMYFUNCTION("""COMPUTED_VALUE"""),"Guadalajara en Paz")</f>
        <v>Guadalajara en Paz</v>
      </c>
      <c r="E1428" s="42" t="str">
        <f ca="1">IFERROR(__xludf.DUMMYFUNCTION("""COMPUTED_VALUE"""),"Atención en Laboratorio Clínico")</f>
        <v>Atención en Laboratorio Clínico</v>
      </c>
      <c r="F1428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428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428" s="42" t="str">
        <f ca="1">IFERROR(__xludf.DUMMYFUNCTION("""COMPUTED_VALUE"""),"AM NOVIEMBRE")</f>
        <v>AM NOVIEMBRE</v>
      </c>
      <c r="I1428" s="42" t="str">
        <f ca="1">IFERROR(__xludf.DUMMYFUNCTION("""COMPUTED_VALUE"""),"Noviembre")</f>
        <v>Noviembre</v>
      </c>
      <c r="J1428" s="42" t="str">
        <f ca="1">IFERROR(__xludf.DUMMYFUNCTION("""COMPUTED_VALUE"""),"AM")</f>
        <v>AM</v>
      </c>
      <c r="K1428" s="98"/>
      <c r="L1428" s="42" t="str">
        <f ca="1">IFERROR(__xludf.DUMMYFUNCTION("""COMPUTED_VALUE"""),"TRIMESTRE 4")</f>
        <v>TRIMESTRE 4</v>
      </c>
      <c r="M1428" s="42" t="str">
        <f ca="1">IFERROR(__xludf.DUMMYFUNCTION("""COMPUTED_VALUE"""),"ADOLESCENTES MUJERES")</f>
        <v>ADOLESCENTES MUJERES</v>
      </c>
    </row>
    <row r="1429" spans="1:13">
      <c r="A1429" s="42" t="str">
        <f ca="1">IFERROR(__xludf.DUMMYFUNCTION("""COMPUTED_VALUE"""),"2.1.1.11")</f>
        <v>2.1.1.11</v>
      </c>
      <c r="B1429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429" s="42" t="str">
        <f ca="1">IFERROR(__xludf.DUMMYFUNCTION("""COMPUTED_VALUE"""),"3. Operación")</f>
        <v>3. Operación</v>
      </c>
      <c r="D1429" s="42" t="str">
        <f ca="1">IFERROR(__xludf.DUMMYFUNCTION("""COMPUTED_VALUE"""),"Guadalajara en Paz")</f>
        <v>Guadalajara en Paz</v>
      </c>
      <c r="E1429" s="42" t="str">
        <f ca="1">IFERROR(__xludf.DUMMYFUNCTION("""COMPUTED_VALUE"""),"Atención en Laboratorio Clínico")</f>
        <v>Atención en Laboratorio Clínico</v>
      </c>
      <c r="F1429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429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429" s="42" t="str">
        <f ca="1">IFERROR(__xludf.DUMMYFUNCTION("""COMPUTED_VALUE"""),"AH NOVIEMBRE")</f>
        <v>AH NOVIEMBRE</v>
      </c>
      <c r="I1429" s="42" t="str">
        <f ca="1">IFERROR(__xludf.DUMMYFUNCTION("""COMPUTED_VALUE"""),"Noviembre")</f>
        <v>Noviembre</v>
      </c>
      <c r="J1429" s="42" t="str">
        <f ca="1">IFERROR(__xludf.DUMMYFUNCTION("""COMPUTED_VALUE"""),"AH")</f>
        <v>AH</v>
      </c>
      <c r="K1429" s="98"/>
      <c r="L1429" s="42" t="str">
        <f ca="1">IFERROR(__xludf.DUMMYFUNCTION("""COMPUTED_VALUE"""),"TRIMESTRE 4")</f>
        <v>TRIMESTRE 4</v>
      </c>
      <c r="M1429" s="42" t="str">
        <f ca="1">IFERROR(__xludf.DUMMYFUNCTION("""COMPUTED_VALUE"""),"ADOLESCENTES HOMBRES")</f>
        <v>ADOLESCENTES HOMBRES</v>
      </c>
    </row>
    <row r="1430" spans="1:13">
      <c r="A1430" s="42" t="str">
        <f ca="1">IFERROR(__xludf.DUMMYFUNCTION("""COMPUTED_VALUE"""),"2.1.1.11")</f>
        <v>2.1.1.11</v>
      </c>
      <c r="B1430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430" s="42" t="str">
        <f ca="1">IFERROR(__xludf.DUMMYFUNCTION("""COMPUTED_VALUE"""),"3. Operación")</f>
        <v>3. Operación</v>
      </c>
      <c r="D1430" s="42" t="str">
        <f ca="1">IFERROR(__xludf.DUMMYFUNCTION("""COMPUTED_VALUE"""),"Guadalajara en Paz")</f>
        <v>Guadalajara en Paz</v>
      </c>
      <c r="E1430" s="42" t="str">
        <f ca="1">IFERROR(__xludf.DUMMYFUNCTION("""COMPUTED_VALUE"""),"Atención en Laboratorio Clínico")</f>
        <v>Atención en Laboratorio Clínico</v>
      </c>
      <c r="F1430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430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430" s="42" t="str">
        <f ca="1">IFERROR(__xludf.DUMMYFUNCTION("""COMPUTED_VALUE"""),"MUJ Noviembre")</f>
        <v>MUJ Noviembre</v>
      </c>
      <c r="I1430" s="42" t="str">
        <f ca="1">IFERROR(__xludf.DUMMYFUNCTION("""COMPUTED_VALUE"""),"Noviembre")</f>
        <v>Noviembre</v>
      </c>
      <c r="J1430" s="42" t="str">
        <f ca="1">IFERROR(__xludf.DUMMYFUNCTION("""COMPUTED_VALUE"""),"MUJ")</f>
        <v>MUJ</v>
      </c>
      <c r="K1430" s="98"/>
      <c r="L1430" s="42" t="str">
        <f ca="1">IFERROR(__xludf.DUMMYFUNCTION("""COMPUTED_VALUE"""),"TRIMESTRE 4")</f>
        <v>TRIMESTRE 4</v>
      </c>
      <c r="M1430" s="42" t="str">
        <f ca="1">IFERROR(__xludf.DUMMYFUNCTION("""COMPUTED_VALUE"""),"MUJERES ADULTAS")</f>
        <v>MUJERES ADULTAS</v>
      </c>
    </row>
    <row r="1431" spans="1:13">
      <c r="A1431" s="42" t="str">
        <f ca="1">IFERROR(__xludf.DUMMYFUNCTION("""COMPUTED_VALUE"""),"2.1.1.11")</f>
        <v>2.1.1.11</v>
      </c>
      <c r="B1431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431" s="42" t="str">
        <f ca="1">IFERROR(__xludf.DUMMYFUNCTION("""COMPUTED_VALUE"""),"3. Operación")</f>
        <v>3. Operación</v>
      </c>
      <c r="D1431" s="42" t="str">
        <f ca="1">IFERROR(__xludf.DUMMYFUNCTION("""COMPUTED_VALUE"""),"Guadalajara en Paz")</f>
        <v>Guadalajara en Paz</v>
      </c>
      <c r="E1431" s="42" t="str">
        <f ca="1">IFERROR(__xludf.DUMMYFUNCTION("""COMPUTED_VALUE"""),"Atención en Laboratorio Clínico")</f>
        <v>Atención en Laboratorio Clínico</v>
      </c>
      <c r="F1431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431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431" s="42" t="str">
        <f ca="1">IFERROR(__xludf.DUMMYFUNCTION("""COMPUTED_VALUE"""),"HOM Noviembre")</f>
        <v>HOM Noviembre</v>
      </c>
      <c r="I1431" s="42" t="str">
        <f ca="1">IFERROR(__xludf.DUMMYFUNCTION("""COMPUTED_VALUE"""),"Noviembre")</f>
        <v>Noviembre</v>
      </c>
      <c r="J1431" s="42" t="str">
        <f ca="1">IFERROR(__xludf.DUMMYFUNCTION("""COMPUTED_VALUE"""),"HOM")</f>
        <v>HOM</v>
      </c>
      <c r="K1431" s="98"/>
      <c r="L1431" s="42" t="str">
        <f ca="1">IFERROR(__xludf.DUMMYFUNCTION("""COMPUTED_VALUE"""),"TRIMESTRE 4")</f>
        <v>TRIMESTRE 4</v>
      </c>
      <c r="M1431" s="42" t="str">
        <f ca="1">IFERROR(__xludf.DUMMYFUNCTION("""COMPUTED_VALUE"""),"HOMBRES ADULTOS")</f>
        <v>HOMBRES ADULTOS</v>
      </c>
    </row>
    <row r="1432" spans="1:13">
      <c r="A1432" s="42" t="str">
        <f ca="1">IFERROR(__xludf.DUMMYFUNCTION("""COMPUTED_VALUE"""),"2.1.1.11")</f>
        <v>2.1.1.11</v>
      </c>
      <c r="B1432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432" s="42" t="str">
        <f ca="1">IFERROR(__xludf.DUMMYFUNCTION("""COMPUTED_VALUE"""),"3. Operación")</f>
        <v>3. Operación</v>
      </c>
      <c r="D1432" s="42" t="str">
        <f ca="1">IFERROR(__xludf.DUMMYFUNCTION("""COMPUTED_VALUE"""),"Guadalajara en Paz")</f>
        <v>Guadalajara en Paz</v>
      </c>
      <c r="E1432" s="42" t="str">
        <f ca="1">IFERROR(__xludf.DUMMYFUNCTION("""COMPUTED_VALUE"""),"Atención en Laboratorio Clínico")</f>
        <v>Atención en Laboratorio Clínico</v>
      </c>
      <c r="F1432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432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432" s="42" t="str">
        <f ca="1">IFERROR(__xludf.DUMMYFUNCTION("""COMPUTED_VALUE"""),"AMM Noviembre")</f>
        <v>AMM Noviembre</v>
      </c>
      <c r="I1432" s="42" t="str">
        <f ca="1">IFERROR(__xludf.DUMMYFUNCTION("""COMPUTED_VALUE"""),"Noviembre")</f>
        <v>Noviembre</v>
      </c>
      <c r="J1432" s="42" t="str">
        <f ca="1">IFERROR(__xludf.DUMMYFUNCTION("""COMPUTED_VALUE"""),"AMM")</f>
        <v>AMM</v>
      </c>
      <c r="K1432" s="98"/>
      <c r="L1432" s="42" t="str">
        <f ca="1">IFERROR(__xludf.DUMMYFUNCTION("""COMPUTED_VALUE"""),"TRIMESTRE 4")</f>
        <v>TRIMESTRE 4</v>
      </c>
      <c r="M1432" s="42" t="str">
        <f ca="1">IFERROR(__xludf.DUMMYFUNCTION("""COMPUTED_VALUE"""),"ADULTA MAYOR MUJER")</f>
        <v>ADULTA MAYOR MUJER</v>
      </c>
    </row>
    <row r="1433" spans="1:13">
      <c r="A1433" s="42" t="str">
        <f ca="1">IFERROR(__xludf.DUMMYFUNCTION("""COMPUTED_VALUE"""),"2.1.1.11")</f>
        <v>2.1.1.11</v>
      </c>
      <c r="B1433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433" s="42" t="str">
        <f ca="1">IFERROR(__xludf.DUMMYFUNCTION("""COMPUTED_VALUE"""),"3. Operación")</f>
        <v>3. Operación</v>
      </c>
      <c r="D1433" s="42" t="str">
        <f ca="1">IFERROR(__xludf.DUMMYFUNCTION("""COMPUTED_VALUE"""),"Guadalajara en Paz")</f>
        <v>Guadalajara en Paz</v>
      </c>
      <c r="E1433" s="42" t="str">
        <f ca="1">IFERROR(__xludf.DUMMYFUNCTION("""COMPUTED_VALUE"""),"Atención en Laboratorio Clínico")</f>
        <v>Atención en Laboratorio Clínico</v>
      </c>
      <c r="F1433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433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433" s="42" t="str">
        <f ca="1">IFERROR(__xludf.DUMMYFUNCTION("""COMPUTED_VALUE"""),"AMH Noviembre")</f>
        <v>AMH Noviembre</v>
      </c>
      <c r="I1433" s="42" t="str">
        <f ca="1">IFERROR(__xludf.DUMMYFUNCTION("""COMPUTED_VALUE"""),"Noviembre")</f>
        <v>Noviembre</v>
      </c>
      <c r="J1433" s="42" t="str">
        <f ca="1">IFERROR(__xludf.DUMMYFUNCTION("""COMPUTED_VALUE"""),"AMH")</f>
        <v>AMH</v>
      </c>
      <c r="K1433" s="98"/>
      <c r="L1433" s="42" t="str">
        <f ca="1">IFERROR(__xludf.DUMMYFUNCTION("""COMPUTED_VALUE"""),"TRIMESTRE 4")</f>
        <v>TRIMESTRE 4</v>
      </c>
      <c r="M1433" s="42" t="str">
        <f ca="1">IFERROR(__xludf.DUMMYFUNCTION("""COMPUTED_VALUE"""),"ADULTO MAYOR HOMBRE")</f>
        <v>ADULTO MAYOR HOMBRE</v>
      </c>
    </row>
    <row r="1434" spans="1:13">
      <c r="A1434" s="42" t="str">
        <f ca="1">IFERROR(__xludf.DUMMYFUNCTION("""COMPUTED_VALUE"""),"2.1.1.11")</f>
        <v>2.1.1.11</v>
      </c>
      <c r="B1434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434" s="42" t="str">
        <f ca="1">IFERROR(__xludf.DUMMYFUNCTION("""COMPUTED_VALUE"""),"3. Operación")</f>
        <v>3. Operación</v>
      </c>
      <c r="D1434" s="42" t="str">
        <f ca="1">IFERROR(__xludf.DUMMYFUNCTION("""COMPUTED_VALUE"""),"Guadalajara en Paz")</f>
        <v>Guadalajara en Paz</v>
      </c>
      <c r="E1434" s="42" t="str">
        <f ca="1">IFERROR(__xludf.DUMMYFUNCTION("""COMPUTED_VALUE"""),"Atención en Laboratorio Clínico")</f>
        <v>Atención en Laboratorio Clínico</v>
      </c>
      <c r="F1434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434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434" s="42" t="str">
        <f ca="1">IFERROR(__xludf.DUMMYFUNCTION("""COMPUTED_VALUE"""),"NAS Diciembre")</f>
        <v>NAS Diciembre</v>
      </c>
      <c r="I1434" s="42" t="str">
        <f ca="1">IFERROR(__xludf.DUMMYFUNCTION("""COMPUTED_VALUE"""),"Diciembre")</f>
        <v>Diciembre</v>
      </c>
      <c r="J1434" s="42" t="str">
        <f ca="1">IFERROR(__xludf.DUMMYFUNCTION("""COMPUTED_VALUE"""),"NAS")</f>
        <v>NAS</v>
      </c>
      <c r="K1434" s="98"/>
      <c r="L1434" s="42" t="str">
        <f ca="1">IFERROR(__xludf.DUMMYFUNCTION("""COMPUTED_VALUE"""),"TRIMESTRE 4")</f>
        <v>TRIMESTRE 4</v>
      </c>
      <c r="M1434" s="42" t="str">
        <f ca="1">IFERROR(__xludf.DUMMYFUNCTION("""COMPUTED_VALUE"""),"NIÑAS")</f>
        <v>NIÑAS</v>
      </c>
    </row>
    <row r="1435" spans="1:13">
      <c r="A1435" s="42" t="str">
        <f ca="1">IFERROR(__xludf.DUMMYFUNCTION("""COMPUTED_VALUE"""),"2.1.1.11")</f>
        <v>2.1.1.11</v>
      </c>
      <c r="B1435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435" s="42" t="str">
        <f ca="1">IFERROR(__xludf.DUMMYFUNCTION("""COMPUTED_VALUE"""),"3. Operación")</f>
        <v>3. Operación</v>
      </c>
      <c r="D1435" s="42" t="str">
        <f ca="1">IFERROR(__xludf.DUMMYFUNCTION("""COMPUTED_VALUE"""),"Guadalajara en Paz")</f>
        <v>Guadalajara en Paz</v>
      </c>
      <c r="E1435" s="42" t="str">
        <f ca="1">IFERROR(__xludf.DUMMYFUNCTION("""COMPUTED_VALUE"""),"Atención en Laboratorio Clínico")</f>
        <v>Atención en Laboratorio Clínico</v>
      </c>
      <c r="F1435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435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435" s="42" t="str">
        <f ca="1">IFERROR(__xludf.DUMMYFUNCTION("""COMPUTED_VALUE"""),"NOS Diciembre")</f>
        <v>NOS Diciembre</v>
      </c>
      <c r="I1435" s="42" t="str">
        <f ca="1">IFERROR(__xludf.DUMMYFUNCTION("""COMPUTED_VALUE"""),"Diciembre")</f>
        <v>Diciembre</v>
      </c>
      <c r="J1435" s="42" t="str">
        <f ca="1">IFERROR(__xludf.DUMMYFUNCTION("""COMPUTED_VALUE"""),"NOS")</f>
        <v>NOS</v>
      </c>
      <c r="K1435" s="98"/>
      <c r="L1435" s="42" t="str">
        <f ca="1">IFERROR(__xludf.DUMMYFUNCTION("""COMPUTED_VALUE"""),"TRIMESTRE 4")</f>
        <v>TRIMESTRE 4</v>
      </c>
      <c r="M1435" s="42" t="str">
        <f ca="1">IFERROR(__xludf.DUMMYFUNCTION("""COMPUTED_VALUE"""),"NIÑOS")</f>
        <v>NIÑOS</v>
      </c>
    </row>
    <row r="1436" spans="1:13">
      <c r="A1436" s="42" t="str">
        <f ca="1">IFERROR(__xludf.DUMMYFUNCTION("""COMPUTED_VALUE"""),"2.1.1.11")</f>
        <v>2.1.1.11</v>
      </c>
      <c r="B1436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436" s="42" t="str">
        <f ca="1">IFERROR(__xludf.DUMMYFUNCTION("""COMPUTED_VALUE"""),"3. Operación")</f>
        <v>3. Operación</v>
      </c>
      <c r="D1436" s="42" t="str">
        <f ca="1">IFERROR(__xludf.DUMMYFUNCTION("""COMPUTED_VALUE"""),"Guadalajara en Paz")</f>
        <v>Guadalajara en Paz</v>
      </c>
      <c r="E1436" s="42" t="str">
        <f ca="1">IFERROR(__xludf.DUMMYFUNCTION("""COMPUTED_VALUE"""),"Atención en Laboratorio Clínico")</f>
        <v>Atención en Laboratorio Clínico</v>
      </c>
      <c r="F1436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436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436" s="42" t="str">
        <f ca="1">IFERROR(__xludf.DUMMYFUNCTION("""COMPUTED_VALUE"""),"AM DICIEMBRE")</f>
        <v>AM DICIEMBRE</v>
      </c>
      <c r="I1436" s="42" t="str">
        <f ca="1">IFERROR(__xludf.DUMMYFUNCTION("""COMPUTED_VALUE"""),"Diciembre")</f>
        <v>Diciembre</v>
      </c>
      <c r="J1436" s="42" t="str">
        <f ca="1">IFERROR(__xludf.DUMMYFUNCTION("""COMPUTED_VALUE"""),"AM")</f>
        <v>AM</v>
      </c>
      <c r="K1436" s="98"/>
      <c r="L1436" s="42" t="str">
        <f ca="1">IFERROR(__xludf.DUMMYFUNCTION("""COMPUTED_VALUE"""),"TRIMESTRE 4")</f>
        <v>TRIMESTRE 4</v>
      </c>
      <c r="M1436" s="42" t="str">
        <f ca="1">IFERROR(__xludf.DUMMYFUNCTION("""COMPUTED_VALUE"""),"ADOLESCENTES MUJERES")</f>
        <v>ADOLESCENTES MUJERES</v>
      </c>
    </row>
    <row r="1437" spans="1:13">
      <c r="A1437" s="42" t="str">
        <f ca="1">IFERROR(__xludf.DUMMYFUNCTION("""COMPUTED_VALUE"""),"2.1.1.11")</f>
        <v>2.1.1.11</v>
      </c>
      <c r="B1437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437" s="42" t="str">
        <f ca="1">IFERROR(__xludf.DUMMYFUNCTION("""COMPUTED_VALUE"""),"3. Operación")</f>
        <v>3. Operación</v>
      </c>
      <c r="D1437" s="42" t="str">
        <f ca="1">IFERROR(__xludf.DUMMYFUNCTION("""COMPUTED_VALUE"""),"Guadalajara en Paz")</f>
        <v>Guadalajara en Paz</v>
      </c>
      <c r="E1437" s="42" t="str">
        <f ca="1">IFERROR(__xludf.DUMMYFUNCTION("""COMPUTED_VALUE"""),"Atención en Laboratorio Clínico")</f>
        <v>Atención en Laboratorio Clínico</v>
      </c>
      <c r="F1437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437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437" s="42" t="str">
        <f ca="1">IFERROR(__xludf.DUMMYFUNCTION("""COMPUTED_VALUE"""),"AH DICIEMBRE")</f>
        <v>AH DICIEMBRE</v>
      </c>
      <c r="I1437" s="42" t="str">
        <f ca="1">IFERROR(__xludf.DUMMYFUNCTION("""COMPUTED_VALUE"""),"Diciembre")</f>
        <v>Diciembre</v>
      </c>
      <c r="J1437" s="42" t="str">
        <f ca="1">IFERROR(__xludf.DUMMYFUNCTION("""COMPUTED_VALUE"""),"AH")</f>
        <v>AH</v>
      </c>
      <c r="K1437" s="98"/>
      <c r="L1437" s="42" t="str">
        <f ca="1">IFERROR(__xludf.DUMMYFUNCTION("""COMPUTED_VALUE"""),"TRIMESTRE 4")</f>
        <v>TRIMESTRE 4</v>
      </c>
      <c r="M1437" s="42" t="str">
        <f ca="1">IFERROR(__xludf.DUMMYFUNCTION("""COMPUTED_VALUE"""),"ADOLESCENTES HOMBRES")</f>
        <v>ADOLESCENTES HOMBRES</v>
      </c>
    </row>
    <row r="1438" spans="1:13">
      <c r="A1438" s="42" t="str">
        <f ca="1">IFERROR(__xludf.DUMMYFUNCTION("""COMPUTED_VALUE"""),"2.1.1.11")</f>
        <v>2.1.1.11</v>
      </c>
      <c r="B1438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438" s="42" t="str">
        <f ca="1">IFERROR(__xludf.DUMMYFUNCTION("""COMPUTED_VALUE"""),"3. Operación")</f>
        <v>3. Operación</v>
      </c>
      <c r="D1438" s="42" t="str">
        <f ca="1">IFERROR(__xludf.DUMMYFUNCTION("""COMPUTED_VALUE"""),"Guadalajara en Paz")</f>
        <v>Guadalajara en Paz</v>
      </c>
      <c r="E1438" s="42" t="str">
        <f ca="1">IFERROR(__xludf.DUMMYFUNCTION("""COMPUTED_VALUE"""),"Atención en Laboratorio Clínico")</f>
        <v>Atención en Laboratorio Clínico</v>
      </c>
      <c r="F1438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438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438" s="42" t="str">
        <f ca="1">IFERROR(__xludf.DUMMYFUNCTION("""COMPUTED_VALUE"""),"MUJ Diciembre")</f>
        <v>MUJ Diciembre</v>
      </c>
      <c r="I1438" s="42" t="str">
        <f ca="1">IFERROR(__xludf.DUMMYFUNCTION("""COMPUTED_VALUE"""),"Diciembre")</f>
        <v>Diciembre</v>
      </c>
      <c r="J1438" s="42" t="str">
        <f ca="1">IFERROR(__xludf.DUMMYFUNCTION("""COMPUTED_VALUE"""),"MUJ")</f>
        <v>MUJ</v>
      </c>
      <c r="K1438" s="98"/>
      <c r="L1438" s="42" t="str">
        <f ca="1">IFERROR(__xludf.DUMMYFUNCTION("""COMPUTED_VALUE"""),"TRIMESTRE 4")</f>
        <v>TRIMESTRE 4</v>
      </c>
      <c r="M1438" s="42" t="str">
        <f ca="1">IFERROR(__xludf.DUMMYFUNCTION("""COMPUTED_VALUE"""),"MUJERES ADULTAS")</f>
        <v>MUJERES ADULTAS</v>
      </c>
    </row>
    <row r="1439" spans="1:13">
      <c r="A1439" s="42" t="str">
        <f ca="1">IFERROR(__xludf.DUMMYFUNCTION("""COMPUTED_VALUE"""),"2.1.1.11")</f>
        <v>2.1.1.11</v>
      </c>
      <c r="B1439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439" s="42" t="str">
        <f ca="1">IFERROR(__xludf.DUMMYFUNCTION("""COMPUTED_VALUE"""),"3. Operación")</f>
        <v>3. Operación</v>
      </c>
      <c r="D1439" s="42" t="str">
        <f ca="1">IFERROR(__xludf.DUMMYFUNCTION("""COMPUTED_VALUE"""),"Guadalajara en Paz")</f>
        <v>Guadalajara en Paz</v>
      </c>
      <c r="E1439" s="42" t="str">
        <f ca="1">IFERROR(__xludf.DUMMYFUNCTION("""COMPUTED_VALUE"""),"Atención en Laboratorio Clínico")</f>
        <v>Atención en Laboratorio Clínico</v>
      </c>
      <c r="F1439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439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439" s="42" t="str">
        <f ca="1">IFERROR(__xludf.DUMMYFUNCTION("""COMPUTED_VALUE"""),"HOM Diciembre")</f>
        <v>HOM Diciembre</v>
      </c>
      <c r="I1439" s="42" t="str">
        <f ca="1">IFERROR(__xludf.DUMMYFUNCTION("""COMPUTED_VALUE"""),"Diciembre")</f>
        <v>Diciembre</v>
      </c>
      <c r="J1439" s="42" t="str">
        <f ca="1">IFERROR(__xludf.DUMMYFUNCTION("""COMPUTED_VALUE"""),"HOM")</f>
        <v>HOM</v>
      </c>
      <c r="K1439" s="98"/>
      <c r="L1439" s="42" t="str">
        <f ca="1">IFERROR(__xludf.DUMMYFUNCTION("""COMPUTED_VALUE"""),"TRIMESTRE 4")</f>
        <v>TRIMESTRE 4</v>
      </c>
      <c r="M1439" s="42" t="str">
        <f ca="1">IFERROR(__xludf.DUMMYFUNCTION("""COMPUTED_VALUE"""),"HOMBRES ADULTOS")</f>
        <v>HOMBRES ADULTOS</v>
      </c>
    </row>
    <row r="1440" spans="1:13">
      <c r="A1440" s="42" t="str">
        <f ca="1">IFERROR(__xludf.DUMMYFUNCTION("""COMPUTED_VALUE"""),"2.1.1.11")</f>
        <v>2.1.1.11</v>
      </c>
      <c r="B1440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440" s="42" t="str">
        <f ca="1">IFERROR(__xludf.DUMMYFUNCTION("""COMPUTED_VALUE"""),"3. Operación")</f>
        <v>3. Operación</v>
      </c>
      <c r="D1440" s="42" t="str">
        <f ca="1">IFERROR(__xludf.DUMMYFUNCTION("""COMPUTED_VALUE"""),"Guadalajara en Paz")</f>
        <v>Guadalajara en Paz</v>
      </c>
      <c r="E1440" s="42" t="str">
        <f ca="1">IFERROR(__xludf.DUMMYFUNCTION("""COMPUTED_VALUE"""),"Atención en Laboratorio Clínico")</f>
        <v>Atención en Laboratorio Clínico</v>
      </c>
      <c r="F1440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440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440" s="42" t="str">
        <f ca="1">IFERROR(__xludf.DUMMYFUNCTION("""COMPUTED_VALUE"""),"AMM Diciembre")</f>
        <v>AMM Diciembre</v>
      </c>
      <c r="I1440" s="42" t="str">
        <f ca="1">IFERROR(__xludf.DUMMYFUNCTION("""COMPUTED_VALUE"""),"Diciembre")</f>
        <v>Diciembre</v>
      </c>
      <c r="J1440" s="42" t="str">
        <f ca="1">IFERROR(__xludf.DUMMYFUNCTION("""COMPUTED_VALUE"""),"AMM")</f>
        <v>AMM</v>
      </c>
      <c r="K1440" s="98"/>
      <c r="L1440" s="42" t="str">
        <f ca="1">IFERROR(__xludf.DUMMYFUNCTION("""COMPUTED_VALUE"""),"TRIMESTRE 4")</f>
        <v>TRIMESTRE 4</v>
      </c>
      <c r="M1440" s="42" t="str">
        <f ca="1">IFERROR(__xludf.DUMMYFUNCTION("""COMPUTED_VALUE"""),"ADULTA MAYOR MUJER")</f>
        <v>ADULTA MAYOR MUJER</v>
      </c>
    </row>
    <row r="1441" spans="1:13">
      <c r="A1441" s="42" t="str">
        <f ca="1">IFERROR(__xludf.DUMMYFUNCTION("""COMPUTED_VALUE"""),"2.1.1.11")</f>
        <v>2.1.1.11</v>
      </c>
      <c r="B1441" s="42" t="str">
        <f ca="1">IFERROR(__xludf.DUMMYFUNCTION("""COMPUTED_VALUE"""),"Atención en Laboratorio Clínico/Jefatura del Departamento de Laboratorio/Dirección del Área de Salud y Bienestar/Coord.3. Operación")</f>
        <v>Atención en Laboratorio Clínico/Jefatura del Departamento de Laboratorio/Dirección del Área de Salud y Bienestar/Coord.3. Operación</v>
      </c>
      <c r="C1441" s="42" t="str">
        <f ca="1">IFERROR(__xludf.DUMMYFUNCTION("""COMPUTED_VALUE"""),"3. Operación")</f>
        <v>3. Operación</v>
      </c>
      <c r="D1441" s="42" t="str">
        <f ca="1">IFERROR(__xludf.DUMMYFUNCTION("""COMPUTED_VALUE"""),"Guadalajara en Paz")</f>
        <v>Guadalajara en Paz</v>
      </c>
      <c r="E1441" s="42" t="str">
        <f ca="1">IFERROR(__xludf.DUMMYFUNCTION("""COMPUTED_VALUE"""),"Atención en Laboratorio Clínico")</f>
        <v>Atención en Laboratorio Clínico</v>
      </c>
      <c r="F1441" s="42" t="str">
        <f ca="1">IFERROR(__xludf.DUMMYFUNCTION("""COMPUTED_VALUE"""),"C1A11. Estudios de laboratorio para la detección oportuna de riesgos en la salud realizados.")</f>
        <v>C1A11. Estudios de laboratorio para la detección oportuna de riesgos en la salud realizados.</v>
      </c>
      <c r="G1441" s="42" t="str">
        <f ca="1">IFERROR(__xludf.DUMMYFUNCTION("""COMPUTED_VALUE"""),"Porcentaje de cumplimiento en la cobertura de servicios de laboratorio, en 2023")</f>
        <v>Porcentaje de cumplimiento en la cobertura de servicios de laboratorio, en 2023</v>
      </c>
      <c r="H1441" s="42" t="str">
        <f ca="1">IFERROR(__xludf.DUMMYFUNCTION("""COMPUTED_VALUE"""),"AMH Diciembre")</f>
        <v>AMH Diciembre</v>
      </c>
      <c r="I1441" s="42" t="str">
        <f ca="1">IFERROR(__xludf.DUMMYFUNCTION("""COMPUTED_VALUE"""),"Diciembre")</f>
        <v>Diciembre</v>
      </c>
      <c r="J1441" s="42" t="str">
        <f ca="1">IFERROR(__xludf.DUMMYFUNCTION("""COMPUTED_VALUE"""),"AMH")</f>
        <v>AMH</v>
      </c>
      <c r="K1441" s="98"/>
      <c r="L1441" s="42" t="str">
        <f ca="1">IFERROR(__xludf.DUMMYFUNCTION("""COMPUTED_VALUE"""),"TRIMESTRE 4")</f>
        <v>TRIMESTRE 4</v>
      </c>
      <c r="M1441" s="42" t="str">
        <f ca="1">IFERROR(__xludf.DUMMYFUNCTION("""COMPUTED_VALUE"""),"ADULTO MAYOR HOMBRE")</f>
        <v>ADULTO MAYOR HOMBRE</v>
      </c>
    </row>
    <row r="1442" spans="1:13">
      <c r="A1442" s="42" t="str">
        <f ca="1">IFERROR(__xludf.DUMMYFUNCTION("""COMPUTED_VALUE"""),"2.1.2.0")</f>
        <v>2.1.2.0</v>
      </c>
      <c r="B1442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42" s="42" t="str">
        <f ca="1">IFERROR(__xludf.DUMMYFUNCTION("""COMPUTED_VALUE"""),"3. Operación")</f>
        <v>3. Operación</v>
      </c>
      <c r="D1442" s="42" t="str">
        <f ca="1">IFERROR(__xludf.DUMMYFUNCTION("""COMPUTED_VALUE"""),"Guadalajara en Paz")</f>
        <v>Guadalajara en Paz</v>
      </c>
      <c r="E1442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42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42" s="42" t="str">
        <f ca="1">IFERROR(__xludf.DUMMYFUNCTION("""COMPUTED_VALUE"""),"Porcentaje de población en situación de emergencia atendida, en 2023")</f>
        <v>Porcentaje de población en situación de emergencia atendida, en 2023</v>
      </c>
      <c r="H1442" s="42" t="str">
        <f ca="1">IFERROR(__xludf.DUMMYFUNCTION("""COMPUTED_VALUE"""),"NAS enero")</f>
        <v>NAS enero</v>
      </c>
      <c r="I1442" s="42" t="str">
        <f ca="1">IFERROR(__xludf.DUMMYFUNCTION("""COMPUTED_VALUE"""),"Enero")</f>
        <v>Enero</v>
      </c>
      <c r="J1442" s="42" t="str">
        <f ca="1">IFERROR(__xludf.DUMMYFUNCTION("""COMPUTED_VALUE"""),"NAS")</f>
        <v>NAS</v>
      </c>
      <c r="K1442" s="98">
        <f ca="1">IFERROR(__xludf.DUMMYFUNCTION("""COMPUTED_VALUE"""),40)</f>
        <v>40</v>
      </c>
      <c r="L1442" s="42" t="str">
        <f ca="1">IFERROR(__xludf.DUMMYFUNCTION("""COMPUTED_VALUE"""),"TRIMESTRE 1")</f>
        <v>TRIMESTRE 1</v>
      </c>
      <c r="M1442" s="42" t="str">
        <f ca="1">IFERROR(__xludf.DUMMYFUNCTION("""COMPUTED_VALUE"""),"NIÑAS")</f>
        <v>NIÑAS</v>
      </c>
    </row>
    <row r="1443" spans="1:13">
      <c r="A1443" s="42" t="str">
        <f ca="1">IFERROR(__xludf.DUMMYFUNCTION("""COMPUTED_VALUE"""),"2.1.2.0")</f>
        <v>2.1.2.0</v>
      </c>
      <c r="B1443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43" s="42" t="str">
        <f ca="1">IFERROR(__xludf.DUMMYFUNCTION("""COMPUTED_VALUE"""),"3. Operación")</f>
        <v>3. Operación</v>
      </c>
      <c r="D1443" s="42" t="str">
        <f ca="1">IFERROR(__xludf.DUMMYFUNCTION("""COMPUTED_VALUE"""),"Guadalajara en Paz")</f>
        <v>Guadalajara en Paz</v>
      </c>
      <c r="E1443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43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43" s="42" t="str">
        <f ca="1">IFERROR(__xludf.DUMMYFUNCTION("""COMPUTED_VALUE"""),"Porcentaje de población en situación de emergencia atendida, en 2023")</f>
        <v>Porcentaje de población en situación de emergencia atendida, en 2023</v>
      </c>
      <c r="H1443" s="42" t="str">
        <f ca="1">IFERROR(__xludf.DUMMYFUNCTION("""COMPUTED_VALUE"""),"NOS enero")</f>
        <v>NOS enero</v>
      </c>
      <c r="I1443" s="42" t="str">
        <f ca="1">IFERROR(__xludf.DUMMYFUNCTION("""COMPUTED_VALUE"""),"Enero")</f>
        <v>Enero</v>
      </c>
      <c r="J1443" s="42" t="str">
        <f ca="1">IFERROR(__xludf.DUMMYFUNCTION("""COMPUTED_VALUE"""),"NOS")</f>
        <v>NOS</v>
      </c>
      <c r="K1443" s="98">
        <f ca="1">IFERROR(__xludf.DUMMYFUNCTION("""COMPUTED_VALUE"""),45)</f>
        <v>45</v>
      </c>
      <c r="L1443" s="42" t="str">
        <f ca="1">IFERROR(__xludf.DUMMYFUNCTION("""COMPUTED_VALUE"""),"TRIMESTRE 1")</f>
        <v>TRIMESTRE 1</v>
      </c>
      <c r="M1443" s="42" t="str">
        <f ca="1">IFERROR(__xludf.DUMMYFUNCTION("""COMPUTED_VALUE"""),"NIÑOS")</f>
        <v>NIÑOS</v>
      </c>
    </row>
    <row r="1444" spans="1:13">
      <c r="A1444" s="42" t="str">
        <f ca="1">IFERROR(__xludf.DUMMYFUNCTION("""COMPUTED_VALUE"""),"2.1.2.0")</f>
        <v>2.1.2.0</v>
      </c>
      <c r="B1444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44" s="42" t="str">
        <f ca="1">IFERROR(__xludf.DUMMYFUNCTION("""COMPUTED_VALUE"""),"3. Operación")</f>
        <v>3. Operación</v>
      </c>
      <c r="D1444" s="42" t="str">
        <f ca="1">IFERROR(__xludf.DUMMYFUNCTION("""COMPUTED_VALUE"""),"Guadalajara en Paz")</f>
        <v>Guadalajara en Paz</v>
      </c>
      <c r="E1444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44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44" s="42" t="str">
        <f ca="1">IFERROR(__xludf.DUMMYFUNCTION("""COMPUTED_VALUE"""),"Porcentaje de población en situación de emergencia atendida, en 2023")</f>
        <v>Porcentaje de población en situación de emergencia atendida, en 2023</v>
      </c>
      <c r="H1444" s="42" t="str">
        <f ca="1">IFERROR(__xludf.DUMMYFUNCTION("""COMPUTED_VALUE"""),"AM enero")</f>
        <v>AM enero</v>
      </c>
      <c r="I1444" s="42" t="str">
        <f ca="1">IFERROR(__xludf.DUMMYFUNCTION("""COMPUTED_VALUE"""),"Enero")</f>
        <v>Enero</v>
      </c>
      <c r="J1444" s="42" t="str">
        <f ca="1">IFERROR(__xludf.DUMMYFUNCTION("""COMPUTED_VALUE"""),"AM")</f>
        <v>AM</v>
      </c>
      <c r="K1444" s="98">
        <f ca="1">IFERROR(__xludf.DUMMYFUNCTION("""COMPUTED_VALUE"""),8)</f>
        <v>8</v>
      </c>
      <c r="L1444" s="42" t="str">
        <f ca="1">IFERROR(__xludf.DUMMYFUNCTION("""COMPUTED_VALUE"""),"TRIMESTRE 1")</f>
        <v>TRIMESTRE 1</v>
      </c>
      <c r="M1444" s="42" t="str">
        <f ca="1">IFERROR(__xludf.DUMMYFUNCTION("""COMPUTED_VALUE"""),"ADOLESCENTES MUJERES")</f>
        <v>ADOLESCENTES MUJERES</v>
      </c>
    </row>
    <row r="1445" spans="1:13">
      <c r="A1445" s="42" t="str">
        <f ca="1">IFERROR(__xludf.DUMMYFUNCTION("""COMPUTED_VALUE"""),"2.1.2.0")</f>
        <v>2.1.2.0</v>
      </c>
      <c r="B1445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45" s="42" t="str">
        <f ca="1">IFERROR(__xludf.DUMMYFUNCTION("""COMPUTED_VALUE"""),"3. Operación")</f>
        <v>3. Operación</v>
      </c>
      <c r="D1445" s="42" t="str">
        <f ca="1">IFERROR(__xludf.DUMMYFUNCTION("""COMPUTED_VALUE"""),"Guadalajara en Paz")</f>
        <v>Guadalajara en Paz</v>
      </c>
      <c r="E1445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45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45" s="42" t="str">
        <f ca="1">IFERROR(__xludf.DUMMYFUNCTION("""COMPUTED_VALUE"""),"Porcentaje de población en situación de emergencia atendida, en 2023")</f>
        <v>Porcentaje de población en situación de emergencia atendida, en 2023</v>
      </c>
      <c r="H1445" s="42" t="str">
        <f ca="1">IFERROR(__xludf.DUMMYFUNCTION("""COMPUTED_VALUE"""),"AH enero")</f>
        <v>AH enero</v>
      </c>
      <c r="I1445" s="42" t="str">
        <f ca="1">IFERROR(__xludf.DUMMYFUNCTION("""COMPUTED_VALUE"""),"Enero")</f>
        <v>Enero</v>
      </c>
      <c r="J1445" s="42" t="str">
        <f ca="1">IFERROR(__xludf.DUMMYFUNCTION("""COMPUTED_VALUE"""),"AH")</f>
        <v>AH</v>
      </c>
      <c r="K1445" s="98">
        <f ca="1">IFERROR(__xludf.DUMMYFUNCTION("""COMPUTED_VALUE"""),5)</f>
        <v>5</v>
      </c>
      <c r="L1445" s="42" t="str">
        <f ca="1">IFERROR(__xludf.DUMMYFUNCTION("""COMPUTED_VALUE"""),"TRIMESTRE 1")</f>
        <v>TRIMESTRE 1</v>
      </c>
      <c r="M1445" s="42" t="str">
        <f ca="1">IFERROR(__xludf.DUMMYFUNCTION("""COMPUTED_VALUE"""),"ADOLESCENTES HOMBRES")</f>
        <v>ADOLESCENTES HOMBRES</v>
      </c>
    </row>
    <row r="1446" spans="1:13">
      <c r="A1446" s="42" t="str">
        <f ca="1">IFERROR(__xludf.DUMMYFUNCTION("""COMPUTED_VALUE"""),"2.1.2.0")</f>
        <v>2.1.2.0</v>
      </c>
      <c r="B1446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46" s="42" t="str">
        <f ca="1">IFERROR(__xludf.DUMMYFUNCTION("""COMPUTED_VALUE"""),"3. Operación")</f>
        <v>3. Operación</v>
      </c>
      <c r="D1446" s="42" t="str">
        <f ca="1">IFERROR(__xludf.DUMMYFUNCTION("""COMPUTED_VALUE"""),"Guadalajara en Paz")</f>
        <v>Guadalajara en Paz</v>
      </c>
      <c r="E1446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46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46" s="42" t="str">
        <f ca="1">IFERROR(__xludf.DUMMYFUNCTION("""COMPUTED_VALUE"""),"Porcentaje de población en situación de emergencia atendida, en 2023")</f>
        <v>Porcentaje de población en situación de emergencia atendida, en 2023</v>
      </c>
      <c r="H1446" s="42" t="str">
        <f ca="1">IFERROR(__xludf.DUMMYFUNCTION("""COMPUTED_VALUE"""),"MUJ enero")</f>
        <v>MUJ enero</v>
      </c>
      <c r="I1446" s="42" t="str">
        <f ca="1">IFERROR(__xludf.DUMMYFUNCTION("""COMPUTED_VALUE"""),"Enero")</f>
        <v>Enero</v>
      </c>
      <c r="J1446" s="42" t="str">
        <f ca="1">IFERROR(__xludf.DUMMYFUNCTION("""COMPUTED_VALUE"""),"MUJ")</f>
        <v>MUJ</v>
      </c>
      <c r="K1446" s="98">
        <f ca="1">IFERROR(__xludf.DUMMYFUNCTION("""COMPUTED_VALUE"""),131)</f>
        <v>131</v>
      </c>
      <c r="L1446" s="42" t="str">
        <f ca="1">IFERROR(__xludf.DUMMYFUNCTION("""COMPUTED_VALUE"""),"TRIMESTRE 1")</f>
        <v>TRIMESTRE 1</v>
      </c>
      <c r="M1446" s="42" t="str">
        <f ca="1">IFERROR(__xludf.DUMMYFUNCTION("""COMPUTED_VALUE"""),"MUJERES ADULTAS")</f>
        <v>MUJERES ADULTAS</v>
      </c>
    </row>
    <row r="1447" spans="1:13">
      <c r="A1447" s="42" t="str">
        <f ca="1">IFERROR(__xludf.DUMMYFUNCTION("""COMPUTED_VALUE"""),"2.1.2.0")</f>
        <v>2.1.2.0</v>
      </c>
      <c r="B1447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47" s="42" t="str">
        <f ca="1">IFERROR(__xludf.DUMMYFUNCTION("""COMPUTED_VALUE"""),"3. Operación")</f>
        <v>3. Operación</v>
      </c>
      <c r="D1447" s="42" t="str">
        <f ca="1">IFERROR(__xludf.DUMMYFUNCTION("""COMPUTED_VALUE"""),"Guadalajara en Paz")</f>
        <v>Guadalajara en Paz</v>
      </c>
      <c r="E1447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47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47" s="42" t="str">
        <f ca="1">IFERROR(__xludf.DUMMYFUNCTION("""COMPUTED_VALUE"""),"Porcentaje de población en situación de emergencia atendida, en 2023")</f>
        <v>Porcentaje de población en situación de emergencia atendida, en 2023</v>
      </c>
      <c r="H1447" s="42" t="str">
        <f ca="1">IFERROR(__xludf.DUMMYFUNCTION("""COMPUTED_VALUE"""),"HOM enero")</f>
        <v>HOM enero</v>
      </c>
      <c r="I1447" s="42" t="str">
        <f ca="1">IFERROR(__xludf.DUMMYFUNCTION("""COMPUTED_VALUE"""),"Enero")</f>
        <v>Enero</v>
      </c>
      <c r="J1447" s="42" t="str">
        <f ca="1">IFERROR(__xludf.DUMMYFUNCTION("""COMPUTED_VALUE"""),"HOM")</f>
        <v>HOM</v>
      </c>
      <c r="K1447" s="98">
        <f ca="1">IFERROR(__xludf.DUMMYFUNCTION("""COMPUTED_VALUE"""),1571)</f>
        <v>1571</v>
      </c>
      <c r="L1447" s="42" t="str">
        <f ca="1">IFERROR(__xludf.DUMMYFUNCTION("""COMPUTED_VALUE"""),"TRIMESTRE 1")</f>
        <v>TRIMESTRE 1</v>
      </c>
      <c r="M1447" s="42" t="str">
        <f ca="1">IFERROR(__xludf.DUMMYFUNCTION("""COMPUTED_VALUE"""),"HOMBRES ADULTOS")</f>
        <v>HOMBRES ADULTOS</v>
      </c>
    </row>
    <row r="1448" spans="1:13">
      <c r="A1448" s="42" t="str">
        <f ca="1">IFERROR(__xludf.DUMMYFUNCTION("""COMPUTED_VALUE"""),"2.1.2.0")</f>
        <v>2.1.2.0</v>
      </c>
      <c r="B1448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48" s="42" t="str">
        <f ca="1">IFERROR(__xludf.DUMMYFUNCTION("""COMPUTED_VALUE"""),"3. Operación")</f>
        <v>3. Operación</v>
      </c>
      <c r="D1448" s="42" t="str">
        <f ca="1">IFERROR(__xludf.DUMMYFUNCTION("""COMPUTED_VALUE"""),"Guadalajara en Paz")</f>
        <v>Guadalajara en Paz</v>
      </c>
      <c r="E1448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48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48" s="42" t="str">
        <f ca="1">IFERROR(__xludf.DUMMYFUNCTION("""COMPUTED_VALUE"""),"Porcentaje de población en situación de emergencia atendida, en 2023")</f>
        <v>Porcentaje de población en situación de emergencia atendida, en 2023</v>
      </c>
      <c r="H1448" s="42" t="str">
        <f ca="1">IFERROR(__xludf.DUMMYFUNCTION("""COMPUTED_VALUE"""),"AMM enero")</f>
        <v>AMM enero</v>
      </c>
      <c r="I1448" s="42" t="str">
        <f ca="1">IFERROR(__xludf.DUMMYFUNCTION("""COMPUTED_VALUE"""),"Enero")</f>
        <v>Enero</v>
      </c>
      <c r="J1448" s="42" t="str">
        <f ca="1">IFERROR(__xludf.DUMMYFUNCTION("""COMPUTED_VALUE"""),"AMM")</f>
        <v>AMM</v>
      </c>
      <c r="K1448" s="98">
        <f ca="1">IFERROR(__xludf.DUMMYFUNCTION("""COMPUTED_VALUE"""),23)</f>
        <v>23</v>
      </c>
      <c r="L1448" s="42" t="str">
        <f ca="1">IFERROR(__xludf.DUMMYFUNCTION("""COMPUTED_VALUE"""),"TRIMESTRE 1")</f>
        <v>TRIMESTRE 1</v>
      </c>
      <c r="M1448" s="42" t="str">
        <f ca="1">IFERROR(__xludf.DUMMYFUNCTION("""COMPUTED_VALUE"""),"ADULTA MAYOR MUJER")</f>
        <v>ADULTA MAYOR MUJER</v>
      </c>
    </row>
    <row r="1449" spans="1:13">
      <c r="A1449" s="42" t="str">
        <f ca="1">IFERROR(__xludf.DUMMYFUNCTION("""COMPUTED_VALUE"""),"2.1.2.0")</f>
        <v>2.1.2.0</v>
      </c>
      <c r="B1449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49" s="42" t="str">
        <f ca="1">IFERROR(__xludf.DUMMYFUNCTION("""COMPUTED_VALUE"""),"3. Operación")</f>
        <v>3. Operación</v>
      </c>
      <c r="D1449" s="42" t="str">
        <f ca="1">IFERROR(__xludf.DUMMYFUNCTION("""COMPUTED_VALUE"""),"Guadalajara en Paz")</f>
        <v>Guadalajara en Paz</v>
      </c>
      <c r="E1449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49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49" s="42" t="str">
        <f ca="1">IFERROR(__xludf.DUMMYFUNCTION("""COMPUTED_VALUE"""),"Porcentaje de población en situación de emergencia atendida, en 2023")</f>
        <v>Porcentaje de población en situación de emergencia atendida, en 2023</v>
      </c>
      <c r="H1449" s="42" t="str">
        <f ca="1">IFERROR(__xludf.DUMMYFUNCTION("""COMPUTED_VALUE"""),"AMH enero")</f>
        <v>AMH enero</v>
      </c>
      <c r="I1449" s="42" t="str">
        <f ca="1">IFERROR(__xludf.DUMMYFUNCTION("""COMPUTED_VALUE"""),"Enero")</f>
        <v>Enero</v>
      </c>
      <c r="J1449" s="42" t="str">
        <f ca="1">IFERROR(__xludf.DUMMYFUNCTION("""COMPUTED_VALUE"""),"AMH")</f>
        <v>AMH</v>
      </c>
      <c r="K1449" s="98">
        <f ca="1">IFERROR(__xludf.DUMMYFUNCTION("""COMPUTED_VALUE"""),161)</f>
        <v>161</v>
      </c>
      <c r="L1449" s="42" t="str">
        <f ca="1">IFERROR(__xludf.DUMMYFUNCTION("""COMPUTED_VALUE"""),"TRIMESTRE 1")</f>
        <v>TRIMESTRE 1</v>
      </c>
      <c r="M1449" s="42" t="str">
        <f ca="1">IFERROR(__xludf.DUMMYFUNCTION("""COMPUTED_VALUE"""),"ADULTO MAYOR HOMBRE")</f>
        <v>ADULTO MAYOR HOMBRE</v>
      </c>
    </row>
    <row r="1450" spans="1:13">
      <c r="A1450" s="42" t="str">
        <f ca="1">IFERROR(__xludf.DUMMYFUNCTION("""COMPUTED_VALUE"""),"2.1.2.0")</f>
        <v>2.1.2.0</v>
      </c>
      <c r="B1450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50" s="42" t="str">
        <f ca="1">IFERROR(__xludf.DUMMYFUNCTION("""COMPUTED_VALUE"""),"3. Operación")</f>
        <v>3. Operación</v>
      </c>
      <c r="D1450" s="42" t="str">
        <f ca="1">IFERROR(__xludf.DUMMYFUNCTION("""COMPUTED_VALUE"""),"Guadalajara en Paz")</f>
        <v>Guadalajara en Paz</v>
      </c>
      <c r="E1450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50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50" s="42" t="str">
        <f ca="1">IFERROR(__xludf.DUMMYFUNCTION("""COMPUTED_VALUE"""),"Porcentaje de población en situación de emergencia atendida, en 2023")</f>
        <v>Porcentaje de población en situación de emergencia atendida, en 2023</v>
      </c>
      <c r="H1450" s="42" t="str">
        <f ca="1">IFERROR(__xludf.DUMMYFUNCTION("""COMPUTED_VALUE"""),"NAS Febrero")</f>
        <v>NAS Febrero</v>
      </c>
      <c r="I1450" s="42" t="str">
        <f ca="1">IFERROR(__xludf.DUMMYFUNCTION("""COMPUTED_VALUE"""),"Febrero")</f>
        <v>Febrero</v>
      </c>
      <c r="J1450" s="42" t="str">
        <f ca="1">IFERROR(__xludf.DUMMYFUNCTION("""COMPUTED_VALUE"""),"NAS")</f>
        <v>NAS</v>
      </c>
      <c r="K1450" s="98">
        <f ca="1">IFERROR(__xludf.DUMMYFUNCTION("""COMPUTED_VALUE"""),41)</f>
        <v>41</v>
      </c>
      <c r="L1450" s="42" t="str">
        <f ca="1">IFERROR(__xludf.DUMMYFUNCTION("""COMPUTED_VALUE"""),"TRIMESTRE 1")</f>
        <v>TRIMESTRE 1</v>
      </c>
      <c r="M1450" s="42" t="str">
        <f ca="1">IFERROR(__xludf.DUMMYFUNCTION("""COMPUTED_VALUE"""),"NIÑAS")</f>
        <v>NIÑAS</v>
      </c>
    </row>
    <row r="1451" spans="1:13">
      <c r="A1451" s="42" t="str">
        <f ca="1">IFERROR(__xludf.DUMMYFUNCTION("""COMPUTED_VALUE"""),"2.1.2.0")</f>
        <v>2.1.2.0</v>
      </c>
      <c r="B1451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51" s="42" t="str">
        <f ca="1">IFERROR(__xludf.DUMMYFUNCTION("""COMPUTED_VALUE"""),"3. Operación")</f>
        <v>3. Operación</v>
      </c>
      <c r="D1451" s="42" t="str">
        <f ca="1">IFERROR(__xludf.DUMMYFUNCTION("""COMPUTED_VALUE"""),"Guadalajara en Paz")</f>
        <v>Guadalajara en Paz</v>
      </c>
      <c r="E1451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51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51" s="42" t="str">
        <f ca="1">IFERROR(__xludf.DUMMYFUNCTION("""COMPUTED_VALUE"""),"Porcentaje de población en situación de emergencia atendida, en 2023")</f>
        <v>Porcentaje de población en situación de emergencia atendida, en 2023</v>
      </c>
      <c r="H1451" s="42" t="str">
        <f ca="1">IFERROR(__xludf.DUMMYFUNCTION("""COMPUTED_VALUE"""),"NOS Febrero")</f>
        <v>NOS Febrero</v>
      </c>
      <c r="I1451" s="42" t="str">
        <f ca="1">IFERROR(__xludf.DUMMYFUNCTION("""COMPUTED_VALUE"""),"Febrero")</f>
        <v>Febrero</v>
      </c>
      <c r="J1451" s="42" t="str">
        <f ca="1">IFERROR(__xludf.DUMMYFUNCTION("""COMPUTED_VALUE"""),"NOS")</f>
        <v>NOS</v>
      </c>
      <c r="K1451" s="98">
        <f ca="1">IFERROR(__xludf.DUMMYFUNCTION("""COMPUTED_VALUE"""),24)</f>
        <v>24</v>
      </c>
      <c r="L1451" s="42" t="str">
        <f ca="1">IFERROR(__xludf.DUMMYFUNCTION("""COMPUTED_VALUE"""),"TRIMESTRE 1")</f>
        <v>TRIMESTRE 1</v>
      </c>
      <c r="M1451" s="42" t="str">
        <f ca="1">IFERROR(__xludf.DUMMYFUNCTION("""COMPUTED_VALUE"""),"NIÑOS")</f>
        <v>NIÑOS</v>
      </c>
    </row>
    <row r="1452" spans="1:13">
      <c r="A1452" s="42" t="str">
        <f ca="1">IFERROR(__xludf.DUMMYFUNCTION("""COMPUTED_VALUE"""),"2.1.2.0")</f>
        <v>2.1.2.0</v>
      </c>
      <c r="B1452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52" s="42" t="str">
        <f ca="1">IFERROR(__xludf.DUMMYFUNCTION("""COMPUTED_VALUE"""),"3. Operación")</f>
        <v>3. Operación</v>
      </c>
      <c r="D1452" s="42" t="str">
        <f ca="1">IFERROR(__xludf.DUMMYFUNCTION("""COMPUTED_VALUE"""),"Guadalajara en Paz")</f>
        <v>Guadalajara en Paz</v>
      </c>
      <c r="E1452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52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52" s="42" t="str">
        <f ca="1">IFERROR(__xludf.DUMMYFUNCTION("""COMPUTED_VALUE"""),"Porcentaje de población en situación de emergencia atendida, en 2023")</f>
        <v>Porcentaje de población en situación de emergencia atendida, en 2023</v>
      </c>
      <c r="H1452" s="42" t="str">
        <f ca="1">IFERROR(__xludf.DUMMYFUNCTION("""COMPUTED_VALUE"""),"AM FEBRERO")</f>
        <v>AM FEBRERO</v>
      </c>
      <c r="I1452" s="42" t="str">
        <f ca="1">IFERROR(__xludf.DUMMYFUNCTION("""COMPUTED_VALUE"""),"Febrero")</f>
        <v>Febrero</v>
      </c>
      <c r="J1452" s="42" t="str">
        <f ca="1">IFERROR(__xludf.DUMMYFUNCTION("""COMPUTED_VALUE"""),"AM")</f>
        <v>AM</v>
      </c>
      <c r="K1452" s="98">
        <f ca="1">IFERROR(__xludf.DUMMYFUNCTION("""COMPUTED_VALUE"""),4)</f>
        <v>4</v>
      </c>
      <c r="L1452" s="42" t="str">
        <f ca="1">IFERROR(__xludf.DUMMYFUNCTION("""COMPUTED_VALUE"""),"TRIMESTRE 1")</f>
        <v>TRIMESTRE 1</v>
      </c>
      <c r="M1452" s="42" t="str">
        <f ca="1">IFERROR(__xludf.DUMMYFUNCTION("""COMPUTED_VALUE"""),"ADOLESCENTES MUJERES")</f>
        <v>ADOLESCENTES MUJERES</v>
      </c>
    </row>
    <row r="1453" spans="1:13">
      <c r="A1453" s="42" t="str">
        <f ca="1">IFERROR(__xludf.DUMMYFUNCTION("""COMPUTED_VALUE"""),"2.1.2.0")</f>
        <v>2.1.2.0</v>
      </c>
      <c r="B1453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53" s="42" t="str">
        <f ca="1">IFERROR(__xludf.DUMMYFUNCTION("""COMPUTED_VALUE"""),"3. Operación")</f>
        <v>3. Operación</v>
      </c>
      <c r="D1453" s="42" t="str">
        <f ca="1">IFERROR(__xludf.DUMMYFUNCTION("""COMPUTED_VALUE"""),"Guadalajara en Paz")</f>
        <v>Guadalajara en Paz</v>
      </c>
      <c r="E1453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53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53" s="42" t="str">
        <f ca="1">IFERROR(__xludf.DUMMYFUNCTION("""COMPUTED_VALUE"""),"Porcentaje de población en situación de emergencia atendida, en 2023")</f>
        <v>Porcentaje de población en situación de emergencia atendida, en 2023</v>
      </c>
      <c r="H1453" s="42" t="str">
        <f ca="1">IFERROR(__xludf.DUMMYFUNCTION("""COMPUTED_VALUE"""),"AH FEBRERO")</f>
        <v>AH FEBRERO</v>
      </c>
      <c r="I1453" s="42" t="str">
        <f ca="1">IFERROR(__xludf.DUMMYFUNCTION("""COMPUTED_VALUE"""),"Febrero")</f>
        <v>Febrero</v>
      </c>
      <c r="J1453" s="42" t="str">
        <f ca="1">IFERROR(__xludf.DUMMYFUNCTION("""COMPUTED_VALUE"""),"AH")</f>
        <v>AH</v>
      </c>
      <c r="K1453" s="98">
        <f ca="1">IFERROR(__xludf.DUMMYFUNCTION("""COMPUTED_VALUE"""),0)</f>
        <v>0</v>
      </c>
      <c r="L1453" s="42" t="str">
        <f ca="1">IFERROR(__xludf.DUMMYFUNCTION("""COMPUTED_VALUE"""),"TRIMESTRE 1")</f>
        <v>TRIMESTRE 1</v>
      </c>
      <c r="M1453" s="42" t="str">
        <f ca="1">IFERROR(__xludf.DUMMYFUNCTION("""COMPUTED_VALUE"""),"ADOLESCENTES HOMBRES")</f>
        <v>ADOLESCENTES HOMBRES</v>
      </c>
    </row>
    <row r="1454" spans="1:13">
      <c r="A1454" s="42" t="str">
        <f ca="1">IFERROR(__xludf.DUMMYFUNCTION("""COMPUTED_VALUE"""),"2.1.2.0")</f>
        <v>2.1.2.0</v>
      </c>
      <c r="B1454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54" s="42" t="str">
        <f ca="1">IFERROR(__xludf.DUMMYFUNCTION("""COMPUTED_VALUE"""),"3. Operación")</f>
        <v>3. Operación</v>
      </c>
      <c r="D1454" s="42" t="str">
        <f ca="1">IFERROR(__xludf.DUMMYFUNCTION("""COMPUTED_VALUE"""),"Guadalajara en Paz")</f>
        <v>Guadalajara en Paz</v>
      </c>
      <c r="E1454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54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54" s="42" t="str">
        <f ca="1">IFERROR(__xludf.DUMMYFUNCTION("""COMPUTED_VALUE"""),"Porcentaje de población en situación de emergencia atendida, en 2023")</f>
        <v>Porcentaje de población en situación de emergencia atendida, en 2023</v>
      </c>
      <c r="H1454" s="42" t="str">
        <f ca="1">IFERROR(__xludf.DUMMYFUNCTION("""COMPUTED_VALUE"""),"MUJ Febrero")</f>
        <v>MUJ Febrero</v>
      </c>
      <c r="I1454" s="42" t="str">
        <f ca="1">IFERROR(__xludf.DUMMYFUNCTION("""COMPUTED_VALUE"""),"Febrero")</f>
        <v>Febrero</v>
      </c>
      <c r="J1454" s="42" t="str">
        <f ca="1">IFERROR(__xludf.DUMMYFUNCTION("""COMPUTED_VALUE"""),"MUJ")</f>
        <v>MUJ</v>
      </c>
      <c r="K1454" s="98">
        <f ca="1">IFERROR(__xludf.DUMMYFUNCTION("""COMPUTED_VALUE"""),102)</f>
        <v>102</v>
      </c>
      <c r="L1454" s="42" t="str">
        <f ca="1">IFERROR(__xludf.DUMMYFUNCTION("""COMPUTED_VALUE"""),"TRIMESTRE 1")</f>
        <v>TRIMESTRE 1</v>
      </c>
      <c r="M1454" s="42" t="str">
        <f ca="1">IFERROR(__xludf.DUMMYFUNCTION("""COMPUTED_VALUE"""),"MUJERES ADULTAS")</f>
        <v>MUJERES ADULTAS</v>
      </c>
    </row>
    <row r="1455" spans="1:13">
      <c r="A1455" s="42" t="str">
        <f ca="1">IFERROR(__xludf.DUMMYFUNCTION("""COMPUTED_VALUE"""),"2.1.2.0")</f>
        <v>2.1.2.0</v>
      </c>
      <c r="B1455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55" s="42" t="str">
        <f ca="1">IFERROR(__xludf.DUMMYFUNCTION("""COMPUTED_VALUE"""),"3. Operación")</f>
        <v>3. Operación</v>
      </c>
      <c r="D1455" s="42" t="str">
        <f ca="1">IFERROR(__xludf.DUMMYFUNCTION("""COMPUTED_VALUE"""),"Guadalajara en Paz")</f>
        <v>Guadalajara en Paz</v>
      </c>
      <c r="E1455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55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55" s="42" t="str">
        <f ca="1">IFERROR(__xludf.DUMMYFUNCTION("""COMPUTED_VALUE"""),"Porcentaje de población en situación de emergencia atendida, en 2023")</f>
        <v>Porcentaje de población en situación de emergencia atendida, en 2023</v>
      </c>
      <c r="H1455" s="42" t="str">
        <f ca="1">IFERROR(__xludf.DUMMYFUNCTION("""COMPUTED_VALUE"""),"HOM Febrero")</f>
        <v>HOM Febrero</v>
      </c>
      <c r="I1455" s="42" t="str">
        <f ca="1">IFERROR(__xludf.DUMMYFUNCTION("""COMPUTED_VALUE"""),"Febrero")</f>
        <v>Febrero</v>
      </c>
      <c r="J1455" s="42" t="str">
        <f ca="1">IFERROR(__xludf.DUMMYFUNCTION("""COMPUTED_VALUE"""),"HOM")</f>
        <v>HOM</v>
      </c>
      <c r="K1455" s="98">
        <f ca="1">IFERROR(__xludf.DUMMYFUNCTION("""COMPUTED_VALUE"""),1335)</f>
        <v>1335</v>
      </c>
      <c r="L1455" s="42" t="str">
        <f ca="1">IFERROR(__xludf.DUMMYFUNCTION("""COMPUTED_VALUE"""),"TRIMESTRE 1")</f>
        <v>TRIMESTRE 1</v>
      </c>
      <c r="M1455" s="42" t="str">
        <f ca="1">IFERROR(__xludf.DUMMYFUNCTION("""COMPUTED_VALUE"""),"HOMBRES ADULTOS")</f>
        <v>HOMBRES ADULTOS</v>
      </c>
    </row>
    <row r="1456" spans="1:13">
      <c r="A1456" s="42" t="str">
        <f ca="1">IFERROR(__xludf.DUMMYFUNCTION("""COMPUTED_VALUE"""),"2.1.2.0")</f>
        <v>2.1.2.0</v>
      </c>
      <c r="B1456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56" s="42" t="str">
        <f ca="1">IFERROR(__xludf.DUMMYFUNCTION("""COMPUTED_VALUE"""),"3. Operación")</f>
        <v>3. Operación</v>
      </c>
      <c r="D1456" s="42" t="str">
        <f ca="1">IFERROR(__xludf.DUMMYFUNCTION("""COMPUTED_VALUE"""),"Guadalajara en Paz")</f>
        <v>Guadalajara en Paz</v>
      </c>
      <c r="E1456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56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56" s="42" t="str">
        <f ca="1">IFERROR(__xludf.DUMMYFUNCTION("""COMPUTED_VALUE"""),"Porcentaje de población en situación de emergencia atendida, en 2023")</f>
        <v>Porcentaje de población en situación de emergencia atendida, en 2023</v>
      </c>
      <c r="H1456" s="42" t="str">
        <f ca="1">IFERROR(__xludf.DUMMYFUNCTION("""COMPUTED_VALUE"""),"AMM Febrero")</f>
        <v>AMM Febrero</v>
      </c>
      <c r="I1456" s="42" t="str">
        <f ca="1">IFERROR(__xludf.DUMMYFUNCTION("""COMPUTED_VALUE"""),"Febrero")</f>
        <v>Febrero</v>
      </c>
      <c r="J1456" s="42" t="str">
        <f ca="1">IFERROR(__xludf.DUMMYFUNCTION("""COMPUTED_VALUE"""),"AMM")</f>
        <v>AMM</v>
      </c>
      <c r="K1456" s="98">
        <f ca="1">IFERROR(__xludf.DUMMYFUNCTION("""COMPUTED_VALUE"""),15)</f>
        <v>15</v>
      </c>
      <c r="L1456" s="42" t="str">
        <f ca="1">IFERROR(__xludf.DUMMYFUNCTION("""COMPUTED_VALUE"""),"TRIMESTRE 1")</f>
        <v>TRIMESTRE 1</v>
      </c>
      <c r="M1456" s="42" t="str">
        <f ca="1">IFERROR(__xludf.DUMMYFUNCTION("""COMPUTED_VALUE"""),"ADULTA MAYOR MUJER")</f>
        <v>ADULTA MAYOR MUJER</v>
      </c>
    </row>
    <row r="1457" spans="1:13">
      <c r="A1457" s="42" t="str">
        <f ca="1">IFERROR(__xludf.DUMMYFUNCTION("""COMPUTED_VALUE"""),"2.1.2.0")</f>
        <v>2.1.2.0</v>
      </c>
      <c r="B1457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57" s="42" t="str">
        <f ca="1">IFERROR(__xludf.DUMMYFUNCTION("""COMPUTED_VALUE"""),"3. Operación")</f>
        <v>3. Operación</v>
      </c>
      <c r="D1457" s="42" t="str">
        <f ca="1">IFERROR(__xludf.DUMMYFUNCTION("""COMPUTED_VALUE"""),"Guadalajara en Paz")</f>
        <v>Guadalajara en Paz</v>
      </c>
      <c r="E1457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57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57" s="42" t="str">
        <f ca="1">IFERROR(__xludf.DUMMYFUNCTION("""COMPUTED_VALUE"""),"Porcentaje de población en situación de emergencia atendida, en 2023")</f>
        <v>Porcentaje de población en situación de emergencia atendida, en 2023</v>
      </c>
      <c r="H1457" s="42" t="str">
        <f ca="1">IFERROR(__xludf.DUMMYFUNCTION("""COMPUTED_VALUE"""),"AMH Febrero")</f>
        <v>AMH Febrero</v>
      </c>
      <c r="I1457" s="42" t="str">
        <f ca="1">IFERROR(__xludf.DUMMYFUNCTION("""COMPUTED_VALUE"""),"Febrero")</f>
        <v>Febrero</v>
      </c>
      <c r="J1457" s="42" t="str">
        <f ca="1">IFERROR(__xludf.DUMMYFUNCTION("""COMPUTED_VALUE"""),"AMH")</f>
        <v>AMH</v>
      </c>
      <c r="K1457" s="98">
        <f ca="1">IFERROR(__xludf.DUMMYFUNCTION("""COMPUTED_VALUE"""),160)</f>
        <v>160</v>
      </c>
      <c r="L1457" s="42" t="str">
        <f ca="1">IFERROR(__xludf.DUMMYFUNCTION("""COMPUTED_VALUE"""),"TRIMESTRE 1")</f>
        <v>TRIMESTRE 1</v>
      </c>
      <c r="M1457" s="42" t="str">
        <f ca="1">IFERROR(__xludf.DUMMYFUNCTION("""COMPUTED_VALUE"""),"ADULTO MAYOR HOMBRE")</f>
        <v>ADULTO MAYOR HOMBRE</v>
      </c>
    </row>
    <row r="1458" spans="1:13">
      <c r="A1458" s="42" t="str">
        <f ca="1">IFERROR(__xludf.DUMMYFUNCTION("""COMPUTED_VALUE"""),"2.1.2.0")</f>
        <v>2.1.2.0</v>
      </c>
      <c r="B1458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58" s="42" t="str">
        <f ca="1">IFERROR(__xludf.DUMMYFUNCTION("""COMPUTED_VALUE"""),"3. Operación")</f>
        <v>3. Operación</v>
      </c>
      <c r="D1458" s="42" t="str">
        <f ca="1">IFERROR(__xludf.DUMMYFUNCTION("""COMPUTED_VALUE"""),"Guadalajara en Paz")</f>
        <v>Guadalajara en Paz</v>
      </c>
      <c r="E1458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58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58" s="42" t="str">
        <f ca="1">IFERROR(__xludf.DUMMYFUNCTION("""COMPUTED_VALUE"""),"Porcentaje de población en situación de emergencia atendida, en 2023")</f>
        <v>Porcentaje de población en situación de emergencia atendida, en 2023</v>
      </c>
      <c r="H1458" s="42" t="str">
        <f ca="1">IFERROR(__xludf.DUMMYFUNCTION("""COMPUTED_VALUE"""),"NAS Marzo")</f>
        <v>NAS Marzo</v>
      </c>
      <c r="I1458" s="42" t="str">
        <f ca="1">IFERROR(__xludf.DUMMYFUNCTION("""COMPUTED_VALUE"""),"Marzo")</f>
        <v>Marzo</v>
      </c>
      <c r="J1458" s="42" t="str">
        <f ca="1">IFERROR(__xludf.DUMMYFUNCTION("""COMPUTED_VALUE"""),"NAS")</f>
        <v>NAS</v>
      </c>
      <c r="K1458" s="98"/>
      <c r="L1458" s="42" t="str">
        <f ca="1">IFERROR(__xludf.DUMMYFUNCTION("""COMPUTED_VALUE"""),"TRIMESTRE 1")</f>
        <v>TRIMESTRE 1</v>
      </c>
      <c r="M1458" s="42" t="str">
        <f ca="1">IFERROR(__xludf.DUMMYFUNCTION("""COMPUTED_VALUE"""),"NIÑAS")</f>
        <v>NIÑAS</v>
      </c>
    </row>
    <row r="1459" spans="1:13">
      <c r="A1459" s="42" t="str">
        <f ca="1">IFERROR(__xludf.DUMMYFUNCTION("""COMPUTED_VALUE"""),"2.1.2.0")</f>
        <v>2.1.2.0</v>
      </c>
      <c r="B1459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59" s="42" t="str">
        <f ca="1">IFERROR(__xludf.DUMMYFUNCTION("""COMPUTED_VALUE"""),"3. Operación")</f>
        <v>3. Operación</v>
      </c>
      <c r="D1459" s="42" t="str">
        <f ca="1">IFERROR(__xludf.DUMMYFUNCTION("""COMPUTED_VALUE"""),"Guadalajara en Paz")</f>
        <v>Guadalajara en Paz</v>
      </c>
      <c r="E1459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59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59" s="42" t="str">
        <f ca="1">IFERROR(__xludf.DUMMYFUNCTION("""COMPUTED_VALUE"""),"Porcentaje de población en situación de emergencia atendida, en 2023")</f>
        <v>Porcentaje de población en situación de emergencia atendida, en 2023</v>
      </c>
      <c r="H1459" s="42" t="str">
        <f ca="1">IFERROR(__xludf.DUMMYFUNCTION("""COMPUTED_VALUE"""),"NOS Marzo")</f>
        <v>NOS Marzo</v>
      </c>
      <c r="I1459" s="42" t="str">
        <f ca="1">IFERROR(__xludf.DUMMYFUNCTION("""COMPUTED_VALUE"""),"Marzo")</f>
        <v>Marzo</v>
      </c>
      <c r="J1459" s="42" t="str">
        <f ca="1">IFERROR(__xludf.DUMMYFUNCTION("""COMPUTED_VALUE"""),"NOS")</f>
        <v>NOS</v>
      </c>
      <c r="K1459" s="98"/>
      <c r="L1459" s="42" t="str">
        <f ca="1">IFERROR(__xludf.DUMMYFUNCTION("""COMPUTED_VALUE"""),"TRIMESTRE 1")</f>
        <v>TRIMESTRE 1</v>
      </c>
      <c r="M1459" s="42" t="str">
        <f ca="1">IFERROR(__xludf.DUMMYFUNCTION("""COMPUTED_VALUE"""),"NIÑOS")</f>
        <v>NIÑOS</v>
      </c>
    </row>
    <row r="1460" spans="1:13">
      <c r="A1460" s="42" t="str">
        <f ca="1">IFERROR(__xludf.DUMMYFUNCTION("""COMPUTED_VALUE"""),"2.1.2.0")</f>
        <v>2.1.2.0</v>
      </c>
      <c r="B1460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60" s="42" t="str">
        <f ca="1">IFERROR(__xludf.DUMMYFUNCTION("""COMPUTED_VALUE"""),"3. Operación")</f>
        <v>3. Operación</v>
      </c>
      <c r="D1460" s="42" t="str">
        <f ca="1">IFERROR(__xludf.DUMMYFUNCTION("""COMPUTED_VALUE"""),"Guadalajara en Paz")</f>
        <v>Guadalajara en Paz</v>
      </c>
      <c r="E1460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60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60" s="42" t="str">
        <f ca="1">IFERROR(__xludf.DUMMYFUNCTION("""COMPUTED_VALUE"""),"Porcentaje de población en situación de emergencia atendida, en 2023")</f>
        <v>Porcentaje de población en situación de emergencia atendida, en 2023</v>
      </c>
      <c r="H1460" s="42" t="str">
        <f ca="1">IFERROR(__xludf.DUMMYFUNCTION("""COMPUTED_VALUE"""),"AM MARZO")</f>
        <v>AM MARZO</v>
      </c>
      <c r="I1460" s="42" t="str">
        <f ca="1">IFERROR(__xludf.DUMMYFUNCTION("""COMPUTED_VALUE"""),"Marzo")</f>
        <v>Marzo</v>
      </c>
      <c r="J1460" s="42" t="str">
        <f ca="1">IFERROR(__xludf.DUMMYFUNCTION("""COMPUTED_VALUE"""),"AM")</f>
        <v>AM</v>
      </c>
      <c r="K1460" s="98"/>
      <c r="L1460" s="42" t="str">
        <f ca="1">IFERROR(__xludf.DUMMYFUNCTION("""COMPUTED_VALUE"""),"TRIMESTRE 1")</f>
        <v>TRIMESTRE 1</v>
      </c>
      <c r="M1460" s="42" t="str">
        <f ca="1">IFERROR(__xludf.DUMMYFUNCTION("""COMPUTED_VALUE"""),"ADOLESCENTES MUJERES")</f>
        <v>ADOLESCENTES MUJERES</v>
      </c>
    </row>
    <row r="1461" spans="1:13">
      <c r="A1461" s="42" t="str">
        <f ca="1">IFERROR(__xludf.DUMMYFUNCTION("""COMPUTED_VALUE"""),"2.1.2.0")</f>
        <v>2.1.2.0</v>
      </c>
      <c r="B1461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61" s="42" t="str">
        <f ca="1">IFERROR(__xludf.DUMMYFUNCTION("""COMPUTED_VALUE"""),"3. Operación")</f>
        <v>3. Operación</v>
      </c>
      <c r="D1461" s="42" t="str">
        <f ca="1">IFERROR(__xludf.DUMMYFUNCTION("""COMPUTED_VALUE"""),"Guadalajara en Paz")</f>
        <v>Guadalajara en Paz</v>
      </c>
      <c r="E1461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61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61" s="42" t="str">
        <f ca="1">IFERROR(__xludf.DUMMYFUNCTION("""COMPUTED_VALUE"""),"Porcentaje de población en situación de emergencia atendida, en 2023")</f>
        <v>Porcentaje de población en situación de emergencia atendida, en 2023</v>
      </c>
      <c r="H1461" s="42" t="str">
        <f ca="1">IFERROR(__xludf.DUMMYFUNCTION("""COMPUTED_VALUE"""),"AH MARZO")</f>
        <v>AH MARZO</v>
      </c>
      <c r="I1461" s="42" t="str">
        <f ca="1">IFERROR(__xludf.DUMMYFUNCTION("""COMPUTED_VALUE"""),"Marzo")</f>
        <v>Marzo</v>
      </c>
      <c r="J1461" s="42" t="str">
        <f ca="1">IFERROR(__xludf.DUMMYFUNCTION("""COMPUTED_VALUE"""),"AH")</f>
        <v>AH</v>
      </c>
      <c r="K1461" s="98"/>
      <c r="L1461" s="42" t="str">
        <f ca="1">IFERROR(__xludf.DUMMYFUNCTION("""COMPUTED_VALUE"""),"TRIMESTRE 1")</f>
        <v>TRIMESTRE 1</v>
      </c>
      <c r="M1461" s="42" t="str">
        <f ca="1">IFERROR(__xludf.DUMMYFUNCTION("""COMPUTED_VALUE"""),"ADOLESCENTES HOMBRES")</f>
        <v>ADOLESCENTES HOMBRES</v>
      </c>
    </row>
    <row r="1462" spans="1:13">
      <c r="A1462" s="42" t="str">
        <f ca="1">IFERROR(__xludf.DUMMYFUNCTION("""COMPUTED_VALUE"""),"2.1.2.0")</f>
        <v>2.1.2.0</v>
      </c>
      <c r="B1462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62" s="42" t="str">
        <f ca="1">IFERROR(__xludf.DUMMYFUNCTION("""COMPUTED_VALUE"""),"3. Operación")</f>
        <v>3. Operación</v>
      </c>
      <c r="D1462" s="42" t="str">
        <f ca="1">IFERROR(__xludf.DUMMYFUNCTION("""COMPUTED_VALUE"""),"Guadalajara en Paz")</f>
        <v>Guadalajara en Paz</v>
      </c>
      <c r="E1462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62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62" s="42" t="str">
        <f ca="1">IFERROR(__xludf.DUMMYFUNCTION("""COMPUTED_VALUE"""),"Porcentaje de población en situación de emergencia atendida, en 2023")</f>
        <v>Porcentaje de población en situación de emergencia atendida, en 2023</v>
      </c>
      <c r="H1462" s="42" t="str">
        <f ca="1">IFERROR(__xludf.DUMMYFUNCTION("""COMPUTED_VALUE"""),"MUJ Marzo")</f>
        <v>MUJ Marzo</v>
      </c>
      <c r="I1462" s="42" t="str">
        <f ca="1">IFERROR(__xludf.DUMMYFUNCTION("""COMPUTED_VALUE"""),"Marzo")</f>
        <v>Marzo</v>
      </c>
      <c r="J1462" s="42" t="str">
        <f ca="1">IFERROR(__xludf.DUMMYFUNCTION("""COMPUTED_VALUE"""),"MUJ")</f>
        <v>MUJ</v>
      </c>
      <c r="K1462" s="98"/>
      <c r="L1462" s="42" t="str">
        <f ca="1">IFERROR(__xludf.DUMMYFUNCTION("""COMPUTED_VALUE"""),"TRIMESTRE 1")</f>
        <v>TRIMESTRE 1</v>
      </c>
      <c r="M1462" s="42" t="str">
        <f ca="1">IFERROR(__xludf.DUMMYFUNCTION("""COMPUTED_VALUE"""),"MUJERES ADULTAS")</f>
        <v>MUJERES ADULTAS</v>
      </c>
    </row>
    <row r="1463" spans="1:13">
      <c r="A1463" s="42" t="str">
        <f ca="1">IFERROR(__xludf.DUMMYFUNCTION("""COMPUTED_VALUE"""),"2.1.2.0")</f>
        <v>2.1.2.0</v>
      </c>
      <c r="B1463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63" s="42" t="str">
        <f ca="1">IFERROR(__xludf.DUMMYFUNCTION("""COMPUTED_VALUE"""),"3. Operación")</f>
        <v>3. Operación</v>
      </c>
      <c r="D1463" s="42" t="str">
        <f ca="1">IFERROR(__xludf.DUMMYFUNCTION("""COMPUTED_VALUE"""),"Guadalajara en Paz")</f>
        <v>Guadalajara en Paz</v>
      </c>
      <c r="E1463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63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63" s="42" t="str">
        <f ca="1">IFERROR(__xludf.DUMMYFUNCTION("""COMPUTED_VALUE"""),"Porcentaje de población en situación de emergencia atendida, en 2023")</f>
        <v>Porcentaje de población en situación de emergencia atendida, en 2023</v>
      </c>
      <c r="H1463" s="42" t="str">
        <f ca="1">IFERROR(__xludf.DUMMYFUNCTION("""COMPUTED_VALUE"""),"HOM Marzo")</f>
        <v>HOM Marzo</v>
      </c>
      <c r="I1463" s="42" t="str">
        <f ca="1">IFERROR(__xludf.DUMMYFUNCTION("""COMPUTED_VALUE"""),"Marzo")</f>
        <v>Marzo</v>
      </c>
      <c r="J1463" s="42" t="str">
        <f ca="1">IFERROR(__xludf.DUMMYFUNCTION("""COMPUTED_VALUE"""),"HOM")</f>
        <v>HOM</v>
      </c>
      <c r="K1463" s="98"/>
      <c r="L1463" s="42" t="str">
        <f ca="1">IFERROR(__xludf.DUMMYFUNCTION("""COMPUTED_VALUE"""),"TRIMESTRE 1")</f>
        <v>TRIMESTRE 1</v>
      </c>
      <c r="M1463" s="42" t="str">
        <f ca="1">IFERROR(__xludf.DUMMYFUNCTION("""COMPUTED_VALUE"""),"HOMBRES ADULTOS")</f>
        <v>HOMBRES ADULTOS</v>
      </c>
    </row>
    <row r="1464" spans="1:13">
      <c r="A1464" s="42" t="str">
        <f ca="1">IFERROR(__xludf.DUMMYFUNCTION("""COMPUTED_VALUE"""),"2.1.2.0")</f>
        <v>2.1.2.0</v>
      </c>
      <c r="B1464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64" s="42" t="str">
        <f ca="1">IFERROR(__xludf.DUMMYFUNCTION("""COMPUTED_VALUE"""),"3. Operación")</f>
        <v>3. Operación</v>
      </c>
      <c r="D1464" s="42" t="str">
        <f ca="1">IFERROR(__xludf.DUMMYFUNCTION("""COMPUTED_VALUE"""),"Guadalajara en Paz")</f>
        <v>Guadalajara en Paz</v>
      </c>
      <c r="E1464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64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64" s="42" t="str">
        <f ca="1">IFERROR(__xludf.DUMMYFUNCTION("""COMPUTED_VALUE"""),"Porcentaje de población en situación de emergencia atendida, en 2023")</f>
        <v>Porcentaje de población en situación de emergencia atendida, en 2023</v>
      </c>
      <c r="H1464" s="42" t="str">
        <f ca="1">IFERROR(__xludf.DUMMYFUNCTION("""COMPUTED_VALUE"""),"AMM Marzo")</f>
        <v>AMM Marzo</v>
      </c>
      <c r="I1464" s="42" t="str">
        <f ca="1">IFERROR(__xludf.DUMMYFUNCTION("""COMPUTED_VALUE"""),"Marzo")</f>
        <v>Marzo</v>
      </c>
      <c r="J1464" s="42" t="str">
        <f ca="1">IFERROR(__xludf.DUMMYFUNCTION("""COMPUTED_VALUE"""),"AMM")</f>
        <v>AMM</v>
      </c>
      <c r="K1464" s="98"/>
      <c r="L1464" s="42" t="str">
        <f ca="1">IFERROR(__xludf.DUMMYFUNCTION("""COMPUTED_VALUE"""),"TRIMESTRE 1")</f>
        <v>TRIMESTRE 1</v>
      </c>
      <c r="M1464" s="42" t="str">
        <f ca="1">IFERROR(__xludf.DUMMYFUNCTION("""COMPUTED_VALUE"""),"ADULTA MAYOR MUJER")</f>
        <v>ADULTA MAYOR MUJER</v>
      </c>
    </row>
    <row r="1465" spans="1:13">
      <c r="A1465" s="42" t="str">
        <f ca="1">IFERROR(__xludf.DUMMYFUNCTION("""COMPUTED_VALUE"""),"2.1.2.0")</f>
        <v>2.1.2.0</v>
      </c>
      <c r="B1465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65" s="42" t="str">
        <f ca="1">IFERROR(__xludf.DUMMYFUNCTION("""COMPUTED_VALUE"""),"3. Operación")</f>
        <v>3. Operación</v>
      </c>
      <c r="D1465" s="42" t="str">
        <f ca="1">IFERROR(__xludf.DUMMYFUNCTION("""COMPUTED_VALUE"""),"Guadalajara en Paz")</f>
        <v>Guadalajara en Paz</v>
      </c>
      <c r="E1465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65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65" s="42" t="str">
        <f ca="1">IFERROR(__xludf.DUMMYFUNCTION("""COMPUTED_VALUE"""),"Porcentaje de población en situación de emergencia atendida, en 2023")</f>
        <v>Porcentaje de población en situación de emergencia atendida, en 2023</v>
      </c>
      <c r="H1465" s="42" t="str">
        <f ca="1">IFERROR(__xludf.DUMMYFUNCTION("""COMPUTED_VALUE"""),"AMH Marzo")</f>
        <v>AMH Marzo</v>
      </c>
      <c r="I1465" s="42" t="str">
        <f ca="1">IFERROR(__xludf.DUMMYFUNCTION("""COMPUTED_VALUE"""),"Marzo")</f>
        <v>Marzo</v>
      </c>
      <c r="J1465" s="42" t="str">
        <f ca="1">IFERROR(__xludf.DUMMYFUNCTION("""COMPUTED_VALUE"""),"AMH")</f>
        <v>AMH</v>
      </c>
      <c r="K1465" s="98"/>
      <c r="L1465" s="42" t="str">
        <f ca="1">IFERROR(__xludf.DUMMYFUNCTION("""COMPUTED_VALUE"""),"TRIMESTRE 1")</f>
        <v>TRIMESTRE 1</v>
      </c>
      <c r="M1465" s="42" t="str">
        <f ca="1">IFERROR(__xludf.DUMMYFUNCTION("""COMPUTED_VALUE"""),"ADULTO MAYOR HOMBRE")</f>
        <v>ADULTO MAYOR HOMBRE</v>
      </c>
    </row>
    <row r="1466" spans="1:13">
      <c r="A1466" s="42" t="str">
        <f ca="1">IFERROR(__xludf.DUMMYFUNCTION("""COMPUTED_VALUE"""),"2.1.2.0")</f>
        <v>2.1.2.0</v>
      </c>
      <c r="B1466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66" s="42" t="str">
        <f ca="1">IFERROR(__xludf.DUMMYFUNCTION("""COMPUTED_VALUE"""),"3. Operación")</f>
        <v>3. Operación</v>
      </c>
      <c r="D1466" s="42" t="str">
        <f ca="1">IFERROR(__xludf.DUMMYFUNCTION("""COMPUTED_VALUE"""),"Guadalajara en Paz")</f>
        <v>Guadalajara en Paz</v>
      </c>
      <c r="E1466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66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66" s="42" t="str">
        <f ca="1">IFERROR(__xludf.DUMMYFUNCTION("""COMPUTED_VALUE"""),"Porcentaje de población en situación de emergencia atendida, en 2023")</f>
        <v>Porcentaje de población en situación de emergencia atendida, en 2023</v>
      </c>
      <c r="H1466" s="42" t="str">
        <f ca="1">IFERROR(__xludf.DUMMYFUNCTION("""COMPUTED_VALUE"""),"NAS Abril")</f>
        <v>NAS Abril</v>
      </c>
      <c r="I1466" s="42" t="str">
        <f ca="1">IFERROR(__xludf.DUMMYFUNCTION("""COMPUTED_VALUE"""),"Abril")</f>
        <v>Abril</v>
      </c>
      <c r="J1466" s="42" t="str">
        <f ca="1">IFERROR(__xludf.DUMMYFUNCTION("""COMPUTED_VALUE"""),"NAS")</f>
        <v>NAS</v>
      </c>
      <c r="K1466" s="98"/>
      <c r="L1466" s="42" t="str">
        <f ca="1">IFERROR(__xludf.DUMMYFUNCTION("""COMPUTED_VALUE"""),"TRIMESTRE 2")</f>
        <v>TRIMESTRE 2</v>
      </c>
      <c r="M1466" s="42" t="str">
        <f ca="1">IFERROR(__xludf.DUMMYFUNCTION("""COMPUTED_VALUE"""),"NIÑAS")</f>
        <v>NIÑAS</v>
      </c>
    </row>
    <row r="1467" spans="1:13">
      <c r="A1467" s="42" t="str">
        <f ca="1">IFERROR(__xludf.DUMMYFUNCTION("""COMPUTED_VALUE"""),"2.1.2.0")</f>
        <v>2.1.2.0</v>
      </c>
      <c r="B1467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67" s="42" t="str">
        <f ca="1">IFERROR(__xludf.DUMMYFUNCTION("""COMPUTED_VALUE"""),"3. Operación")</f>
        <v>3. Operación</v>
      </c>
      <c r="D1467" s="42" t="str">
        <f ca="1">IFERROR(__xludf.DUMMYFUNCTION("""COMPUTED_VALUE"""),"Guadalajara en Paz")</f>
        <v>Guadalajara en Paz</v>
      </c>
      <c r="E1467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67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67" s="42" t="str">
        <f ca="1">IFERROR(__xludf.DUMMYFUNCTION("""COMPUTED_VALUE"""),"Porcentaje de población en situación de emergencia atendida, en 2023")</f>
        <v>Porcentaje de población en situación de emergencia atendida, en 2023</v>
      </c>
      <c r="H1467" s="42" t="str">
        <f ca="1">IFERROR(__xludf.DUMMYFUNCTION("""COMPUTED_VALUE"""),"NOS Abril")</f>
        <v>NOS Abril</v>
      </c>
      <c r="I1467" s="42" t="str">
        <f ca="1">IFERROR(__xludf.DUMMYFUNCTION("""COMPUTED_VALUE"""),"Abril")</f>
        <v>Abril</v>
      </c>
      <c r="J1467" s="42" t="str">
        <f ca="1">IFERROR(__xludf.DUMMYFUNCTION("""COMPUTED_VALUE"""),"NOS")</f>
        <v>NOS</v>
      </c>
      <c r="K1467" s="98"/>
      <c r="L1467" s="42" t="str">
        <f ca="1">IFERROR(__xludf.DUMMYFUNCTION("""COMPUTED_VALUE"""),"TRIMESTRE 2")</f>
        <v>TRIMESTRE 2</v>
      </c>
      <c r="M1467" s="42" t="str">
        <f ca="1">IFERROR(__xludf.DUMMYFUNCTION("""COMPUTED_VALUE"""),"NIÑOS")</f>
        <v>NIÑOS</v>
      </c>
    </row>
    <row r="1468" spans="1:13">
      <c r="A1468" s="42" t="str">
        <f ca="1">IFERROR(__xludf.DUMMYFUNCTION("""COMPUTED_VALUE"""),"2.1.2.0")</f>
        <v>2.1.2.0</v>
      </c>
      <c r="B1468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68" s="42" t="str">
        <f ca="1">IFERROR(__xludf.DUMMYFUNCTION("""COMPUTED_VALUE"""),"3. Operación")</f>
        <v>3. Operación</v>
      </c>
      <c r="D1468" s="42" t="str">
        <f ca="1">IFERROR(__xludf.DUMMYFUNCTION("""COMPUTED_VALUE"""),"Guadalajara en Paz")</f>
        <v>Guadalajara en Paz</v>
      </c>
      <c r="E1468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68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68" s="42" t="str">
        <f ca="1">IFERROR(__xludf.DUMMYFUNCTION("""COMPUTED_VALUE"""),"Porcentaje de población en situación de emergencia atendida, en 2023")</f>
        <v>Porcentaje de población en situación de emergencia atendida, en 2023</v>
      </c>
      <c r="H1468" s="42" t="str">
        <f ca="1">IFERROR(__xludf.DUMMYFUNCTION("""COMPUTED_VALUE"""),"AM ABRIL")</f>
        <v>AM ABRIL</v>
      </c>
      <c r="I1468" s="42" t="str">
        <f ca="1">IFERROR(__xludf.DUMMYFUNCTION("""COMPUTED_VALUE"""),"Abril")</f>
        <v>Abril</v>
      </c>
      <c r="J1468" s="42" t="str">
        <f ca="1">IFERROR(__xludf.DUMMYFUNCTION("""COMPUTED_VALUE"""),"AM")</f>
        <v>AM</v>
      </c>
      <c r="K1468" s="98"/>
      <c r="L1468" s="42" t="str">
        <f ca="1">IFERROR(__xludf.DUMMYFUNCTION("""COMPUTED_VALUE"""),"TRIMESTRE 2")</f>
        <v>TRIMESTRE 2</v>
      </c>
      <c r="M1468" s="42" t="str">
        <f ca="1">IFERROR(__xludf.DUMMYFUNCTION("""COMPUTED_VALUE"""),"ADOLESCENTES MUJERES")</f>
        <v>ADOLESCENTES MUJERES</v>
      </c>
    </row>
    <row r="1469" spans="1:13">
      <c r="A1469" s="42" t="str">
        <f ca="1">IFERROR(__xludf.DUMMYFUNCTION("""COMPUTED_VALUE"""),"2.1.2.0")</f>
        <v>2.1.2.0</v>
      </c>
      <c r="B1469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69" s="42" t="str">
        <f ca="1">IFERROR(__xludf.DUMMYFUNCTION("""COMPUTED_VALUE"""),"3. Operación")</f>
        <v>3. Operación</v>
      </c>
      <c r="D1469" s="42" t="str">
        <f ca="1">IFERROR(__xludf.DUMMYFUNCTION("""COMPUTED_VALUE"""),"Guadalajara en Paz")</f>
        <v>Guadalajara en Paz</v>
      </c>
      <c r="E1469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69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69" s="42" t="str">
        <f ca="1">IFERROR(__xludf.DUMMYFUNCTION("""COMPUTED_VALUE"""),"Porcentaje de población en situación de emergencia atendida, en 2023")</f>
        <v>Porcentaje de población en situación de emergencia atendida, en 2023</v>
      </c>
      <c r="H1469" s="42" t="str">
        <f ca="1">IFERROR(__xludf.DUMMYFUNCTION("""COMPUTED_VALUE"""),"AH ABRIL")</f>
        <v>AH ABRIL</v>
      </c>
      <c r="I1469" s="42" t="str">
        <f ca="1">IFERROR(__xludf.DUMMYFUNCTION("""COMPUTED_VALUE"""),"Abril")</f>
        <v>Abril</v>
      </c>
      <c r="J1469" s="42" t="str">
        <f ca="1">IFERROR(__xludf.DUMMYFUNCTION("""COMPUTED_VALUE"""),"AH")</f>
        <v>AH</v>
      </c>
      <c r="K1469" s="98"/>
      <c r="L1469" s="42" t="str">
        <f ca="1">IFERROR(__xludf.DUMMYFUNCTION("""COMPUTED_VALUE"""),"TRIMESTRE 2")</f>
        <v>TRIMESTRE 2</v>
      </c>
      <c r="M1469" s="42" t="str">
        <f ca="1">IFERROR(__xludf.DUMMYFUNCTION("""COMPUTED_VALUE"""),"ADOLESCENTES HOMBRES")</f>
        <v>ADOLESCENTES HOMBRES</v>
      </c>
    </row>
    <row r="1470" spans="1:13">
      <c r="A1470" s="42" t="str">
        <f ca="1">IFERROR(__xludf.DUMMYFUNCTION("""COMPUTED_VALUE"""),"2.1.2.0")</f>
        <v>2.1.2.0</v>
      </c>
      <c r="B1470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70" s="42" t="str">
        <f ca="1">IFERROR(__xludf.DUMMYFUNCTION("""COMPUTED_VALUE"""),"3. Operación")</f>
        <v>3. Operación</v>
      </c>
      <c r="D1470" s="42" t="str">
        <f ca="1">IFERROR(__xludf.DUMMYFUNCTION("""COMPUTED_VALUE"""),"Guadalajara en Paz")</f>
        <v>Guadalajara en Paz</v>
      </c>
      <c r="E1470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70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70" s="42" t="str">
        <f ca="1">IFERROR(__xludf.DUMMYFUNCTION("""COMPUTED_VALUE"""),"Porcentaje de población en situación de emergencia atendida, en 2023")</f>
        <v>Porcentaje de población en situación de emergencia atendida, en 2023</v>
      </c>
      <c r="H1470" s="42" t="str">
        <f ca="1">IFERROR(__xludf.DUMMYFUNCTION("""COMPUTED_VALUE"""),"MUJ Abril")</f>
        <v>MUJ Abril</v>
      </c>
      <c r="I1470" s="42" t="str">
        <f ca="1">IFERROR(__xludf.DUMMYFUNCTION("""COMPUTED_VALUE"""),"Abril")</f>
        <v>Abril</v>
      </c>
      <c r="J1470" s="42" t="str">
        <f ca="1">IFERROR(__xludf.DUMMYFUNCTION("""COMPUTED_VALUE"""),"MUJ")</f>
        <v>MUJ</v>
      </c>
      <c r="K1470" s="98"/>
      <c r="L1470" s="42" t="str">
        <f ca="1">IFERROR(__xludf.DUMMYFUNCTION("""COMPUTED_VALUE"""),"TRIMESTRE 2")</f>
        <v>TRIMESTRE 2</v>
      </c>
      <c r="M1470" s="42" t="str">
        <f ca="1">IFERROR(__xludf.DUMMYFUNCTION("""COMPUTED_VALUE"""),"MUJERES ADULTAS")</f>
        <v>MUJERES ADULTAS</v>
      </c>
    </row>
    <row r="1471" spans="1:13">
      <c r="A1471" s="42" t="str">
        <f ca="1">IFERROR(__xludf.DUMMYFUNCTION("""COMPUTED_VALUE"""),"2.1.2.0")</f>
        <v>2.1.2.0</v>
      </c>
      <c r="B1471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71" s="42" t="str">
        <f ca="1">IFERROR(__xludf.DUMMYFUNCTION("""COMPUTED_VALUE"""),"3. Operación")</f>
        <v>3. Operación</v>
      </c>
      <c r="D1471" s="42" t="str">
        <f ca="1">IFERROR(__xludf.DUMMYFUNCTION("""COMPUTED_VALUE"""),"Guadalajara en Paz")</f>
        <v>Guadalajara en Paz</v>
      </c>
      <c r="E1471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71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71" s="42" t="str">
        <f ca="1">IFERROR(__xludf.DUMMYFUNCTION("""COMPUTED_VALUE"""),"Porcentaje de población en situación de emergencia atendida, en 2023")</f>
        <v>Porcentaje de población en situación de emergencia atendida, en 2023</v>
      </c>
      <c r="H1471" s="42" t="str">
        <f ca="1">IFERROR(__xludf.DUMMYFUNCTION("""COMPUTED_VALUE"""),"HOM Abril")</f>
        <v>HOM Abril</v>
      </c>
      <c r="I1471" s="42" t="str">
        <f ca="1">IFERROR(__xludf.DUMMYFUNCTION("""COMPUTED_VALUE"""),"Abril")</f>
        <v>Abril</v>
      </c>
      <c r="J1471" s="42" t="str">
        <f ca="1">IFERROR(__xludf.DUMMYFUNCTION("""COMPUTED_VALUE"""),"HOM")</f>
        <v>HOM</v>
      </c>
      <c r="K1471" s="98"/>
      <c r="L1471" s="42" t="str">
        <f ca="1">IFERROR(__xludf.DUMMYFUNCTION("""COMPUTED_VALUE"""),"TRIMESTRE 2")</f>
        <v>TRIMESTRE 2</v>
      </c>
      <c r="M1471" s="42" t="str">
        <f ca="1">IFERROR(__xludf.DUMMYFUNCTION("""COMPUTED_VALUE"""),"HOMBRES ADULTOS")</f>
        <v>HOMBRES ADULTOS</v>
      </c>
    </row>
    <row r="1472" spans="1:13">
      <c r="A1472" s="42" t="str">
        <f ca="1">IFERROR(__xludf.DUMMYFUNCTION("""COMPUTED_VALUE"""),"2.1.2.0")</f>
        <v>2.1.2.0</v>
      </c>
      <c r="B1472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72" s="42" t="str">
        <f ca="1">IFERROR(__xludf.DUMMYFUNCTION("""COMPUTED_VALUE"""),"3. Operación")</f>
        <v>3. Operación</v>
      </c>
      <c r="D1472" s="42" t="str">
        <f ca="1">IFERROR(__xludf.DUMMYFUNCTION("""COMPUTED_VALUE"""),"Guadalajara en Paz")</f>
        <v>Guadalajara en Paz</v>
      </c>
      <c r="E1472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72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72" s="42" t="str">
        <f ca="1">IFERROR(__xludf.DUMMYFUNCTION("""COMPUTED_VALUE"""),"Porcentaje de población en situación de emergencia atendida, en 2023")</f>
        <v>Porcentaje de población en situación de emergencia atendida, en 2023</v>
      </c>
      <c r="H1472" s="42" t="str">
        <f ca="1">IFERROR(__xludf.DUMMYFUNCTION("""COMPUTED_VALUE"""),"AMM Abril")</f>
        <v>AMM Abril</v>
      </c>
      <c r="I1472" s="42" t="str">
        <f ca="1">IFERROR(__xludf.DUMMYFUNCTION("""COMPUTED_VALUE"""),"Abril")</f>
        <v>Abril</v>
      </c>
      <c r="J1472" s="42" t="str">
        <f ca="1">IFERROR(__xludf.DUMMYFUNCTION("""COMPUTED_VALUE"""),"AMM")</f>
        <v>AMM</v>
      </c>
      <c r="K1472" s="98"/>
      <c r="L1472" s="42" t="str">
        <f ca="1">IFERROR(__xludf.DUMMYFUNCTION("""COMPUTED_VALUE"""),"TRIMESTRE 2")</f>
        <v>TRIMESTRE 2</v>
      </c>
      <c r="M1472" s="42" t="str">
        <f ca="1">IFERROR(__xludf.DUMMYFUNCTION("""COMPUTED_VALUE"""),"ADULTA MAYOR MUJER")</f>
        <v>ADULTA MAYOR MUJER</v>
      </c>
    </row>
    <row r="1473" spans="1:13">
      <c r="A1473" s="42" t="str">
        <f ca="1">IFERROR(__xludf.DUMMYFUNCTION("""COMPUTED_VALUE"""),"2.1.2.0")</f>
        <v>2.1.2.0</v>
      </c>
      <c r="B1473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73" s="42" t="str">
        <f ca="1">IFERROR(__xludf.DUMMYFUNCTION("""COMPUTED_VALUE"""),"3. Operación")</f>
        <v>3. Operación</v>
      </c>
      <c r="D1473" s="42" t="str">
        <f ca="1">IFERROR(__xludf.DUMMYFUNCTION("""COMPUTED_VALUE"""),"Guadalajara en Paz")</f>
        <v>Guadalajara en Paz</v>
      </c>
      <c r="E1473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73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73" s="42" t="str">
        <f ca="1">IFERROR(__xludf.DUMMYFUNCTION("""COMPUTED_VALUE"""),"Porcentaje de población en situación de emergencia atendida, en 2023")</f>
        <v>Porcentaje de población en situación de emergencia atendida, en 2023</v>
      </c>
      <c r="H1473" s="42" t="str">
        <f ca="1">IFERROR(__xludf.DUMMYFUNCTION("""COMPUTED_VALUE"""),"AMH Abril")</f>
        <v>AMH Abril</v>
      </c>
      <c r="I1473" s="42" t="str">
        <f ca="1">IFERROR(__xludf.DUMMYFUNCTION("""COMPUTED_VALUE"""),"Abril")</f>
        <v>Abril</v>
      </c>
      <c r="J1473" s="42" t="str">
        <f ca="1">IFERROR(__xludf.DUMMYFUNCTION("""COMPUTED_VALUE"""),"AMH")</f>
        <v>AMH</v>
      </c>
      <c r="K1473" s="98"/>
      <c r="L1473" s="42" t="str">
        <f ca="1">IFERROR(__xludf.DUMMYFUNCTION("""COMPUTED_VALUE"""),"TRIMESTRE 2")</f>
        <v>TRIMESTRE 2</v>
      </c>
      <c r="M1473" s="42" t="str">
        <f ca="1">IFERROR(__xludf.DUMMYFUNCTION("""COMPUTED_VALUE"""),"ADULTO MAYOR HOMBRE")</f>
        <v>ADULTO MAYOR HOMBRE</v>
      </c>
    </row>
    <row r="1474" spans="1:13">
      <c r="A1474" s="42" t="str">
        <f ca="1">IFERROR(__xludf.DUMMYFUNCTION("""COMPUTED_VALUE"""),"2.1.2.0")</f>
        <v>2.1.2.0</v>
      </c>
      <c r="B1474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74" s="42" t="str">
        <f ca="1">IFERROR(__xludf.DUMMYFUNCTION("""COMPUTED_VALUE"""),"3. Operación")</f>
        <v>3. Operación</v>
      </c>
      <c r="D1474" s="42" t="str">
        <f ca="1">IFERROR(__xludf.DUMMYFUNCTION("""COMPUTED_VALUE"""),"Guadalajara en Paz")</f>
        <v>Guadalajara en Paz</v>
      </c>
      <c r="E1474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74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74" s="42" t="str">
        <f ca="1">IFERROR(__xludf.DUMMYFUNCTION("""COMPUTED_VALUE"""),"Porcentaje de población en situación de emergencia atendida, en 2023")</f>
        <v>Porcentaje de población en situación de emergencia atendida, en 2023</v>
      </c>
      <c r="H1474" s="42" t="str">
        <f ca="1">IFERROR(__xludf.DUMMYFUNCTION("""COMPUTED_VALUE"""),"NAS Mayo")</f>
        <v>NAS Mayo</v>
      </c>
      <c r="I1474" s="42" t="str">
        <f ca="1">IFERROR(__xludf.DUMMYFUNCTION("""COMPUTED_VALUE"""),"Mayo")</f>
        <v>Mayo</v>
      </c>
      <c r="J1474" s="42" t="str">
        <f ca="1">IFERROR(__xludf.DUMMYFUNCTION("""COMPUTED_VALUE"""),"NAS")</f>
        <v>NAS</v>
      </c>
      <c r="K1474" s="98"/>
      <c r="L1474" s="42" t="str">
        <f ca="1">IFERROR(__xludf.DUMMYFUNCTION("""COMPUTED_VALUE"""),"TRIMESTRE 2")</f>
        <v>TRIMESTRE 2</v>
      </c>
      <c r="M1474" s="42" t="str">
        <f ca="1">IFERROR(__xludf.DUMMYFUNCTION("""COMPUTED_VALUE"""),"NIÑAS")</f>
        <v>NIÑAS</v>
      </c>
    </row>
    <row r="1475" spans="1:13">
      <c r="A1475" s="42" t="str">
        <f ca="1">IFERROR(__xludf.DUMMYFUNCTION("""COMPUTED_VALUE"""),"2.1.2.0")</f>
        <v>2.1.2.0</v>
      </c>
      <c r="B1475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75" s="42" t="str">
        <f ca="1">IFERROR(__xludf.DUMMYFUNCTION("""COMPUTED_VALUE"""),"3. Operación")</f>
        <v>3. Operación</v>
      </c>
      <c r="D1475" s="42" t="str">
        <f ca="1">IFERROR(__xludf.DUMMYFUNCTION("""COMPUTED_VALUE"""),"Guadalajara en Paz")</f>
        <v>Guadalajara en Paz</v>
      </c>
      <c r="E1475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75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75" s="42" t="str">
        <f ca="1">IFERROR(__xludf.DUMMYFUNCTION("""COMPUTED_VALUE"""),"Porcentaje de población en situación de emergencia atendida, en 2023")</f>
        <v>Porcentaje de población en situación de emergencia atendida, en 2023</v>
      </c>
      <c r="H1475" s="42" t="str">
        <f ca="1">IFERROR(__xludf.DUMMYFUNCTION("""COMPUTED_VALUE"""),"NOS Mayo")</f>
        <v>NOS Mayo</v>
      </c>
      <c r="I1475" s="42" t="str">
        <f ca="1">IFERROR(__xludf.DUMMYFUNCTION("""COMPUTED_VALUE"""),"Mayo")</f>
        <v>Mayo</v>
      </c>
      <c r="J1475" s="42" t="str">
        <f ca="1">IFERROR(__xludf.DUMMYFUNCTION("""COMPUTED_VALUE"""),"NOS")</f>
        <v>NOS</v>
      </c>
      <c r="K1475" s="98"/>
      <c r="L1475" s="42" t="str">
        <f ca="1">IFERROR(__xludf.DUMMYFUNCTION("""COMPUTED_VALUE"""),"TRIMESTRE 2")</f>
        <v>TRIMESTRE 2</v>
      </c>
      <c r="M1475" s="42" t="str">
        <f ca="1">IFERROR(__xludf.DUMMYFUNCTION("""COMPUTED_VALUE"""),"NIÑOS")</f>
        <v>NIÑOS</v>
      </c>
    </row>
    <row r="1476" spans="1:13">
      <c r="A1476" s="42" t="str">
        <f ca="1">IFERROR(__xludf.DUMMYFUNCTION("""COMPUTED_VALUE"""),"2.1.2.0")</f>
        <v>2.1.2.0</v>
      </c>
      <c r="B1476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76" s="42" t="str">
        <f ca="1">IFERROR(__xludf.DUMMYFUNCTION("""COMPUTED_VALUE"""),"3. Operación")</f>
        <v>3. Operación</v>
      </c>
      <c r="D1476" s="42" t="str">
        <f ca="1">IFERROR(__xludf.DUMMYFUNCTION("""COMPUTED_VALUE"""),"Guadalajara en Paz")</f>
        <v>Guadalajara en Paz</v>
      </c>
      <c r="E1476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76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76" s="42" t="str">
        <f ca="1">IFERROR(__xludf.DUMMYFUNCTION("""COMPUTED_VALUE"""),"Porcentaje de población en situación de emergencia atendida, en 2023")</f>
        <v>Porcentaje de población en situación de emergencia atendida, en 2023</v>
      </c>
      <c r="H1476" s="42" t="str">
        <f ca="1">IFERROR(__xludf.DUMMYFUNCTION("""COMPUTED_VALUE"""),"AM MAYO")</f>
        <v>AM MAYO</v>
      </c>
      <c r="I1476" s="42" t="str">
        <f ca="1">IFERROR(__xludf.DUMMYFUNCTION("""COMPUTED_VALUE"""),"Mayo")</f>
        <v>Mayo</v>
      </c>
      <c r="J1476" s="42" t="str">
        <f ca="1">IFERROR(__xludf.DUMMYFUNCTION("""COMPUTED_VALUE"""),"AM")</f>
        <v>AM</v>
      </c>
      <c r="K1476" s="98"/>
      <c r="L1476" s="42" t="str">
        <f ca="1">IFERROR(__xludf.DUMMYFUNCTION("""COMPUTED_VALUE"""),"TRIMESTRE 2")</f>
        <v>TRIMESTRE 2</v>
      </c>
      <c r="M1476" s="42" t="str">
        <f ca="1">IFERROR(__xludf.DUMMYFUNCTION("""COMPUTED_VALUE"""),"ADOLESCENTES MUJERES")</f>
        <v>ADOLESCENTES MUJERES</v>
      </c>
    </row>
    <row r="1477" spans="1:13">
      <c r="A1477" s="42" t="str">
        <f ca="1">IFERROR(__xludf.DUMMYFUNCTION("""COMPUTED_VALUE"""),"2.1.2.0")</f>
        <v>2.1.2.0</v>
      </c>
      <c r="B1477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77" s="42" t="str">
        <f ca="1">IFERROR(__xludf.DUMMYFUNCTION("""COMPUTED_VALUE"""),"3. Operación")</f>
        <v>3. Operación</v>
      </c>
      <c r="D1477" s="42" t="str">
        <f ca="1">IFERROR(__xludf.DUMMYFUNCTION("""COMPUTED_VALUE"""),"Guadalajara en Paz")</f>
        <v>Guadalajara en Paz</v>
      </c>
      <c r="E1477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77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77" s="42" t="str">
        <f ca="1">IFERROR(__xludf.DUMMYFUNCTION("""COMPUTED_VALUE"""),"Porcentaje de población en situación de emergencia atendida, en 2023")</f>
        <v>Porcentaje de población en situación de emergencia atendida, en 2023</v>
      </c>
      <c r="H1477" s="42" t="str">
        <f ca="1">IFERROR(__xludf.DUMMYFUNCTION("""COMPUTED_VALUE"""),"AH MAYO")</f>
        <v>AH MAYO</v>
      </c>
      <c r="I1477" s="42" t="str">
        <f ca="1">IFERROR(__xludf.DUMMYFUNCTION("""COMPUTED_VALUE"""),"Mayo")</f>
        <v>Mayo</v>
      </c>
      <c r="J1477" s="42" t="str">
        <f ca="1">IFERROR(__xludf.DUMMYFUNCTION("""COMPUTED_VALUE"""),"AH")</f>
        <v>AH</v>
      </c>
      <c r="K1477" s="98"/>
      <c r="L1477" s="42" t="str">
        <f ca="1">IFERROR(__xludf.DUMMYFUNCTION("""COMPUTED_VALUE"""),"TRIMESTRE 2")</f>
        <v>TRIMESTRE 2</v>
      </c>
      <c r="M1477" s="42" t="str">
        <f ca="1">IFERROR(__xludf.DUMMYFUNCTION("""COMPUTED_VALUE"""),"ADOLESCENTES HOMBRES")</f>
        <v>ADOLESCENTES HOMBRES</v>
      </c>
    </row>
    <row r="1478" spans="1:13">
      <c r="A1478" s="42" t="str">
        <f ca="1">IFERROR(__xludf.DUMMYFUNCTION("""COMPUTED_VALUE"""),"2.1.2.0")</f>
        <v>2.1.2.0</v>
      </c>
      <c r="B1478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78" s="42" t="str">
        <f ca="1">IFERROR(__xludf.DUMMYFUNCTION("""COMPUTED_VALUE"""),"3. Operación")</f>
        <v>3. Operación</v>
      </c>
      <c r="D1478" s="42" t="str">
        <f ca="1">IFERROR(__xludf.DUMMYFUNCTION("""COMPUTED_VALUE"""),"Guadalajara en Paz")</f>
        <v>Guadalajara en Paz</v>
      </c>
      <c r="E1478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78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78" s="42" t="str">
        <f ca="1">IFERROR(__xludf.DUMMYFUNCTION("""COMPUTED_VALUE"""),"Porcentaje de población en situación de emergencia atendida, en 2023")</f>
        <v>Porcentaje de población en situación de emergencia atendida, en 2023</v>
      </c>
      <c r="H1478" s="42" t="str">
        <f ca="1">IFERROR(__xludf.DUMMYFUNCTION("""COMPUTED_VALUE"""),"MUJ Mayo")</f>
        <v>MUJ Mayo</v>
      </c>
      <c r="I1478" s="42" t="str">
        <f ca="1">IFERROR(__xludf.DUMMYFUNCTION("""COMPUTED_VALUE"""),"Mayo")</f>
        <v>Mayo</v>
      </c>
      <c r="J1478" s="42" t="str">
        <f ca="1">IFERROR(__xludf.DUMMYFUNCTION("""COMPUTED_VALUE"""),"MUJ")</f>
        <v>MUJ</v>
      </c>
      <c r="K1478" s="98"/>
      <c r="L1478" s="42" t="str">
        <f ca="1">IFERROR(__xludf.DUMMYFUNCTION("""COMPUTED_VALUE"""),"TRIMESTRE 2")</f>
        <v>TRIMESTRE 2</v>
      </c>
      <c r="M1478" s="42" t="str">
        <f ca="1">IFERROR(__xludf.DUMMYFUNCTION("""COMPUTED_VALUE"""),"MUJERES ADULTAS")</f>
        <v>MUJERES ADULTAS</v>
      </c>
    </row>
    <row r="1479" spans="1:13">
      <c r="A1479" s="42" t="str">
        <f ca="1">IFERROR(__xludf.DUMMYFUNCTION("""COMPUTED_VALUE"""),"2.1.2.0")</f>
        <v>2.1.2.0</v>
      </c>
      <c r="B1479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79" s="42" t="str">
        <f ca="1">IFERROR(__xludf.DUMMYFUNCTION("""COMPUTED_VALUE"""),"3. Operación")</f>
        <v>3. Operación</v>
      </c>
      <c r="D1479" s="42" t="str">
        <f ca="1">IFERROR(__xludf.DUMMYFUNCTION("""COMPUTED_VALUE"""),"Guadalajara en Paz")</f>
        <v>Guadalajara en Paz</v>
      </c>
      <c r="E1479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79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79" s="42" t="str">
        <f ca="1">IFERROR(__xludf.DUMMYFUNCTION("""COMPUTED_VALUE"""),"Porcentaje de población en situación de emergencia atendida, en 2023")</f>
        <v>Porcentaje de población en situación de emergencia atendida, en 2023</v>
      </c>
      <c r="H1479" s="42" t="str">
        <f ca="1">IFERROR(__xludf.DUMMYFUNCTION("""COMPUTED_VALUE"""),"HOM Mayo")</f>
        <v>HOM Mayo</v>
      </c>
      <c r="I1479" s="42" t="str">
        <f ca="1">IFERROR(__xludf.DUMMYFUNCTION("""COMPUTED_VALUE"""),"Mayo")</f>
        <v>Mayo</v>
      </c>
      <c r="J1479" s="42" t="str">
        <f ca="1">IFERROR(__xludf.DUMMYFUNCTION("""COMPUTED_VALUE"""),"HOM")</f>
        <v>HOM</v>
      </c>
      <c r="K1479" s="98"/>
      <c r="L1479" s="42" t="str">
        <f ca="1">IFERROR(__xludf.DUMMYFUNCTION("""COMPUTED_VALUE"""),"TRIMESTRE 2")</f>
        <v>TRIMESTRE 2</v>
      </c>
      <c r="M1479" s="42" t="str">
        <f ca="1">IFERROR(__xludf.DUMMYFUNCTION("""COMPUTED_VALUE"""),"HOMBRES ADULTOS")</f>
        <v>HOMBRES ADULTOS</v>
      </c>
    </row>
    <row r="1480" spans="1:13">
      <c r="A1480" s="42" t="str">
        <f ca="1">IFERROR(__xludf.DUMMYFUNCTION("""COMPUTED_VALUE"""),"2.1.2.0")</f>
        <v>2.1.2.0</v>
      </c>
      <c r="B1480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80" s="42" t="str">
        <f ca="1">IFERROR(__xludf.DUMMYFUNCTION("""COMPUTED_VALUE"""),"3. Operación")</f>
        <v>3. Operación</v>
      </c>
      <c r="D1480" s="42" t="str">
        <f ca="1">IFERROR(__xludf.DUMMYFUNCTION("""COMPUTED_VALUE"""),"Guadalajara en Paz")</f>
        <v>Guadalajara en Paz</v>
      </c>
      <c r="E1480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80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80" s="42" t="str">
        <f ca="1">IFERROR(__xludf.DUMMYFUNCTION("""COMPUTED_VALUE"""),"Porcentaje de población en situación de emergencia atendida, en 2023")</f>
        <v>Porcentaje de población en situación de emergencia atendida, en 2023</v>
      </c>
      <c r="H1480" s="42" t="str">
        <f ca="1">IFERROR(__xludf.DUMMYFUNCTION("""COMPUTED_VALUE"""),"AMM Mayo")</f>
        <v>AMM Mayo</v>
      </c>
      <c r="I1480" s="42" t="str">
        <f ca="1">IFERROR(__xludf.DUMMYFUNCTION("""COMPUTED_VALUE"""),"Mayo")</f>
        <v>Mayo</v>
      </c>
      <c r="J1480" s="42" t="str">
        <f ca="1">IFERROR(__xludf.DUMMYFUNCTION("""COMPUTED_VALUE"""),"AMM")</f>
        <v>AMM</v>
      </c>
      <c r="K1480" s="98"/>
      <c r="L1480" s="42" t="str">
        <f ca="1">IFERROR(__xludf.DUMMYFUNCTION("""COMPUTED_VALUE"""),"TRIMESTRE 2")</f>
        <v>TRIMESTRE 2</v>
      </c>
      <c r="M1480" s="42" t="str">
        <f ca="1">IFERROR(__xludf.DUMMYFUNCTION("""COMPUTED_VALUE"""),"ADULTA MAYOR MUJER")</f>
        <v>ADULTA MAYOR MUJER</v>
      </c>
    </row>
    <row r="1481" spans="1:13">
      <c r="A1481" s="42" t="str">
        <f ca="1">IFERROR(__xludf.DUMMYFUNCTION("""COMPUTED_VALUE"""),"2.1.2.0")</f>
        <v>2.1.2.0</v>
      </c>
      <c r="B1481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81" s="42" t="str">
        <f ca="1">IFERROR(__xludf.DUMMYFUNCTION("""COMPUTED_VALUE"""),"3. Operación")</f>
        <v>3. Operación</v>
      </c>
      <c r="D1481" s="42" t="str">
        <f ca="1">IFERROR(__xludf.DUMMYFUNCTION("""COMPUTED_VALUE"""),"Guadalajara en Paz")</f>
        <v>Guadalajara en Paz</v>
      </c>
      <c r="E1481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81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81" s="42" t="str">
        <f ca="1">IFERROR(__xludf.DUMMYFUNCTION("""COMPUTED_VALUE"""),"Porcentaje de población en situación de emergencia atendida, en 2023")</f>
        <v>Porcentaje de población en situación de emergencia atendida, en 2023</v>
      </c>
      <c r="H1481" s="42" t="str">
        <f ca="1">IFERROR(__xludf.DUMMYFUNCTION("""COMPUTED_VALUE"""),"AMH Mayo")</f>
        <v>AMH Mayo</v>
      </c>
      <c r="I1481" s="42" t="str">
        <f ca="1">IFERROR(__xludf.DUMMYFUNCTION("""COMPUTED_VALUE"""),"Mayo")</f>
        <v>Mayo</v>
      </c>
      <c r="J1481" s="42" t="str">
        <f ca="1">IFERROR(__xludf.DUMMYFUNCTION("""COMPUTED_VALUE"""),"AMH")</f>
        <v>AMH</v>
      </c>
      <c r="K1481" s="98"/>
      <c r="L1481" s="42" t="str">
        <f ca="1">IFERROR(__xludf.DUMMYFUNCTION("""COMPUTED_VALUE"""),"TRIMESTRE 2")</f>
        <v>TRIMESTRE 2</v>
      </c>
      <c r="M1481" s="42" t="str">
        <f ca="1">IFERROR(__xludf.DUMMYFUNCTION("""COMPUTED_VALUE"""),"ADULTO MAYOR HOMBRE")</f>
        <v>ADULTO MAYOR HOMBRE</v>
      </c>
    </row>
    <row r="1482" spans="1:13">
      <c r="A1482" s="42" t="str">
        <f ca="1">IFERROR(__xludf.DUMMYFUNCTION("""COMPUTED_VALUE"""),"2.1.2.0")</f>
        <v>2.1.2.0</v>
      </c>
      <c r="B1482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82" s="42" t="str">
        <f ca="1">IFERROR(__xludf.DUMMYFUNCTION("""COMPUTED_VALUE"""),"3. Operación")</f>
        <v>3. Operación</v>
      </c>
      <c r="D1482" s="42" t="str">
        <f ca="1">IFERROR(__xludf.DUMMYFUNCTION("""COMPUTED_VALUE"""),"Guadalajara en Paz")</f>
        <v>Guadalajara en Paz</v>
      </c>
      <c r="E1482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82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82" s="42" t="str">
        <f ca="1">IFERROR(__xludf.DUMMYFUNCTION("""COMPUTED_VALUE"""),"Porcentaje de población en situación de emergencia atendida, en 2023")</f>
        <v>Porcentaje de población en situación de emergencia atendida, en 2023</v>
      </c>
      <c r="H1482" s="42" t="str">
        <f ca="1">IFERROR(__xludf.DUMMYFUNCTION("""COMPUTED_VALUE"""),"NAS Junio")</f>
        <v>NAS Junio</v>
      </c>
      <c r="I1482" s="42" t="str">
        <f ca="1">IFERROR(__xludf.DUMMYFUNCTION("""COMPUTED_VALUE"""),"Junio")</f>
        <v>Junio</v>
      </c>
      <c r="J1482" s="42" t="str">
        <f ca="1">IFERROR(__xludf.DUMMYFUNCTION("""COMPUTED_VALUE"""),"NAS")</f>
        <v>NAS</v>
      </c>
      <c r="K1482" s="98"/>
      <c r="L1482" s="42" t="str">
        <f ca="1">IFERROR(__xludf.DUMMYFUNCTION("""COMPUTED_VALUE"""),"TRIMESTRE 2")</f>
        <v>TRIMESTRE 2</v>
      </c>
      <c r="M1482" s="42" t="str">
        <f ca="1">IFERROR(__xludf.DUMMYFUNCTION("""COMPUTED_VALUE"""),"NIÑAS")</f>
        <v>NIÑAS</v>
      </c>
    </row>
    <row r="1483" spans="1:13">
      <c r="A1483" s="42" t="str">
        <f ca="1">IFERROR(__xludf.DUMMYFUNCTION("""COMPUTED_VALUE"""),"2.1.2.0")</f>
        <v>2.1.2.0</v>
      </c>
      <c r="B1483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83" s="42" t="str">
        <f ca="1">IFERROR(__xludf.DUMMYFUNCTION("""COMPUTED_VALUE"""),"3. Operación")</f>
        <v>3. Operación</v>
      </c>
      <c r="D1483" s="42" t="str">
        <f ca="1">IFERROR(__xludf.DUMMYFUNCTION("""COMPUTED_VALUE"""),"Guadalajara en Paz")</f>
        <v>Guadalajara en Paz</v>
      </c>
      <c r="E1483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83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83" s="42" t="str">
        <f ca="1">IFERROR(__xludf.DUMMYFUNCTION("""COMPUTED_VALUE"""),"Porcentaje de población en situación de emergencia atendida, en 2023")</f>
        <v>Porcentaje de población en situación de emergencia atendida, en 2023</v>
      </c>
      <c r="H1483" s="42" t="str">
        <f ca="1">IFERROR(__xludf.DUMMYFUNCTION("""COMPUTED_VALUE"""),"NOS Junio")</f>
        <v>NOS Junio</v>
      </c>
      <c r="I1483" s="42" t="str">
        <f ca="1">IFERROR(__xludf.DUMMYFUNCTION("""COMPUTED_VALUE"""),"Junio")</f>
        <v>Junio</v>
      </c>
      <c r="J1483" s="42" t="str">
        <f ca="1">IFERROR(__xludf.DUMMYFUNCTION("""COMPUTED_VALUE"""),"NOS")</f>
        <v>NOS</v>
      </c>
      <c r="K1483" s="98"/>
      <c r="L1483" s="42" t="str">
        <f ca="1">IFERROR(__xludf.DUMMYFUNCTION("""COMPUTED_VALUE"""),"TRIMESTRE 2")</f>
        <v>TRIMESTRE 2</v>
      </c>
      <c r="M1483" s="42" t="str">
        <f ca="1">IFERROR(__xludf.DUMMYFUNCTION("""COMPUTED_VALUE"""),"NIÑOS")</f>
        <v>NIÑOS</v>
      </c>
    </row>
    <row r="1484" spans="1:13">
      <c r="A1484" s="42" t="str">
        <f ca="1">IFERROR(__xludf.DUMMYFUNCTION("""COMPUTED_VALUE"""),"2.1.2.0")</f>
        <v>2.1.2.0</v>
      </c>
      <c r="B1484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84" s="42" t="str">
        <f ca="1">IFERROR(__xludf.DUMMYFUNCTION("""COMPUTED_VALUE"""),"3. Operación")</f>
        <v>3. Operación</v>
      </c>
      <c r="D1484" s="42" t="str">
        <f ca="1">IFERROR(__xludf.DUMMYFUNCTION("""COMPUTED_VALUE"""),"Guadalajara en Paz")</f>
        <v>Guadalajara en Paz</v>
      </c>
      <c r="E1484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84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84" s="42" t="str">
        <f ca="1">IFERROR(__xludf.DUMMYFUNCTION("""COMPUTED_VALUE"""),"Porcentaje de población en situación de emergencia atendida, en 2023")</f>
        <v>Porcentaje de población en situación de emergencia atendida, en 2023</v>
      </c>
      <c r="H1484" s="42" t="str">
        <f ca="1">IFERROR(__xludf.DUMMYFUNCTION("""COMPUTED_VALUE"""),"AM JUNIO")</f>
        <v>AM JUNIO</v>
      </c>
      <c r="I1484" s="42" t="str">
        <f ca="1">IFERROR(__xludf.DUMMYFUNCTION("""COMPUTED_VALUE"""),"Junio")</f>
        <v>Junio</v>
      </c>
      <c r="J1484" s="42" t="str">
        <f ca="1">IFERROR(__xludf.DUMMYFUNCTION("""COMPUTED_VALUE"""),"AM")</f>
        <v>AM</v>
      </c>
      <c r="K1484" s="98"/>
      <c r="L1484" s="42" t="str">
        <f ca="1">IFERROR(__xludf.DUMMYFUNCTION("""COMPUTED_VALUE"""),"TRIMESTRE 2")</f>
        <v>TRIMESTRE 2</v>
      </c>
      <c r="M1484" s="42" t="str">
        <f ca="1">IFERROR(__xludf.DUMMYFUNCTION("""COMPUTED_VALUE"""),"ADOLESCENTES MUJERES")</f>
        <v>ADOLESCENTES MUJERES</v>
      </c>
    </row>
    <row r="1485" spans="1:13">
      <c r="A1485" s="42" t="str">
        <f ca="1">IFERROR(__xludf.DUMMYFUNCTION("""COMPUTED_VALUE"""),"2.1.2.0")</f>
        <v>2.1.2.0</v>
      </c>
      <c r="B1485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85" s="42" t="str">
        <f ca="1">IFERROR(__xludf.DUMMYFUNCTION("""COMPUTED_VALUE"""),"3. Operación")</f>
        <v>3. Operación</v>
      </c>
      <c r="D1485" s="42" t="str">
        <f ca="1">IFERROR(__xludf.DUMMYFUNCTION("""COMPUTED_VALUE"""),"Guadalajara en Paz")</f>
        <v>Guadalajara en Paz</v>
      </c>
      <c r="E1485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85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85" s="42" t="str">
        <f ca="1">IFERROR(__xludf.DUMMYFUNCTION("""COMPUTED_VALUE"""),"Porcentaje de población en situación de emergencia atendida, en 2023")</f>
        <v>Porcentaje de población en situación de emergencia atendida, en 2023</v>
      </c>
      <c r="H1485" s="42" t="str">
        <f ca="1">IFERROR(__xludf.DUMMYFUNCTION("""COMPUTED_VALUE"""),"AH JULIO")</f>
        <v>AH JULIO</v>
      </c>
      <c r="I1485" s="42" t="str">
        <f ca="1">IFERROR(__xludf.DUMMYFUNCTION("""COMPUTED_VALUE"""),"Junio")</f>
        <v>Junio</v>
      </c>
      <c r="J1485" s="42" t="str">
        <f ca="1">IFERROR(__xludf.DUMMYFUNCTION("""COMPUTED_VALUE"""),"AH")</f>
        <v>AH</v>
      </c>
      <c r="K1485" s="98">
        <f ca="1">IFERROR(__xludf.DUMMYFUNCTION("""COMPUTED_VALUE"""),1)</f>
        <v>1</v>
      </c>
      <c r="L1485" s="42" t="str">
        <f ca="1">IFERROR(__xludf.DUMMYFUNCTION("""COMPUTED_VALUE"""),"TRIMESTRE 2")</f>
        <v>TRIMESTRE 2</v>
      </c>
      <c r="M1485" s="42" t="str">
        <f ca="1">IFERROR(__xludf.DUMMYFUNCTION("""COMPUTED_VALUE"""),"ADOLESCENTES HOMBRES")</f>
        <v>ADOLESCENTES HOMBRES</v>
      </c>
    </row>
    <row r="1486" spans="1:13">
      <c r="A1486" s="42" t="str">
        <f ca="1">IFERROR(__xludf.DUMMYFUNCTION("""COMPUTED_VALUE"""),"2.1.2.0")</f>
        <v>2.1.2.0</v>
      </c>
      <c r="B1486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86" s="42" t="str">
        <f ca="1">IFERROR(__xludf.DUMMYFUNCTION("""COMPUTED_VALUE"""),"3. Operación")</f>
        <v>3. Operación</v>
      </c>
      <c r="D1486" s="42" t="str">
        <f ca="1">IFERROR(__xludf.DUMMYFUNCTION("""COMPUTED_VALUE"""),"Guadalajara en Paz")</f>
        <v>Guadalajara en Paz</v>
      </c>
      <c r="E1486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86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86" s="42" t="str">
        <f ca="1">IFERROR(__xludf.DUMMYFUNCTION("""COMPUTED_VALUE"""),"Porcentaje de población en situación de emergencia atendida, en 2023")</f>
        <v>Porcentaje de población en situación de emergencia atendida, en 2023</v>
      </c>
      <c r="H1486" s="42" t="str">
        <f ca="1">IFERROR(__xludf.DUMMYFUNCTION("""COMPUTED_VALUE"""),"MUJ Junio")</f>
        <v>MUJ Junio</v>
      </c>
      <c r="I1486" s="42" t="str">
        <f ca="1">IFERROR(__xludf.DUMMYFUNCTION("""COMPUTED_VALUE"""),"Junio")</f>
        <v>Junio</v>
      </c>
      <c r="J1486" s="42" t="str">
        <f ca="1">IFERROR(__xludf.DUMMYFUNCTION("""COMPUTED_VALUE"""),"MUJ")</f>
        <v>MUJ</v>
      </c>
      <c r="K1486" s="98"/>
      <c r="L1486" s="42" t="str">
        <f ca="1">IFERROR(__xludf.DUMMYFUNCTION("""COMPUTED_VALUE"""),"TRIMESTRE 2")</f>
        <v>TRIMESTRE 2</v>
      </c>
      <c r="M1486" s="42" t="str">
        <f ca="1">IFERROR(__xludf.DUMMYFUNCTION("""COMPUTED_VALUE"""),"MUJERES ADULTAS")</f>
        <v>MUJERES ADULTAS</v>
      </c>
    </row>
    <row r="1487" spans="1:13">
      <c r="A1487" s="42" t="str">
        <f ca="1">IFERROR(__xludf.DUMMYFUNCTION("""COMPUTED_VALUE"""),"2.1.2.0")</f>
        <v>2.1.2.0</v>
      </c>
      <c r="B1487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87" s="42" t="str">
        <f ca="1">IFERROR(__xludf.DUMMYFUNCTION("""COMPUTED_VALUE"""),"3. Operación")</f>
        <v>3. Operación</v>
      </c>
      <c r="D1487" s="42" t="str">
        <f ca="1">IFERROR(__xludf.DUMMYFUNCTION("""COMPUTED_VALUE"""),"Guadalajara en Paz")</f>
        <v>Guadalajara en Paz</v>
      </c>
      <c r="E1487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87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87" s="42" t="str">
        <f ca="1">IFERROR(__xludf.DUMMYFUNCTION("""COMPUTED_VALUE"""),"Porcentaje de población en situación de emergencia atendida, en 2023")</f>
        <v>Porcentaje de población en situación de emergencia atendida, en 2023</v>
      </c>
      <c r="H1487" s="42" t="str">
        <f ca="1">IFERROR(__xludf.DUMMYFUNCTION("""COMPUTED_VALUE"""),"HOM Junio")</f>
        <v>HOM Junio</v>
      </c>
      <c r="I1487" s="42" t="str">
        <f ca="1">IFERROR(__xludf.DUMMYFUNCTION("""COMPUTED_VALUE"""),"Junio")</f>
        <v>Junio</v>
      </c>
      <c r="J1487" s="42" t="str">
        <f ca="1">IFERROR(__xludf.DUMMYFUNCTION("""COMPUTED_VALUE"""),"HOM")</f>
        <v>HOM</v>
      </c>
      <c r="K1487" s="98"/>
      <c r="L1487" s="42" t="str">
        <f ca="1">IFERROR(__xludf.DUMMYFUNCTION("""COMPUTED_VALUE"""),"TRIMESTRE 2")</f>
        <v>TRIMESTRE 2</v>
      </c>
      <c r="M1487" s="42" t="str">
        <f ca="1">IFERROR(__xludf.DUMMYFUNCTION("""COMPUTED_VALUE"""),"HOMBRES ADULTOS")</f>
        <v>HOMBRES ADULTOS</v>
      </c>
    </row>
    <row r="1488" spans="1:13">
      <c r="A1488" s="42" t="str">
        <f ca="1">IFERROR(__xludf.DUMMYFUNCTION("""COMPUTED_VALUE"""),"2.1.2.0")</f>
        <v>2.1.2.0</v>
      </c>
      <c r="B1488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88" s="42" t="str">
        <f ca="1">IFERROR(__xludf.DUMMYFUNCTION("""COMPUTED_VALUE"""),"3. Operación")</f>
        <v>3. Operación</v>
      </c>
      <c r="D1488" s="42" t="str">
        <f ca="1">IFERROR(__xludf.DUMMYFUNCTION("""COMPUTED_VALUE"""),"Guadalajara en Paz")</f>
        <v>Guadalajara en Paz</v>
      </c>
      <c r="E1488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88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88" s="42" t="str">
        <f ca="1">IFERROR(__xludf.DUMMYFUNCTION("""COMPUTED_VALUE"""),"Porcentaje de población en situación de emergencia atendida, en 2023")</f>
        <v>Porcentaje de población en situación de emergencia atendida, en 2023</v>
      </c>
      <c r="H1488" s="42" t="str">
        <f ca="1">IFERROR(__xludf.DUMMYFUNCTION("""COMPUTED_VALUE"""),"AMM Junio")</f>
        <v>AMM Junio</v>
      </c>
      <c r="I1488" s="42" t="str">
        <f ca="1">IFERROR(__xludf.DUMMYFUNCTION("""COMPUTED_VALUE"""),"Junio")</f>
        <v>Junio</v>
      </c>
      <c r="J1488" s="42" t="str">
        <f ca="1">IFERROR(__xludf.DUMMYFUNCTION("""COMPUTED_VALUE"""),"AMM")</f>
        <v>AMM</v>
      </c>
      <c r="K1488" s="98"/>
      <c r="L1488" s="42" t="str">
        <f ca="1">IFERROR(__xludf.DUMMYFUNCTION("""COMPUTED_VALUE"""),"TRIMESTRE 2")</f>
        <v>TRIMESTRE 2</v>
      </c>
      <c r="M1488" s="42" t="str">
        <f ca="1">IFERROR(__xludf.DUMMYFUNCTION("""COMPUTED_VALUE"""),"ADULTA MAYOR MUJER")</f>
        <v>ADULTA MAYOR MUJER</v>
      </c>
    </row>
    <row r="1489" spans="1:13">
      <c r="A1489" s="42" t="str">
        <f ca="1">IFERROR(__xludf.DUMMYFUNCTION("""COMPUTED_VALUE"""),"2.1.2.0")</f>
        <v>2.1.2.0</v>
      </c>
      <c r="B1489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89" s="42" t="str">
        <f ca="1">IFERROR(__xludf.DUMMYFUNCTION("""COMPUTED_VALUE"""),"3. Operación")</f>
        <v>3. Operación</v>
      </c>
      <c r="D1489" s="42" t="str">
        <f ca="1">IFERROR(__xludf.DUMMYFUNCTION("""COMPUTED_VALUE"""),"Guadalajara en Paz")</f>
        <v>Guadalajara en Paz</v>
      </c>
      <c r="E1489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89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89" s="42" t="str">
        <f ca="1">IFERROR(__xludf.DUMMYFUNCTION("""COMPUTED_VALUE"""),"Porcentaje de población en situación de emergencia atendida, en 2023")</f>
        <v>Porcentaje de población en situación de emergencia atendida, en 2023</v>
      </c>
      <c r="H1489" s="42" t="str">
        <f ca="1">IFERROR(__xludf.DUMMYFUNCTION("""COMPUTED_VALUE"""),"AMH Junio")</f>
        <v>AMH Junio</v>
      </c>
      <c r="I1489" s="42" t="str">
        <f ca="1">IFERROR(__xludf.DUMMYFUNCTION("""COMPUTED_VALUE"""),"Junio")</f>
        <v>Junio</v>
      </c>
      <c r="J1489" s="42" t="str">
        <f ca="1">IFERROR(__xludf.DUMMYFUNCTION("""COMPUTED_VALUE"""),"AMH")</f>
        <v>AMH</v>
      </c>
      <c r="K1489" s="98"/>
      <c r="L1489" s="42" t="str">
        <f ca="1">IFERROR(__xludf.DUMMYFUNCTION("""COMPUTED_VALUE"""),"TRIMESTRE 2")</f>
        <v>TRIMESTRE 2</v>
      </c>
      <c r="M1489" s="42" t="str">
        <f ca="1">IFERROR(__xludf.DUMMYFUNCTION("""COMPUTED_VALUE"""),"ADULTO MAYOR HOMBRE")</f>
        <v>ADULTO MAYOR HOMBRE</v>
      </c>
    </row>
    <row r="1490" spans="1:13">
      <c r="A1490" s="42" t="str">
        <f ca="1">IFERROR(__xludf.DUMMYFUNCTION("""COMPUTED_VALUE"""),"2.1.2.0")</f>
        <v>2.1.2.0</v>
      </c>
      <c r="B1490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90" s="42" t="str">
        <f ca="1">IFERROR(__xludf.DUMMYFUNCTION("""COMPUTED_VALUE"""),"3. Operación")</f>
        <v>3. Operación</v>
      </c>
      <c r="D1490" s="42" t="str">
        <f ca="1">IFERROR(__xludf.DUMMYFUNCTION("""COMPUTED_VALUE"""),"Guadalajara en Paz")</f>
        <v>Guadalajara en Paz</v>
      </c>
      <c r="E1490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90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90" s="42" t="str">
        <f ca="1">IFERROR(__xludf.DUMMYFUNCTION("""COMPUTED_VALUE"""),"Porcentaje de población en situación de emergencia atendida, en 2023")</f>
        <v>Porcentaje de población en situación de emergencia atendida, en 2023</v>
      </c>
      <c r="H1490" s="42" t="str">
        <f ca="1">IFERROR(__xludf.DUMMYFUNCTION("""COMPUTED_VALUE"""),"NAS Julio")</f>
        <v>NAS Julio</v>
      </c>
      <c r="I1490" s="42" t="str">
        <f ca="1">IFERROR(__xludf.DUMMYFUNCTION("""COMPUTED_VALUE"""),"Julio")</f>
        <v>Julio</v>
      </c>
      <c r="J1490" s="42" t="str">
        <f ca="1">IFERROR(__xludf.DUMMYFUNCTION("""COMPUTED_VALUE"""),"NAS")</f>
        <v>NAS</v>
      </c>
      <c r="K1490" s="98">
        <f ca="1">IFERROR(__xludf.DUMMYFUNCTION("""COMPUTED_VALUE"""),6)</f>
        <v>6</v>
      </c>
      <c r="L1490" s="42" t="str">
        <f ca="1">IFERROR(__xludf.DUMMYFUNCTION("""COMPUTED_VALUE"""),"TRIMESTRE 3")</f>
        <v>TRIMESTRE 3</v>
      </c>
      <c r="M1490" s="42" t="str">
        <f ca="1">IFERROR(__xludf.DUMMYFUNCTION("""COMPUTED_VALUE"""),"NIÑAS")</f>
        <v>NIÑAS</v>
      </c>
    </row>
    <row r="1491" spans="1:13">
      <c r="A1491" s="42" t="str">
        <f ca="1">IFERROR(__xludf.DUMMYFUNCTION("""COMPUTED_VALUE"""),"2.1.2.0")</f>
        <v>2.1.2.0</v>
      </c>
      <c r="B1491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91" s="42" t="str">
        <f ca="1">IFERROR(__xludf.DUMMYFUNCTION("""COMPUTED_VALUE"""),"3. Operación")</f>
        <v>3. Operación</v>
      </c>
      <c r="D1491" s="42" t="str">
        <f ca="1">IFERROR(__xludf.DUMMYFUNCTION("""COMPUTED_VALUE"""),"Guadalajara en Paz")</f>
        <v>Guadalajara en Paz</v>
      </c>
      <c r="E1491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91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91" s="42" t="str">
        <f ca="1">IFERROR(__xludf.DUMMYFUNCTION("""COMPUTED_VALUE"""),"Porcentaje de población en situación de emergencia atendida, en 2023")</f>
        <v>Porcentaje de población en situación de emergencia atendida, en 2023</v>
      </c>
      <c r="H1491" s="42" t="str">
        <f ca="1">IFERROR(__xludf.DUMMYFUNCTION("""COMPUTED_VALUE"""),"NOS Julio")</f>
        <v>NOS Julio</v>
      </c>
      <c r="I1491" s="42" t="str">
        <f ca="1">IFERROR(__xludf.DUMMYFUNCTION("""COMPUTED_VALUE"""),"Julio")</f>
        <v>Julio</v>
      </c>
      <c r="J1491" s="42" t="str">
        <f ca="1">IFERROR(__xludf.DUMMYFUNCTION("""COMPUTED_VALUE"""),"NOS")</f>
        <v>NOS</v>
      </c>
      <c r="K1491" s="98">
        <f ca="1">IFERROR(__xludf.DUMMYFUNCTION("""COMPUTED_VALUE"""),5)</f>
        <v>5</v>
      </c>
      <c r="L1491" s="42" t="str">
        <f ca="1">IFERROR(__xludf.DUMMYFUNCTION("""COMPUTED_VALUE"""),"TRIMESTRE 3")</f>
        <v>TRIMESTRE 3</v>
      </c>
      <c r="M1491" s="42" t="str">
        <f ca="1">IFERROR(__xludf.DUMMYFUNCTION("""COMPUTED_VALUE"""),"NIÑOS")</f>
        <v>NIÑOS</v>
      </c>
    </row>
    <row r="1492" spans="1:13">
      <c r="A1492" s="42" t="str">
        <f ca="1">IFERROR(__xludf.DUMMYFUNCTION("""COMPUTED_VALUE"""),"2.1.2.0")</f>
        <v>2.1.2.0</v>
      </c>
      <c r="B1492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92" s="42" t="str">
        <f ca="1">IFERROR(__xludf.DUMMYFUNCTION("""COMPUTED_VALUE"""),"3. Operación")</f>
        <v>3. Operación</v>
      </c>
      <c r="D1492" s="42" t="str">
        <f ca="1">IFERROR(__xludf.DUMMYFUNCTION("""COMPUTED_VALUE"""),"Guadalajara en Paz")</f>
        <v>Guadalajara en Paz</v>
      </c>
      <c r="E1492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92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92" s="42" t="str">
        <f ca="1">IFERROR(__xludf.DUMMYFUNCTION("""COMPUTED_VALUE"""),"Porcentaje de población en situación de emergencia atendida, en 2023")</f>
        <v>Porcentaje de población en situación de emergencia atendida, en 2023</v>
      </c>
      <c r="H1492" s="42" t="str">
        <f ca="1">IFERROR(__xludf.DUMMYFUNCTION("""COMPUTED_VALUE"""),"AM JULIO")</f>
        <v>AM JULIO</v>
      </c>
      <c r="I1492" s="42" t="str">
        <f ca="1">IFERROR(__xludf.DUMMYFUNCTION("""COMPUTED_VALUE"""),"Julio")</f>
        <v>Julio</v>
      </c>
      <c r="J1492" s="42" t="str">
        <f ca="1">IFERROR(__xludf.DUMMYFUNCTION("""COMPUTED_VALUE"""),"AM")</f>
        <v>AM</v>
      </c>
      <c r="K1492" s="98">
        <f ca="1">IFERROR(__xludf.DUMMYFUNCTION("""COMPUTED_VALUE"""),2)</f>
        <v>2</v>
      </c>
      <c r="L1492" s="42" t="str">
        <f ca="1">IFERROR(__xludf.DUMMYFUNCTION("""COMPUTED_VALUE"""),"TRIMESTRE 3")</f>
        <v>TRIMESTRE 3</v>
      </c>
      <c r="M1492" s="42" t="str">
        <f ca="1">IFERROR(__xludf.DUMMYFUNCTION("""COMPUTED_VALUE"""),"ADOLESCENTES MUJERES")</f>
        <v>ADOLESCENTES MUJERES</v>
      </c>
    </row>
    <row r="1493" spans="1:13">
      <c r="A1493" s="42" t="str">
        <f ca="1">IFERROR(__xludf.DUMMYFUNCTION("""COMPUTED_VALUE"""),"2.1.2.0")</f>
        <v>2.1.2.0</v>
      </c>
      <c r="B1493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93" s="42" t="str">
        <f ca="1">IFERROR(__xludf.DUMMYFUNCTION("""COMPUTED_VALUE"""),"3. Operación")</f>
        <v>3. Operación</v>
      </c>
      <c r="D1493" s="42" t="str">
        <f ca="1">IFERROR(__xludf.DUMMYFUNCTION("""COMPUTED_VALUE"""),"Guadalajara en Paz")</f>
        <v>Guadalajara en Paz</v>
      </c>
      <c r="E1493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93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93" s="42" t="str">
        <f ca="1">IFERROR(__xludf.DUMMYFUNCTION("""COMPUTED_VALUE"""),"Porcentaje de población en situación de emergencia atendida, en 2023")</f>
        <v>Porcentaje de población en situación de emergencia atendida, en 2023</v>
      </c>
      <c r="H1493" s="42" t="str">
        <f ca="1">IFERROR(__xludf.DUMMYFUNCTION("""COMPUTED_VALUE"""),"AH JULIO")</f>
        <v>AH JULIO</v>
      </c>
      <c r="I1493" s="42" t="str">
        <f ca="1">IFERROR(__xludf.DUMMYFUNCTION("""COMPUTED_VALUE"""),"Julio")</f>
        <v>Julio</v>
      </c>
      <c r="J1493" s="42" t="str">
        <f ca="1">IFERROR(__xludf.DUMMYFUNCTION("""COMPUTED_VALUE"""),"AH")</f>
        <v>AH</v>
      </c>
      <c r="K1493" s="98">
        <f ca="1">IFERROR(__xludf.DUMMYFUNCTION("""COMPUTED_VALUE"""),1)</f>
        <v>1</v>
      </c>
      <c r="L1493" s="42" t="str">
        <f ca="1">IFERROR(__xludf.DUMMYFUNCTION("""COMPUTED_VALUE"""),"TRIMESTRE 3")</f>
        <v>TRIMESTRE 3</v>
      </c>
      <c r="M1493" s="42" t="str">
        <f ca="1">IFERROR(__xludf.DUMMYFUNCTION("""COMPUTED_VALUE"""),"ADOLESCENTES HOMBRES")</f>
        <v>ADOLESCENTES HOMBRES</v>
      </c>
    </row>
    <row r="1494" spans="1:13">
      <c r="A1494" s="42" t="str">
        <f ca="1">IFERROR(__xludf.DUMMYFUNCTION("""COMPUTED_VALUE"""),"2.1.2.0")</f>
        <v>2.1.2.0</v>
      </c>
      <c r="B1494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94" s="42" t="str">
        <f ca="1">IFERROR(__xludf.DUMMYFUNCTION("""COMPUTED_VALUE"""),"3. Operación")</f>
        <v>3. Operación</v>
      </c>
      <c r="D1494" s="42" t="str">
        <f ca="1">IFERROR(__xludf.DUMMYFUNCTION("""COMPUTED_VALUE"""),"Guadalajara en Paz")</f>
        <v>Guadalajara en Paz</v>
      </c>
      <c r="E1494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94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94" s="42" t="str">
        <f ca="1">IFERROR(__xludf.DUMMYFUNCTION("""COMPUTED_VALUE"""),"Porcentaje de población en situación de emergencia atendida, en 2023")</f>
        <v>Porcentaje de población en situación de emergencia atendida, en 2023</v>
      </c>
      <c r="H1494" s="42" t="str">
        <f ca="1">IFERROR(__xludf.DUMMYFUNCTION("""COMPUTED_VALUE"""),"MUJ Julio")</f>
        <v>MUJ Julio</v>
      </c>
      <c r="I1494" s="42" t="str">
        <f ca="1">IFERROR(__xludf.DUMMYFUNCTION("""COMPUTED_VALUE"""),"Julio")</f>
        <v>Julio</v>
      </c>
      <c r="J1494" s="42" t="str">
        <f ca="1">IFERROR(__xludf.DUMMYFUNCTION("""COMPUTED_VALUE"""),"MUJ")</f>
        <v>MUJ</v>
      </c>
      <c r="K1494" s="98">
        <f ca="1">IFERROR(__xludf.DUMMYFUNCTION("""COMPUTED_VALUE"""),64)</f>
        <v>64</v>
      </c>
      <c r="L1494" s="42" t="str">
        <f ca="1">IFERROR(__xludf.DUMMYFUNCTION("""COMPUTED_VALUE"""),"TRIMESTRE 3")</f>
        <v>TRIMESTRE 3</v>
      </c>
      <c r="M1494" s="42" t="str">
        <f ca="1">IFERROR(__xludf.DUMMYFUNCTION("""COMPUTED_VALUE"""),"MUJERES ADULTAS")</f>
        <v>MUJERES ADULTAS</v>
      </c>
    </row>
    <row r="1495" spans="1:13">
      <c r="A1495" s="42" t="str">
        <f ca="1">IFERROR(__xludf.DUMMYFUNCTION("""COMPUTED_VALUE"""),"2.1.2.0")</f>
        <v>2.1.2.0</v>
      </c>
      <c r="B1495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95" s="42" t="str">
        <f ca="1">IFERROR(__xludf.DUMMYFUNCTION("""COMPUTED_VALUE"""),"3. Operación")</f>
        <v>3. Operación</v>
      </c>
      <c r="D1495" s="42" t="str">
        <f ca="1">IFERROR(__xludf.DUMMYFUNCTION("""COMPUTED_VALUE"""),"Guadalajara en Paz")</f>
        <v>Guadalajara en Paz</v>
      </c>
      <c r="E1495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95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95" s="42" t="str">
        <f ca="1">IFERROR(__xludf.DUMMYFUNCTION("""COMPUTED_VALUE"""),"Porcentaje de población en situación de emergencia atendida, en 2023")</f>
        <v>Porcentaje de población en situación de emergencia atendida, en 2023</v>
      </c>
      <c r="H1495" s="42" t="str">
        <f ca="1">IFERROR(__xludf.DUMMYFUNCTION("""COMPUTED_VALUE"""),"HOM Julio")</f>
        <v>HOM Julio</v>
      </c>
      <c r="I1495" s="42" t="str">
        <f ca="1">IFERROR(__xludf.DUMMYFUNCTION("""COMPUTED_VALUE"""),"Julio")</f>
        <v>Julio</v>
      </c>
      <c r="J1495" s="42" t="str">
        <f ca="1">IFERROR(__xludf.DUMMYFUNCTION("""COMPUTED_VALUE"""),"HOM")</f>
        <v>HOM</v>
      </c>
      <c r="K1495" s="98">
        <f ca="1">IFERROR(__xludf.DUMMYFUNCTION("""COMPUTED_VALUE"""),64)</f>
        <v>64</v>
      </c>
      <c r="L1495" s="42" t="str">
        <f ca="1">IFERROR(__xludf.DUMMYFUNCTION("""COMPUTED_VALUE"""),"TRIMESTRE 3")</f>
        <v>TRIMESTRE 3</v>
      </c>
      <c r="M1495" s="42" t="str">
        <f ca="1">IFERROR(__xludf.DUMMYFUNCTION("""COMPUTED_VALUE"""),"HOMBRES ADULTOS")</f>
        <v>HOMBRES ADULTOS</v>
      </c>
    </row>
    <row r="1496" spans="1:13">
      <c r="A1496" s="42" t="str">
        <f ca="1">IFERROR(__xludf.DUMMYFUNCTION("""COMPUTED_VALUE"""),"2.1.2.0")</f>
        <v>2.1.2.0</v>
      </c>
      <c r="B1496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96" s="42" t="str">
        <f ca="1">IFERROR(__xludf.DUMMYFUNCTION("""COMPUTED_VALUE"""),"3. Operación")</f>
        <v>3. Operación</v>
      </c>
      <c r="D1496" s="42" t="str">
        <f ca="1">IFERROR(__xludf.DUMMYFUNCTION("""COMPUTED_VALUE"""),"Guadalajara en Paz")</f>
        <v>Guadalajara en Paz</v>
      </c>
      <c r="E1496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96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96" s="42" t="str">
        <f ca="1">IFERROR(__xludf.DUMMYFUNCTION("""COMPUTED_VALUE"""),"Porcentaje de población en situación de emergencia atendida, en 2023")</f>
        <v>Porcentaje de población en situación de emergencia atendida, en 2023</v>
      </c>
      <c r="H1496" s="42" t="str">
        <f ca="1">IFERROR(__xludf.DUMMYFUNCTION("""COMPUTED_VALUE"""),"AMM Julio")</f>
        <v>AMM Julio</v>
      </c>
      <c r="I1496" s="42" t="str">
        <f ca="1">IFERROR(__xludf.DUMMYFUNCTION("""COMPUTED_VALUE"""),"Julio")</f>
        <v>Julio</v>
      </c>
      <c r="J1496" s="42" t="str">
        <f ca="1">IFERROR(__xludf.DUMMYFUNCTION("""COMPUTED_VALUE"""),"AMM")</f>
        <v>AMM</v>
      </c>
      <c r="K1496" s="98">
        <f ca="1">IFERROR(__xludf.DUMMYFUNCTION("""COMPUTED_VALUE"""),3)</f>
        <v>3</v>
      </c>
      <c r="L1496" s="42" t="str">
        <f ca="1">IFERROR(__xludf.DUMMYFUNCTION("""COMPUTED_VALUE"""),"TRIMESTRE 3")</f>
        <v>TRIMESTRE 3</v>
      </c>
      <c r="M1496" s="42" t="str">
        <f ca="1">IFERROR(__xludf.DUMMYFUNCTION("""COMPUTED_VALUE"""),"ADULTA MAYOR MUJER")</f>
        <v>ADULTA MAYOR MUJER</v>
      </c>
    </row>
    <row r="1497" spans="1:13">
      <c r="A1497" s="42" t="str">
        <f ca="1">IFERROR(__xludf.DUMMYFUNCTION("""COMPUTED_VALUE"""),"2.1.2.0")</f>
        <v>2.1.2.0</v>
      </c>
      <c r="B1497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97" s="42" t="str">
        <f ca="1">IFERROR(__xludf.DUMMYFUNCTION("""COMPUTED_VALUE"""),"3. Operación")</f>
        <v>3. Operación</v>
      </c>
      <c r="D1497" s="42" t="str">
        <f ca="1">IFERROR(__xludf.DUMMYFUNCTION("""COMPUTED_VALUE"""),"Guadalajara en Paz")</f>
        <v>Guadalajara en Paz</v>
      </c>
      <c r="E1497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97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97" s="42" t="str">
        <f ca="1">IFERROR(__xludf.DUMMYFUNCTION("""COMPUTED_VALUE"""),"Porcentaje de población en situación de emergencia atendida, en 2023")</f>
        <v>Porcentaje de población en situación de emergencia atendida, en 2023</v>
      </c>
      <c r="H1497" s="42" t="str">
        <f ca="1">IFERROR(__xludf.DUMMYFUNCTION("""COMPUTED_VALUE"""),"AMH Julio")</f>
        <v>AMH Julio</v>
      </c>
      <c r="I1497" s="42" t="str">
        <f ca="1">IFERROR(__xludf.DUMMYFUNCTION("""COMPUTED_VALUE"""),"Julio")</f>
        <v>Julio</v>
      </c>
      <c r="J1497" s="42" t="str">
        <f ca="1">IFERROR(__xludf.DUMMYFUNCTION("""COMPUTED_VALUE"""),"AMH")</f>
        <v>AMH</v>
      </c>
      <c r="K1497" s="98">
        <f ca="1">IFERROR(__xludf.DUMMYFUNCTION("""COMPUTED_VALUE"""),0)</f>
        <v>0</v>
      </c>
      <c r="L1497" s="42" t="str">
        <f ca="1">IFERROR(__xludf.DUMMYFUNCTION("""COMPUTED_VALUE"""),"TRIMESTRE 3")</f>
        <v>TRIMESTRE 3</v>
      </c>
      <c r="M1497" s="42" t="str">
        <f ca="1">IFERROR(__xludf.DUMMYFUNCTION("""COMPUTED_VALUE"""),"ADULTO MAYOR HOMBRE")</f>
        <v>ADULTO MAYOR HOMBRE</v>
      </c>
    </row>
    <row r="1498" spans="1:13">
      <c r="A1498" s="42" t="str">
        <f ca="1">IFERROR(__xludf.DUMMYFUNCTION("""COMPUTED_VALUE"""),"2.1.2.0")</f>
        <v>2.1.2.0</v>
      </c>
      <c r="B1498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98" s="42" t="str">
        <f ca="1">IFERROR(__xludf.DUMMYFUNCTION("""COMPUTED_VALUE"""),"3. Operación")</f>
        <v>3. Operación</v>
      </c>
      <c r="D1498" s="42" t="str">
        <f ca="1">IFERROR(__xludf.DUMMYFUNCTION("""COMPUTED_VALUE"""),"Guadalajara en Paz")</f>
        <v>Guadalajara en Paz</v>
      </c>
      <c r="E1498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98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98" s="42" t="str">
        <f ca="1">IFERROR(__xludf.DUMMYFUNCTION("""COMPUTED_VALUE"""),"Porcentaje de población en situación de emergencia atendida, en 2023")</f>
        <v>Porcentaje de población en situación de emergencia atendida, en 2023</v>
      </c>
      <c r="H1498" s="42" t="str">
        <f ca="1">IFERROR(__xludf.DUMMYFUNCTION("""COMPUTED_VALUE"""),"NAS Agosto")</f>
        <v>NAS Agosto</v>
      </c>
      <c r="I1498" s="42" t="str">
        <f ca="1">IFERROR(__xludf.DUMMYFUNCTION("""COMPUTED_VALUE"""),"Agosto")</f>
        <v>Agosto</v>
      </c>
      <c r="J1498" s="42" t="str">
        <f ca="1">IFERROR(__xludf.DUMMYFUNCTION("""COMPUTED_VALUE"""),"NAS")</f>
        <v>NAS</v>
      </c>
      <c r="K1498" s="98">
        <f ca="1">IFERROR(__xludf.DUMMYFUNCTION("""COMPUTED_VALUE"""),6)</f>
        <v>6</v>
      </c>
      <c r="L1498" s="42" t="str">
        <f ca="1">IFERROR(__xludf.DUMMYFUNCTION("""COMPUTED_VALUE"""),"TRIMESTRE 3")</f>
        <v>TRIMESTRE 3</v>
      </c>
      <c r="M1498" s="42" t="str">
        <f ca="1">IFERROR(__xludf.DUMMYFUNCTION("""COMPUTED_VALUE"""),"NIÑAS")</f>
        <v>NIÑAS</v>
      </c>
    </row>
    <row r="1499" spans="1:13">
      <c r="A1499" s="42" t="str">
        <f ca="1">IFERROR(__xludf.DUMMYFUNCTION("""COMPUTED_VALUE"""),"2.1.2.0")</f>
        <v>2.1.2.0</v>
      </c>
      <c r="B1499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499" s="42" t="str">
        <f ca="1">IFERROR(__xludf.DUMMYFUNCTION("""COMPUTED_VALUE"""),"3. Operación")</f>
        <v>3. Operación</v>
      </c>
      <c r="D1499" s="42" t="str">
        <f ca="1">IFERROR(__xludf.DUMMYFUNCTION("""COMPUTED_VALUE"""),"Guadalajara en Paz")</f>
        <v>Guadalajara en Paz</v>
      </c>
      <c r="E1499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499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499" s="42" t="str">
        <f ca="1">IFERROR(__xludf.DUMMYFUNCTION("""COMPUTED_VALUE"""),"Porcentaje de población en situación de emergencia atendida, en 2023")</f>
        <v>Porcentaje de población en situación de emergencia atendida, en 2023</v>
      </c>
      <c r="H1499" s="42" t="str">
        <f ca="1">IFERROR(__xludf.DUMMYFUNCTION("""COMPUTED_VALUE"""),"NOS Agosto")</f>
        <v>NOS Agosto</v>
      </c>
      <c r="I1499" s="42" t="str">
        <f ca="1">IFERROR(__xludf.DUMMYFUNCTION("""COMPUTED_VALUE"""),"Agosto")</f>
        <v>Agosto</v>
      </c>
      <c r="J1499" s="42" t="str">
        <f ca="1">IFERROR(__xludf.DUMMYFUNCTION("""COMPUTED_VALUE"""),"NOS")</f>
        <v>NOS</v>
      </c>
      <c r="K1499" s="98">
        <f ca="1">IFERROR(__xludf.DUMMYFUNCTION("""COMPUTED_VALUE"""),7)</f>
        <v>7</v>
      </c>
      <c r="L1499" s="42" t="str">
        <f ca="1">IFERROR(__xludf.DUMMYFUNCTION("""COMPUTED_VALUE"""),"TRIMESTRE 3")</f>
        <v>TRIMESTRE 3</v>
      </c>
      <c r="M1499" s="42" t="str">
        <f ca="1">IFERROR(__xludf.DUMMYFUNCTION("""COMPUTED_VALUE"""),"NIÑOS")</f>
        <v>NIÑOS</v>
      </c>
    </row>
    <row r="1500" spans="1:13">
      <c r="A1500" s="42" t="str">
        <f ca="1">IFERROR(__xludf.DUMMYFUNCTION("""COMPUTED_VALUE"""),"2.1.2.0")</f>
        <v>2.1.2.0</v>
      </c>
      <c r="B1500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500" s="42" t="str">
        <f ca="1">IFERROR(__xludf.DUMMYFUNCTION("""COMPUTED_VALUE"""),"3. Operación")</f>
        <v>3. Operación</v>
      </c>
      <c r="D1500" s="42" t="str">
        <f ca="1">IFERROR(__xludf.DUMMYFUNCTION("""COMPUTED_VALUE"""),"Guadalajara en Paz")</f>
        <v>Guadalajara en Paz</v>
      </c>
      <c r="E1500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500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500" s="42" t="str">
        <f ca="1">IFERROR(__xludf.DUMMYFUNCTION("""COMPUTED_VALUE"""),"Porcentaje de población en situación de emergencia atendida, en 2023")</f>
        <v>Porcentaje de población en situación de emergencia atendida, en 2023</v>
      </c>
      <c r="H1500" s="42" t="str">
        <f ca="1">IFERROR(__xludf.DUMMYFUNCTION("""COMPUTED_VALUE"""),"AM AGOSTO")</f>
        <v>AM AGOSTO</v>
      </c>
      <c r="I1500" s="42" t="str">
        <f ca="1">IFERROR(__xludf.DUMMYFUNCTION("""COMPUTED_VALUE"""),"Agosto")</f>
        <v>Agosto</v>
      </c>
      <c r="J1500" s="42" t="str">
        <f ca="1">IFERROR(__xludf.DUMMYFUNCTION("""COMPUTED_VALUE"""),"AM")</f>
        <v>AM</v>
      </c>
      <c r="K1500" s="98">
        <f ca="1">IFERROR(__xludf.DUMMYFUNCTION("""COMPUTED_VALUE"""),0)</f>
        <v>0</v>
      </c>
      <c r="L1500" s="42" t="str">
        <f ca="1">IFERROR(__xludf.DUMMYFUNCTION("""COMPUTED_VALUE"""),"TRIMESTRE 3")</f>
        <v>TRIMESTRE 3</v>
      </c>
      <c r="M1500" s="42" t="str">
        <f ca="1">IFERROR(__xludf.DUMMYFUNCTION("""COMPUTED_VALUE"""),"ADOLESCENTES MUJERES")</f>
        <v>ADOLESCENTES MUJERES</v>
      </c>
    </row>
    <row r="1501" spans="1:13">
      <c r="A1501" s="42" t="str">
        <f ca="1">IFERROR(__xludf.DUMMYFUNCTION("""COMPUTED_VALUE"""),"2.1.2.0")</f>
        <v>2.1.2.0</v>
      </c>
      <c r="B1501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501" s="42" t="str">
        <f ca="1">IFERROR(__xludf.DUMMYFUNCTION("""COMPUTED_VALUE"""),"3. Operación")</f>
        <v>3. Operación</v>
      </c>
      <c r="D1501" s="42" t="str">
        <f ca="1">IFERROR(__xludf.DUMMYFUNCTION("""COMPUTED_VALUE"""),"Guadalajara en Paz")</f>
        <v>Guadalajara en Paz</v>
      </c>
      <c r="E1501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501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501" s="42" t="str">
        <f ca="1">IFERROR(__xludf.DUMMYFUNCTION("""COMPUTED_VALUE"""),"Porcentaje de población en situación de emergencia atendida, en 2023")</f>
        <v>Porcentaje de población en situación de emergencia atendida, en 2023</v>
      </c>
      <c r="H1501" s="42" t="str">
        <f ca="1">IFERROR(__xludf.DUMMYFUNCTION("""COMPUTED_VALUE"""),"AH AGOSTO")</f>
        <v>AH AGOSTO</v>
      </c>
      <c r="I1501" s="42" t="str">
        <f ca="1">IFERROR(__xludf.DUMMYFUNCTION("""COMPUTED_VALUE"""),"Agosto")</f>
        <v>Agosto</v>
      </c>
      <c r="J1501" s="42" t="str">
        <f ca="1">IFERROR(__xludf.DUMMYFUNCTION("""COMPUTED_VALUE"""),"AH")</f>
        <v>AH</v>
      </c>
      <c r="K1501" s="98">
        <f ca="1">IFERROR(__xludf.DUMMYFUNCTION("""COMPUTED_VALUE"""),0)</f>
        <v>0</v>
      </c>
      <c r="L1501" s="42" t="str">
        <f ca="1">IFERROR(__xludf.DUMMYFUNCTION("""COMPUTED_VALUE"""),"TRIMESTRE 3")</f>
        <v>TRIMESTRE 3</v>
      </c>
      <c r="M1501" s="42" t="str">
        <f ca="1">IFERROR(__xludf.DUMMYFUNCTION("""COMPUTED_VALUE"""),"ADOLESCENTES HOMBRES")</f>
        <v>ADOLESCENTES HOMBRES</v>
      </c>
    </row>
    <row r="1502" spans="1:13">
      <c r="A1502" s="42" t="str">
        <f ca="1">IFERROR(__xludf.DUMMYFUNCTION("""COMPUTED_VALUE"""),"2.1.2.0")</f>
        <v>2.1.2.0</v>
      </c>
      <c r="B1502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502" s="42" t="str">
        <f ca="1">IFERROR(__xludf.DUMMYFUNCTION("""COMPUTED_VALUE"""),"3. Operación")</f>
        <v>3. Operación</v>
      </c>
      <c r="D1502" s="42" t="str">
        <f ca="1">IFERROR(__xludf.DUMMYFUNCTION("""COMPUTED_VALUE"""),"Guadalajara en Paz")</f>
        <v>Guadalajara en Paz</v>
      </c>
      <c r="E1502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502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502" s="42" t="str">
        <f ca="1">IFERROR(__xludf.DUMMYFUNCTION("""COMPUTED_VALUE"""),"Porcentaje de población en situación de emergencia atendida, en 2023")</f>
        <v>Porcentaje de población en situación de emergencia atendida, en 2023</v>
      </c>
      <c r="H1502" s="42" t="str">
        <f ca="1">IFERROR(__xludf.DUMMYFUNCTION("""COMPUTED_VALUE"""),"MUJ Agosto")</f>
        <v>MUJ Agosto</v>
      </c>
      <c r="I1502" s="42" t="str">
        <f ca="1">IFERROR(__xludf.DUMMYFUNCTION("""COMPUTED_VALUE"""),"Agosto")</f>
        <v>Agosto</v>
      </c>
      <c r="J1502" s="42" t="str">
        <f ca="1">IFERROR(__xludf.DUMMYFUNCTION("""COMPUTED_VALUE"""),"MUJ")</f>
        <v>MUJ</v>
      </c>
      <c r="K1502" s="98">
        <f ca="1">IFERROR(__xludf.DUMMYFUNCTION("""COMPUTED_VALUE"""),14)</f>
        <v>14</v>
      </c>
      <c r="L1502" s="42" t="str">
        <f ca="1">IFERROR(__xludf.DUMMYFUNCTION("""COMPUTED_VALUE"""),"TRIMESTRE 3")</f>
        <v>TRIMESTRE 3</v>
      </c>
      <c r="M1502" s="42" t="str">
        <f ca="1">IFERROR(__xludf.DUMMYFUNCTION("""COMPUTED_VALUE"""),"MUJERES ADULTAS")</f>
        <v>MUJERES ADULTAS</v>
      </c>
    </row>
    <row r="1503" spans="1:13">
      <c r="A1503" s="42" t="str">
        <f ca="1">IFERROR(__xludf.DUMMYFUNCTION("""COMPUTED_VALUE"""),"2.1.2.0")</f>
        <v>2.1.2.0</v>
      </c>
      <c r="B1503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503" s="42" t="str">
        <f ca="1">IFERROR(__xludf.DUMMYFUNCTION("""COMPUTED_VALUE"""),"3. Operación")</f>
        <v>3. Operación</v>
      </c>
      <c r="D1503" s="42" t="str">
        <f ca="1">IFERROR(__xludf.DUMMYFUNCTION("""COMPUTED_VALUE"""),"Guadalajara en Paz")</f>
        <v>Guadalajara en Paz</v>
      </c>
      <c r="E1503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503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503" s="42" t="str">
        <f ca="1">IFERROR(__xludf.DUMMYFUNCTION("""COMPUTED_VALUE"""),"Porcentaje de población en situación de emergencia atendida, en 2023")</f>
        <v>Porcentaje de población en situación de emergencia atendida, en 2023</v>
      </c>
      <c r="H1503" s="42" t="str">
        <f ca="1">IFERROR(__xludf.DUMMYFUNCTION("""COMPUTED_VALUE"""),"HOM Agosto")</f>
        <v>HOM Agosto</v>
      </c>
      <c r="I1503" s="42" t="str">
        <f ca="1">IFERROR(__xludf.DUMMYFUNCTION("""COMPUTED_VALUE"""),"Agosto")</f>
        <v>Agosto</v>
      </c>
      <c r="J1503" s="42" t="str">
        <f ca="1">IFERROR(__xludf.DUMMYFUNCTION("""COMPUTED_VALUE"""),"HOM")</f>
        <v>HOM</v>
      </c>
      <c r="K1503" s="98">
        <f ca="1">IFERROR(__xludf.DUMMYFUNCTION("""COMPUTED_VALUE"""),13)</f>
        <v>13</v>
      </c>
      <c r="L1503" s="42" t="str">
        <f ca="1">IFERROR(__xludf.DUMMYFUNCTION("""COMPUTED_VALUE"""),"TRIMESTRE 3")</f>
        <v>TRIMESTRE 3</v>
      </c>
      <c r="M1503" s="42" t="str">
        <f ca="1">IFERROR(__xludf.DUMMYFUNCTION("""COMPUTED_VALUE"""),"HOMBRES ADULTOS")</f>
        <v>HOMBRES ADULTOS</v>
      </c>
    </row>
    <row r="1504" spans="1:13">
      <c r="A1504" s="42" t="str">
        <f ca="1">IFERROR(__xludf.DUMMYFUNCTION("""COMPUTED_VALUE"""),"2.1.2.0")</f>
        <v>2.1.2.0</v>
      </c>
      <c r="B1504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504" s="42" t="str">
        <f ca="1">IFERROR(__xludf.DUMMYFUNCTION("""COMPUTED_VALUE"""),"3. Operación")</f>
        <v>3. Operación</v>
      </c>
      <c r="D1504" s="42" t="str">
        <f ca="1">IFERROR(__xludf.DUMMYFUNCTION("""COMPUTED_VALUE"""),"Guadalajara en Paz")</f>
        <v>Guadalajara en Paz</v>
      </c>
      <c r="E1504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504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504" s="42" t="str">
        <f ca="1">IFERROR(__xludf.DUMMYFUNCTION("""COMPUTED_VALUE"""),"Porcentaje de población en situación de emergencia atendida, en 2023")</f>
        <v>Porcentaje de población en situación de emergencia atendida, en 2023</v>
      </c>
      <c r="H1504" s="42" t="str">
        <f ca="1">IFERROR(__xludf.DUMMYFUNCTION("""COMPUTED_VALUE"""),"AMM Agosto")</f>
        <v>AMM Agosto</v>
      </c>
      <c r="I1504" s="42" t="str">
        <f ca="1">IFERROR(__xludf.DUMMYFUNCTION("""COMPUTED_VALUE"""),"Agosto")</f>
        <v>Agosto</v>
      </c>
      <c r="J1504" s="42" t="str">
        <f ca="1">IFERROR(__xludf.DUMMYFUNCTION("""COMPUTED_VALUE"""),"AMM")</f>
        <v>AMM</v>
      </c>
      <c r="K1504" s="98">
        <f ca="1">IFERROR(__xludf.DUMMYFUNCTION("""COMPUTED_VALUE"""),1)</f>
        <v>1</v>
      </c>
      <c r="L1504" s="42" t="str">
        <f ca="1">IFERROR(__xludf.DUMMYFUNCTION("""COMPUTED_VALUE"""),"TRIMESTRE 3")</f>
        <v>TRIMESTRE 3</v>
      </c>
      <c r="M1504" s="42" t="str">
        <f ca="1">IFERROR(__xludf.DUMMYFUNCTION("""COMPUTED_VALUE"""),"ADULTA MAYOR MUJER")</f>
        <v>ADULTA MAYOR MUJER</v>
      </c>
    </row>
    <row r="1505" spans="1:13">
      <c r="A1505" s="42" t="str">
        <f ca="1">IFERROR(__xludf.DUMMYFUNCTION("""COMPUTED_VALUE"""),"2.1.2.0")</f>
        <v>2.1.2.0</v>
      </c>
      <c r="B1505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505" s="42" t="str">
        <f ca="1">IFERROR(__xludf.DUMMYFUNCTION("""COMPUTED_VALUE"""),"3. Operación")</f>
        <v>3. Operación</v>
      </c>
      <c r="D1505" s="42" t="str">
        <f ca="1">IFERROR(__xludf.DUMMYFUNCTION("""COMPUTED_VALUE"""),"Guadalajara en Paz")</f>
        <v>Guadalajara en Paz</v>
      </c>
      <c r="E1505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505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505" s="42" t="str">
        <f ca="1">IFERROR(__xludf.DUMMYFUNCTION("""COMPUTED_VALUE"""),"Porcentaje de población en situación de emergencia atendida, en 2023")</f>
        <v>Porcentaje de población en situación de emergencia atendida, en 2023</v>
      </c>
      <c r="H1505" s="42" t="str">
        <f ca="1">IFERROR(__xludf.DUMMYFUNCTION("""COMPUTED_VALUE"""),"AMH Agosto")</f>
        <v>AMH Agosto</v>
      </c>
      <c r="I1505" s="42" t="str">
        <f ca="1">IFERROR(__xludf.DUMMYFUNCTION("""COMPUTED_VALUE"""),"Agosto")</f>
        <v>Agosto</v>
      </c>
      <c r="J1505" s="42" t="str">
        <f ca="1">IFERROR(__xludf.DUMMYFUNCTION("""COMPUTED_VALUE"""),"AMH")</f>
        <v>AMH</v>
      </c>
      <c r="K1505" s="98">
        <f ca="1">IFERROR(__xludf.DUMMYFUNCTION("""COMPUTED_VALUE"""),0)</f>
        <v>0</v>
      </c>
      <c r="L1505" s="42" t="str">
        <f ca="1">IFERROR(__xludf.DUMMYFUNCTION("""COMPUTED_VALUE"""),"TRIMESTRE 3")</f>
        <v>TRIMESTRE 3</v>
      </c>
      <c r="M1505" s="42" t="str">
        <f ca="1">IFERROR(__xludf.DUMMYFUNCTION("""COMPUTED_VALUE"""),"ADULTO MAYOR HOMBRE")</f>
        <v>ADULTO MAYOR HOMBRE</v>
      </c>
    </row>
    <row r="1506" spans="1:13">
      <c r="A1506" s="42" t="str">
        <f ca="1">IFERROR(__xludf.DUMMYFUNCTION("""COMPUTED_VALUE"""),"2.1.2.0")</f>
        <v>2.1.2.0</v>
      </c>
      <c r="B1506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506" s="42" t="str">
        <f ca="1">IFERROR(__xludf.DUMMYFUNCTION("""COMPUTED_VALUE"""),"3. Operación")</f>
        <v>3. Operación</v>
      </c>
      <c r="D1506" s="42" t="str">
        <f ca="1">IFERROR(__xludf.DUMMYFUNCTION("""COMPUTED_VALUE"""),"Guadalajara en Paz")</f>
        <v>Guadalajara en Paz</v>
      </c>
      <c r="E1506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506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506" s="42" t="str">
        <f ca="1">IFERROR(__xludf.DUMMYFUNCTION("""COMPUTED_VALUE"""),"Porcentaje de población en situación de emergencia atendida, en 2023")</f>
        <v>Porcentaje de población en situación de emergencia atendida, en 2023</v>
      </c>
      <c r="H1506" s="42" t="str">
        <f ca="1">IFERROR(__xludf.DUMMYFUNCTION("""COMPUTED_VALUE"""),"NAS Septiembre")</f>
        <v>NAS Septiembre</v>
      </c>
      <c r="I1506" s="42" t="str">
        <f ca="1">IFERROR(__xludf.DUMMYFUNCTION("""COMPUTED_VALUE"""),"Septiembre")</f>
        <v>Septiembre</v>
      </c>
      <c r="J1506" s="42" t="str">
        <f ca="1">IFERROR(__xludf.DUMMYFUNCTION("""COMPUTED_VALUE"""),"NAS")</f>
        <v>NAS</v>
      </c>
      <c r="K1506" s="98">
        <f ca="1">IFERROR(__xludf.DUMMYFUNCTION("""COMPUTED_VALUE"""),2)</f>
        <v>2</v>
      </c>
      <c r="L1506" s="42" t="str">
        <f ca="1">IFERROR(__xludf.DUMMYFUNCTION("""COMPUTED_VALUE"""),"TRIMESTRE 3")</f>
        <v>TRIMESTRE 3</v>
      </c>
      <c r="M1506" s="42" t="str">
        <f ca="1">IFERROR(__xludf.DUMMYFUNCTION("""COMPUTED_VALUE"""),"NIÑAS")</f>
        <v>NIÑAS</v>
      </c>
    </row>
    <row r="1507" spans="1:13">
      <c r="A1507" s="42" t="str">
        <f ca="1">IFERROR(__xludf.DUMMYFUNCTION("""COMPUTED_VALUE"""),"2.1.2.0")</f>
        <v>2.1.2.0</v>
      </c>
      <c r="B1507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507" s="42" t="str">
        <f ca="1">IFERROR(__xludf.DUMMYFUNCTION("""COMPUTED_VALUE"""),"3. Operación")</f>
        <v>3. Operación</v>
      </c>
      <c r="D1507" s="42" t="str">
        <f ca="1">IFERROR(__xludf.DUMMYFUNCTION("""COMPUTED_VALUE"""),"Guadalajara en Paz")</f>
        <v>Guadalajara en Paz</v>
      </c>
      <c r="E1507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507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507" s="42" t="str">
        <f ca="1">IFERROR(__xludf.DUMMYFUNCTION("""COMPUTED_VALUE"""),"Porcentaje de población en situación de emergencia atendida, en 2023")</f>
        <v>Porcentaje de población en situación de emergencia atendida, en 2023</v>
      </c>
      <c r="H1507" s="42" t="str">
        <f ca="1">IFERROR(__xludf.DUMMYFUNCTION("""COMPUTED_VALUE"""),"NOS Septiembre")</f>
        <v>NOS Septiembre</v>
      </c>
      <c r="I1507" s="42" t="str">
        <f ca="1">IFERROR(__xludf.DUMMYFUNCTION("""COMPUTED_VALUE"""),"Septiembre")</f>
        <v>Septiembre</v>
      </c>
      <c r="J1507" s="42" t="str">
        <f ca="1">IFERROR(__xludf.DUMMYFUNCTION("""COMPUTED_VALUE"""),"NOS")</f>
        <v>NOS</v>
      </c>
      <c r="K1507" s="98">
        <f ca="1">IFERROR(__xludf.DUMMYFUNCTION("""COMPUTED_VALUE"""),3)</f>
        <v>3</v>
      </c>
      <c r="L1507" s="42" t="str">
        <f ca="1">IFERROR(__xludf.DUMMYFUNCTION("""COMPUTED_VALUE"""),"TRIMESTRE 3")</f>
        <v>TRIMESTRE 3</v>
      </c>
      <c r="M1507" s="42" t="str">
        <f ca="1">IFERROR(__xludf.DUMMYFUNCTION("""COMPUTED_VALUE"""),"NIÑOS")</f>
        <v>NIÑOS</v>
      </c>
    </row>
    <row r="1508" spans="1:13">
      <c r="A1508" s="42" t="str">
        <f ca="1">IFERROR(__xludf.DUMMYFUNCTION("""COMPUTED_VALUE"""),"2.1.2.0")</f>
        <v>2.1.2.0</v>
      </c>
      <c r="B1508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508" s="42" t="str">
        <f ca="1">IFERROR(__xludf.DUMMYFUNCTION("""COMPUTED_VALUE"""),"3. Operación")</f>
        <v>3. Operación</v>
      </c>
      <c r="D1508" s="42" t="str">
        <f ca="1">IFERROR(__xludf.DUMMYFUNCTION("""COMPUTED_VALUE"""),"Guadalajara en Paz")</f>
        <v>Guadalajara en Paz</v>
      </c>
      <c r="E1508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508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508" s="42" t="str">
        <f ca="1">IFERROR(__xludf.DUMMYFUNCTION("""COMPUTED_VALUE"""),"Porcentaje de población en situación de emergencia atendida, en 2023")</f>
        <v>Porcentaje de población en situación de emergencia atendida, en 2023</v>
      </c>
      <c r="H1508" s="42" t="str">
        <f ca="1">IFERROR(__xludf.DUMMYFUNCTION("""COMPUTED_VALUE"""),"AM SEPTIEMBRE")</f>
        <v>AM SEPTIEMBRE</v>
      </c>
      <c r="I1508" s="42" t="str">
        <f ca="1">IFERROR(__xludf.DUMMYFUNCTION("""COMPUTED_VALUE"""),"Septiembre")</f>
        <v>Septiembre</v>
      </c>
      <c r="J1508" s="42" t="str">
        <f ca="1">IFERROR(__xludf.DUMMYFUNCTION("""COMPUTED_VALUE"""),"AM")</f>
        <v>AM</v>
      </c>
      <c r="K1508" s="98">
        <f ca="1">IFERROR(__xludf.DUMMYFUNCTION("""COMPUTED_VALUE"""),0)</f>
        <v>0</v>
      </c>
      <c r="L1508" s="42" t="str">
        <f ca="1">IFERROR(__xludf.DUMMYFUNCTION("""COMPUTED_VALUE"""),"TRIMESTRE 3")</f>
        <v>TRIMESTRE 3</v>
      </c>
      <c r="M1508" s="42" t="str">
        <f ca="1">IFERROR(__xludf.DUMMYFUNCTION("""COMPUTED_VALUE"""),"ADOLESCENTES MUJERES")</f>
        <v>ADOLESCENTES MUJERES</v>
      </c>
    </row>
    <row r="1509" spans="1:13">
      <c r="A1509" s="42" t="str">
        <f ca="1">IFERROR(__xludf.DUMMYFUNCTION("""COMPUTED_VALUE"""),"2.1.2.0")</f>
        <v>2.1.2.0</v>
      </c>
      <c r="B1509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509" s="42" t="str">
        <f ca="1">IFERROR(__xludf.DUMMYFUNCTION("""COMPUTED_VALUE"""),"3. Operación")</f>
        <v>3. Operación</v>
      </c>
      <c r="D1509" s="42" t="str">
        <f ca="1">IFERROR(__xludf.DUMMYFUNCTION("""COMPUTED_VALUE"""),"Guadalajara en Paz")</f>
        <v>Guadalajara en Paz</v>
      </c>
      <c r="E1509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509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509" s="42" t="str">
        <f ca="1">IFERROR(__xludf.DUMMYFUNCTION("""COMPUTED_VALUE"""),"Porcentaje de población en situación de emergencia atendida, en 2023")</f>
        <v>Porcentaje de población en situación de emergencia atendida, en 2023</v>
      </c>
      <c r="H1509" s="42" t="str">
        <f ca="1">IFERROR(__xludf.DUMMYFUNCTION("""COMPUTED_VALUE"""),"AH SEPTIEMBRE")</f>
        <v>AH SEPTIEMBRE</v>
      </c>
      <c r="I1509" s="42" t="str">
        <f ca="1">IFERROR(__xludf.DUMMYFUNCTION("""COMPUTED_VALUE"""),"Septiembre")</f>
        <v>Septiembre</v>
      </c>
      <c r="J1509" s="42" t="str">
        <f ca="1">IFERROR(__xludf.DUMMYFUNCTION("""COMPUTED_VALUE"""),"AH")</f>
        <v>AH</v>
      </c>
      <c r="K1509" s="98">
        <f ca="1">IFERROR(__xludf.DUMMYFUNCTION("""COMPUTED_VALUE"""),0)</f>
        <v>0</v>
      </c>
      <c r="L1509" s="42" t="str">
        <f ca="1">IFERROR(__xludf.DUMMYFUNCTION("""COMPUTED_VALUE"""),"TRIMESTRE 3")</f>
        <v>TRIMESTRE 3</v>
      </c>
      <c r="M1509" s="42" t="str">
        <f ca="1">IFERROR(__xludf.DUMMYFUNCTION("""COMPUTED_VALUE"""),"ADOLESCENTES HOMBRES")</f>
        <v>ADOLESCENTES HOMBRES</v>
      </c>
    </row>
    <row r="1510" spans="1:13">
      <c r="A1510" s="42" t="str">
        <f ca="1">IFERROR(__xludf.DUMMYFUNCTION("""COMPUTED_VALUE"""),"2.1.2.0")</f>
        <v>2.1.2.0</v>
      </c>
      <c r="B1510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510" s="42" t="str">
        <f ca="1">IFERROR(__xludf.DUMMYFUNCTION("""COMPUTED_VALUE"""),"3. Operación")</f>
        <v>3. Operación</v>
      </c>
      <c r="D1510" s="42" t="str">
        <f ca="1">IFERROR(__xludf.DUMMYFUNCTION("""COMPUTED_VALUE"""),"Guadalajara en Paz")</f>
        <v>Guadalajara en Paz</v>
      </c>
      <c r="E1510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510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510" s="42" t="str">
        <f ca="1">IFERROR(__xludf.DUMMYFUNCTION("""COMPUTED_VALUE"""),"Porcentaje de población en situación de emergencia atendida, en 2023")</f>
        <v>Porcentaje de población en situación de emergencia atendida, en 2023</v>
      </c>
      <c r="H1510" s="42" t="str">
        <f ca="1">IFERROR(__xludf.DUMMYFUNCTION("""COMPUTED_VALUE"""),"MUJ Septiembre")</f>
        <v>MUJ Septiembre</v>
      </c>
      <c r="I1510" s="42" t="str">
        <f ca="1">IFERROR(__xludf.DUMMYFUNCTION("""COMPUTED_VALUE"""),"Septiembre")</f>
        <v>Septiembre</v>
      </c>
      <c r="J1510" s="42" t="str">
        <f ca="1">IFERROR(__xludf.DUMMYFUNCTION("""COMPUTED_VALUE"""),"MUJ")</f>
        <v>MUJ</v>
      </c>
      <c r="K1510" s="98">
        <f ca="1">IFERROR(__xludf.DUMMYFUNCTION("""COMPUTED_VALUE"""),14)</f>
        <v>14</v>
      </c>
      <c r="L1510" s="42" t="str">
        <f ca="1">IFERROR(__xludf.DUMMYFUNCTION("""COMPUTED_VALUE"""),"TRIMESTRE 3")</f>
        <v>TRIMESTRE 3</v>
      </c>
      <c r="M1510" s="42" t="str">
        <f ca="1">IFERROR(__xludf.DUMMYFUNCTION("""COMPUTED_VALUE"""),"MUJERES ADULTAS")</f>
        <v>MUJERES ADULTAS</v>
      </c>
    </row>
    <row r="1511" spans="1:13">
      <c r="A1511" s="42" t="str">
        <f ca="1">IFERROR(__xludf.DUMMYFUNCTION("""COMPUTED_VALUE"""),"2.1.2.0")</f>
        <v>2.1.2.0</v>
      </c>
      <c r="B1511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511" s="42" t="str">
        <f ca="1">IFERROR(__xludf.DUMMYFUNCTION("""COMPUTED_VALUE"""),"3. Operación")</f>
        <v>3. Operación</v>
      </c>
      <c r="D1511" s="42" t="str">
        <f ca="1">IFERROR(__xludf.DUMMYFUNCTION("""COMPUTED_VALUE"""),"Guadalajara en Paz")</f>
        <v>Guadalajara en Paz</v>
      </c>
      <c r="E1511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511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511" s="42" t="str">
        <f ca="1">IFERROR(__xludf.DUMMYFUNCTION("""COMPUTED_VALUE"""),"Porcentaje de población en situación de emergencia atendida, en 2023")</f>
        <v>Porcentaje de población en situación de emergencia atendida, en 2023</v>
      </c>
      <c r="H1511" s="42" t="str">
        <f ca="1">IFERROR(__xludf.DUMMYFUNCTION("""COMPUTED_VALUE"""),"HOM Septiembre")</f>
        <v>HOM Septiembre</v>
      </c>
      <c r="I1511" s="42" t="str">
        <f ca="1">IFERROR(__xludf.DUMMYFUNCTION("""COMPUTED_VALUE"""),"Septiembre")</f>
        <v>Septiembre</v>
      </c>
      <c r="J1511" s="42" t="str">
        <f ca="1">IFERROR(__xludf.DUMMYFUNCTION("""COMPUTED_VALUE"""),"HOM")</f>
        <v>HOM</v>
      </c>
      <c r="K1511" s="98">
        <f ca="1">IFERROR(__xludf.DUMMYFUNCTION("""COMPUTED_VALUE"""),12)</f>
        <v>12</v>
      </c>
      <c r="L1511" s="42" t="str">
        <f ca="1">IFERROR(__xludf.DUMMYFUNCTION("""COMPUTED_VALUE"""),"TRIMESTRE 3")</f>
        <v>TRIMESTRE 3</v>
      </c>
      <c r="M1511" s="42" t="str">
        <f ca="1">IFERROR(__xludf.DUMMYFUNCTION("""COMPUTED_VALUE"""),"HOMBRES ADULTOS")</f>
        <v>HOMBRES ADULTOS</v>
      </c>
    </row>
    <row r="1512" spans="1:13">
      <c r="A1512" s="42" t="str">
        <f ca="1">IFERROR(__xludf.DUMMYFUNCTION("""COMPUTED_VALUE"""),"2.1.2.0")</f>
        <v>2.1.2.0</v>
      </c>
      <c r="B1512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512" s="42" t="str">
        <f ca="1">IFERROR(__xludf.DUMMYFUNCTION("""COMPUTED_VALUE"""),"3. Operación")</f>
        <v>3. Operación</v>
      </c>
      <c r="D1512" s="42" t="str">
        <f ca="1">IFERROR(__xludf.DUMMYFUNCTION("""COMPUTED_VALUE"""),"Guadalajara en Paz")</f>
        <v>Guadalajara en Paz</v>
      </c>
      <c r="E1512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512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512" s="42" t="str">
        <f ca="1">IFERROR(__xludf.DUMMYFUNCTION("""COMPUTED_VALUE"""),"Porcentaje de población en situación de emergencia atendida, en 2023")</f>
        <v>Porcentaje de población en situación de emergencia atendida, en 2023</v>
      </c>
      <c r="H1512" s="42" t="str">
        <f ca="1">IFERROR(__xludf.DUMMYFUNCTION("""COMPUTED_VALUE"""),"AMM Septiembre")</f>
        <v>AMM Septiembre</v>
      </c>
      <c r="I1512" s="42" t="str">
        <f ca="1">IFERROR(__xludf.DUMMYFUNCTION("""COMPUTED_VALUE"""),"Septiembre")</f>
        <v>Septiembre</v>
      </c>
      <c r="J1512" s="42" t="str">
        <f ca="1">IFERROR(__xludf.DUMMYFUNCTION("""COMPUTED_VALUE"""),"AMM")</f>
        <v>AMM</v>
      </c>
      <c r="K1512" s="98">
        <f ca="1">IFERROR(__xludf.DUMMYFUNCTION("""COMPUTED_VALUE"""),2)</f>
        <v>2</v>
      </c>
      <c r="L1512" s="42" t="str">
        <f ca="1">IFERROR(__xludf.DUMMYFUNCTION("""COMPUTED_VALUE"""),"TRIMESTRE 3")</f>
        <v>TRIMESTRE 3</v>
      </c>
      <c r="M1512" s="42" t="str">
        <f ca="1">IFERROR(__xludf.DUMMYFUNCTION("""COMPUTED_VALUE"""),"ADULTA MAYOR MUJER")</f>
        <v>ADULTA MAYOR MUJER</v>
      </c>
    </row>
    <row r="1513" spans="1:13">
      <c r="A1513" s="42" t="str">
        <f ca="1">IFERROR(__xludf.DUMMYFUNCTION("""COMPUTED_VALUE"""),"2.1.2.0")</f>
        <v>2.1.2.0</v>
      </c>
      <c r="B1513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513" s="42" t="str">
        <f ca="1">IFERROR(__xludf.DUMMYFUNCTION("""COMPUTED_VALUE"""),"3. Operación")</f>
        <v>3. Operación</v>
      </c>
      <c r="D1513" s="42" t="str">
        <f ca="1">IFERROR(__xludf.DUMMYFUNCTION("""COMPUTED_VALUE"""),"Guadalajara en Paz")</f>
        <v>Guadalajara en Paz</v>
      </c>
      <c r="E1513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513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513" s="42" t="str">
        <f ca="1">IFERROR(__xludf.DUMMYFUNCTION("""COMPUTED_VALUE"""),"Porcentaje de población en situación de emergencia atendida, en 2023")</f>
        <v>Porcentaje de población en situación de emergencia atendida, en 2023</v>
      </c>
      <c r="H1513" s="42" t="str">
        <f ca="1">IFERROR(__xludf.DUMMYFUNCTION("""COMPUTED_VALUE"""),"AMH Septiembre")</f>
        <v>AMH Septiembre</v>
      </c>
      <c r="I1513" s="42" t="str">
        <f ca="1">IFERROR(__xludf.DUMMYFUNCTION("""COMPUTED_VALUE"""),"Septiembre")</f>
        <v>Septiembre</v>
      </c>
      <c r="J1513" s="42" t="str">
        <f ca="1">IFERROR(__xludf.DUMMYFUNCTION("""COMPUTED_VALUE"""),"AMH")</f>
        <v>AMH</v>
      </c>
      <c r="K1513" s="98">
        <f ca="1">IFERROR(__xludf.DUMMYFUNCTION("""COMPUTED_VALUE"""),0)</f>
        <v>0</v>
      </c>
      <c r="L1513" s="42" t="str">
        <f ca="1">IFERROR(__xludf.DUMMYFUNCTION("""COMPUTED_VALUE"""),"TRIMESTRE 3")</f>
        <v>TRIMESTRE 3</v>
      </c>
      <c r="M1513" s="42" t="str">
        <f ca="1">IFERROR(__xludf.DUMMYFUNCTION("""COMPUTED_VALUE"""),"ADULTO MAYOR HOMBRE")</f>
        <v>ADULTO MAYOR HOMBRE</v>
      </c>
    </row>
    <row r="1514" spans="1:13">
      <c r="A1514" s="42" t="str">
        <f ca="1">IFERROR(__xludf.DUMMYFUNCTION("""COMPUTED_VALUE"""),"2.1.2.0")</f>
        <v>2.1.2.0</v>
      </c>
      <c r="B1514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514" s="42" t="str">
        <f ca="1">IFERROR(__xludf.DUMMYFUNCTION("""COMPUTED_VALUE"""),"3. Operación")</f>
        <v>3. Operación</v>
      </c>
      <c r="D1514" s="42" t="str">
        <f ca="1">IFERROR(__xludf.DUMMYFUNCTION("""COMPUTED_VALUE"""),"Guadalajara en Paz")</f>
        <v>Guadalajara en Paz</v>
      </c>
      <c r="E1514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514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514" s="42" t="str">
        <f ca="1">IFERROR(__xludf.DUMMYFUNCTION("""COMPUTED_VALUE"""),"Porcentaje de población en situación de emergencia atendida, en 2023")</f>
        <v>Porcentaje de población en situación de emergencia atendida, en 2023</v>
      </c>
      <c r="H1514" s="42" t="str">
        <f ca="1">IFERROR(__xludf.DUMMYFUNCTION("""COMPUTED_VALUE"""),"NAS Octubre")</f>
        <v>NAS Octubre</v>
      </c>
      <c r="I1514" s="42" t="str">
        <f ca="1">IFERROR(__xludf.DUMMYFUNCTION("""COMPUTED_VALUE"""),"Octubre")</f>
        <v>Octubre</v>
      </c>
      <c r="J1514" s="42" t="str">
        <f ca="1">IFERROR(__xludf.DUMMYFUNCTION("""COMPUTED_VALUE"""),"NAS")</f>
        <v>NAS</v>
      </c>
      <c r="K1514" s="98"/>
      <c r="L1514" s="42" t="str">
        <f ca="1">IFERROR(__xludf.DUMMYFUNCTION("""COMPUTED_VALUE"""),"TRIMESTRE 4")</f>
        <v>TRIMESTRE 4</v>
      </c>
      <c r="M1514" s="42" t="str">
        <f ca="1">IFERROR(__xludf.DUMMYFUNCTION("""COMPUTED_VALUE"""),"NIÑAS")</f>
        <v>NIÑAS</v>
      </c>
    </row>
    <row r="1515" spans="1:13">
      <c r="A1515" s="42" t="str">
        <f ca="1">IFERROR(__xludf.DUMMYFUNCTION("""COMPUTED_VALUE"""),"2.1.2.0")</f>
        <v>2.1.2.0</v>
      </c>
      <c r="B1515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515" s="42" t="str">
        <f ca="1">IFERROR(__xludf.DUMMYFUNCTION("""COMPUTED_VALUE"""),"3. Operación")</f>
        <v>3. Operación</v>
      </c>
      <c r="D1515" s="42" t="str">
        <f ca="1">IFERROR(__xludf.DUMMYFUNCTION("""COMPUTED_VALUE"""),"Guadalajara en Paz")</f>
        <v>Guadalajara en Paz</v>
      </c>
      <c r="E1515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515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515" s="42" t="str">
        <f ca="1">IFERROR(__xludf.DUMMYFUNCTION("""COMPUTED_VALUE"""),"Porcentaje de población en situación de emergencia atendida, en 2023")</f>
        <v>Porcentaje de población en situación de emergencia atendida, en 2023</v>
      </c>
      <c r="H1515" s="42" t="str">
        <f ca="1">IFERROR(__xludf.DUMMYFUNCTION("""COMPUTED_VALUE"""),"NOS Octubre")</f>
        <v>NOS Octubre</v>
      </c>
      <c r="I1515" s="42" t="str">
        <f ca="1">IFERROR(__xludf.DUMMYFUNCTION("""COMPUTED_VALUE"""),"Octubre")</f>
        <v>Octubre</v>
      </c>
      <c r="J1515" s="42" t="str">
        <f ca="1">IFERROR(__xludf.DUMMYFUNCTION("""COMPUTED_VALUE"""),"NOS")</f>
        <v>NOS</v>
      </c>
      <c r="K1515" s="98"/>
      <c r="L1515" s="42" t="str">
        <f ca="1">IFERROR(__xludf.DUMMYFUNCTION("""COMPUTED_VALUE"""),"TRIMESTRE 4")</f>
        <v>TRIMESTRE 4</v>
      </c>
      <c r="M1515" s="42" t="str">
        <f ca="1">IFERROR(__xludf.DUMMYFUNCTION("""COMPUTED_VALUE"""),"NIÑOS")</f>
        <v>NIÑOS</v>
      </c>
    </row>
    <row r="1516" spans="1:13">
      <c r="A1516" s="42" t="str">
        <f ca="1">IFERROR(__xludf.DUMMYFUNCTION("""COMPUTED_VALUE"""),"2.1.2.0")</f>
        <v>2.1.2.0</v>
      </c>
      <c r="B1516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516" s="42" t="str">
        <f ca="1">IFERROR(__xludf.DUMMYFUNCTION("""COMPUTED_VALUE"""),"3. Operación")</f>
        <v>3. Operación</v>
      </c>
      <c r="D1516" s="42" t="str">
        <f ca="1">IFERROR(__xludf.DUMMYFUNCTION("""COMPUTED_VALUE"""),"Guadalajara en Paz")</f>
        <v>Guadalajara en Paz</v>
      </c>
      <c r="E1516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516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516" s="42" t="str">
        <f ca="1">IFERROR(__xludf.DUMMYFUNCTION("""COMPUTED_VALUE"""),"Porcentaje de población en situación de emergencia atendida, en 2023")</f>
        <v>Porcentaje de población en situación de emergencia atendida, en 2023</v>
      </c>
      <c r="H1516" s="42" t="str">
        <f ca="1">IFERROR(__xludf.DUMMYFUNCTION("""COMPUTED_VALUE"""),"AM OCTUBRE")</f>
        <v>AM OCTUBRE</v>
      </c>
      <c r="I1516" s="42" t="str">
        <f ca="1">IFERROR(__xludf.DUMMYFUNCTION("""COMPUTED_VALUE"""),"Octubre")</f>
        <v>Octubre</v>
      </c>
      <c r="J1516" s="42" t="str">
        <f ca="1">IFERROR(__xludf.DUMMYFUNCTION("""COMPUTED_VALUE"""),"AM")</f>
        <v>AM</v>
      </c>
      <c r="K1516" s="98"/>
      <c r="L1516" s="42" t="str">
        <f ca="1">IFERROR(__xludf.DUMMYFUNCTION("""COMPUTED_VALUE"""),"TRIMESTRE 4")</f>
        <v>TRIMESTRE 4</v>
      </c>
      <c r="M1516" s="42" t="str">
        <f ca="1">IFERROR(__xludf.DUMMYFUNCTION("""COMPUTED_VALUE"""),"ADOLESCENTES MUJERES")</f>
        <v>ADOLESCENTES MUJERES</v>
      </c>
    </row>
    <row r="1517" spans="1:13">
      <c r="A1517" s="42" t="str">
        <f ca="1">IFERROR(__xludf.DUMMYFUNCTION("""COMPUTED_VALUE"""),"2.1.2.0")</f>
        <v>2.1.2.0</v>
      </c>
      <c r="B1517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517" s="42" t="str">
        <f ca="1">IFERROR(__xludf.DUMMYFUNCTION("""COMPUTED_VALUE"""),"3. Operación")</f>
        <v>3. Operación</v>
      </c>
      <c r="D1517" s="42" t="str">
        <f ca="1">IFERROR(__xludf.DUMMYFUNCTION("""COMPUTED_VALUE"""),"Guadalajara en Paz")</f>
        <v>Guadalajara en Paz</v>
      </c>
      <c r="E1517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517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517" s="42" t="str">
        <f ca="1">IFERROR(__xludf.DUMMYFUNCTION("""COMPUTED_VALUE"""),"Porcentaje de población en situación de emergencia atendida, en 2023")</f>
        <v>Porcentaje de población en situación de emergencia atendida, en 2023</v>
      </c>
      <c r="H1517" s="42" t="str">
        <f ca="1">IFERROR(__xludf.DUMMYFUNCTION("""COMPUTED_VALUE"""),"AH OCTUBRE")</f>
        <v>AH OCTUBRE</v>
      </c>
      <c r="I1517" s="42" t="str">
        <f ca="1">IFERROR(__xludf.DUMMYFUNCTION("""COMPUTED_VALUE"""),"Octubre")</f>
        <v>Octubre</v>
      </c>
      <c r="J1517" s="42" t="str">
        <f ca="1">IFERROR(__xludf.DUMMYFUNCTION("""COMPUTED_VALUE"""),"AH")</f>
        <v>AH</v>
      </c>
      <c r="K1517" s="98"/>
      <c r="L1517" s="42" t="str">
        <f ca="1">IFERROR(__xludf.DUMMYFUNCTION("""COMPUTED_VALUE"""),"TRIMESTRE 4")</f>
        <v>TRIMESTRE 4</v>
      </c>
      <c r="M1517" s="42" t="str">
        <f ca="1">IFERROR(__xludf.DUMMYFUNCTION("""COMPUTED_VALUE"""),"ADOLESCENTES HOMBRES")</f>
        <v>ADOLESCENTES HOMBRES</v>
      </c>
    </row>
    <row r="1518" spans="1:13">
      <c r="A1518" s="42" t="str">
        <f ca="1">IFERROR(__xludf.DUMMYFUNCTION("""COMPUTED_VALUE"""),"2.1.2.0")</f>
        <v>2.1.2.0</v>
      </c>
      <c r="B1518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518" s="42" t="str">
        <f ca="1">IFERROR(__xludf.DUMMYFUNCTION("""COMPUTED_VALUE"""),"3. Operación")</f>
        <v>3. Operación</v>
      </c>
      <c r="D1518" s="42" t="str">
        <f ca="1">IFERROR(__xludf.DUMMYFUNCTION("""COMPUTED_VALUE"""),"Guadalajara en Paz")</f>
        <v>Guadalajara en Paz</v>
      </c>
      <c r="E1518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518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518" s="42" t="str">
        <f ca="1">IFERROR(__xludf.DUMMYFUNCTION("""COMPUTED_VALUE"""),"Porcentaje de población en situación de emergencia atendida, en 2023")</f>
        <v>Porcentaje de población en situación de emergencia atendida, en 2023</v>
      </c>
      <c r="H1518" s="42" t="str">
        <f ca="1">IFERROR(__xludf.DUMMYFUNCTION("""COMPUTED_VALUE"""),"MUJ Octubre")</f>
        <v>MUJ Octubre</v>
      </c>
      <c r="I1518" s="42" t="str">
        <f ca="1">IFERROR(__xludf.DUMMYFUNCTION("""COMPUTED_VALUE"""),"Octubre")</f>
        <v>Octubre</v>
      </c>
      <c r="J1518" s="42" t="str">
        <f ca="1">IFERROR(__xludf.DUMMYFUNCTION("""COMPUTED_VALUE"""),"MUJ")</f>
        <v>MUJ</v>
      </c>
      <c r="K1518" s="98"/>
      <c r="L1518" s="42" t="str">
        <f ca="1">IFERROR(__xludf.DUMMYFUNCTION("""COMPUTED_VALUE"""),"TRIMESTRE 4")</f>
        <v>TRIMESTRE 4</v>
      </c>
      <c r="M1518" s="42" t="str">
        <f ca="1">IFERROR(__xludf.DUMMYFUNCTION("""COMPUTED_VALUE"""),"MUJERES ADULTAS")</f>
        <v>MUJERES ADULTAS</v>
      </c>
    </row>
    <row r="1519" spans="1:13">
      <c r="A1519" s="42" t="str">
        <f ca="1">IFERROR(__xludf.DUMMYFUNCTION("""COMPUTED_VALUE"""),"2.1.2.0")</f>
        <v>2.1.2.0</v>
      </c>
      <c r="B1519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519" s="42" t="str">
        <f ca="1">IFERROR(__xludf.DUMMYFUNCTION("""COMPUTED_VALUE"""),"3. Operación")</f>
        <v>3. Operación</v>
      </c>
      <c r="D1519" s="42" t="str">
        <f ca="1">IFERROR(__xludf.DUMMYFUNCTION("""COMPUTED_VALUE"""),"Guadalajara en Paz")</f>
        <v>Guadalajara en Paz</v>
      </c>
      <c r="E1519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519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519" s="42" t="str">
        <f ca="1">IFERROR(__xludf.DUMMYFUNCTION("""COMPUTED_VALUE"""),"Porcentaje de población en situación de emergencia atendida, en 2023")</f>
        <v>Porcentaje de población en situación de emergencia atendida, en 2023</v>
      </c>
      <c r="H1519" s="42" t="str">
        <f ca="1">IFERROR(__xludf.DUMMYFUNCTION("""COMPUTED_VALUE"""),"HOM Octubre")</f>
        <v>HOM Octubre</v>
      </c>
      <c r="I1519" s="42" t="str">
        <f ca="1">IFERROR(__xludf.DUMMYFUNCTION("""COMPUTED_VALUE"""),"Octubre")</f>
        <v>Octubre</v>
      </c>
      <c r="J1519" s="42" t="str">
        <f ca="1">IFERROR(__xludf.DUMMYFUNCTION("""COMPUTED_VALUE"""),"HOM")</f>
        <v>HOM</v>
      </c>
      <c r="K1519" s="98"/>
      <c r="L1519" s="42" t="str">
        <f ca="1">IFERROR(__xludf.DUMMYFUNCTION("""COMPUTED_VALUE"""),"TRIMESTRE 4")</f>
        <v>TRIMESTRE 4</v>
      </c>
      <c r="M1519" s="42" t="str">
        <f ca="1">IFERROR(__xludf.DUMMYFUNCTION("""COMPUTED_VALUE"""),"HOMBRES ADULTOS")</f>
        <v>HOMBRES ADULTOS</v>
      </c>
    </row>
    <row r="1520" spans="1:13">
      <c r="A1520" s="42" t="str">
        <f ca="1">IFERROR(__xludf.DUMMYFUNCTION("""COMPUTED_VALUE"""),"2.1.2.0")</f>
        <v>2.1.2.0</v>
      </c>
      <c r="B1520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520" s="42" t="str">
        <f ca="1">IFERROR(__xludf.DUMMYFUNCTION("""COMPUTED_VALUE"""),"3. Operación")</f>
        <v>3. Operación</v>
      </c>
      <c r="D1520" s="42" t="str">
        <f ca="1">IFERROR(__xludf.DUMMYFUNCTION("""COMPUTED_VALUE"""),"Guadalajara en Paz")</f>
        <v>Guadalajara en Paz</v>
      </c>
      <c r="E1520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520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520" s="42" t="str">
        <f ca="1">IFERROR(__xludf.DUMMYFUNCTION("""COMPUTED_VALUE"""),"Porcentaje de población en situación de emergencia atendida, en 2023")</f>
        <v>Porcentaje de población en situación de emergencia atendida, en 2023</v>
      </c>
      <c r="H1520" s="42" t="str">
        <f ca="1">IFERROR(__xludf.DUMMYFUNCTION("""COMPUTED_VALUE"""),"AMM Octubre")</f>
        <v>AMM Octubre</v>
      </c>
      <c r="I1520" s="42" t="str">
        <f ca="1">IFERROR(__xludf.DUMMYFUNCTION("""COMPUTED_VALUE"""),"Octubre")</f>
        <v>Octubre</v>
      </c>
      <c r="J1520" s="42" t="str">
        <f ca="1">IFERROR(__xludf.DUMMYFUNCTION("""COMPUTED_VALUE"""),"AMM")</f>
        <v>AMM</v>
      </c>
      <c r="K1520" s="98"/>
      <c r="L1520" s="42" t="str">
        <f ca="1">IFERROR(__xludf.DUMMYFUNCTION("""COMPUTED_VALUE"""),"TRIMESTRE 4")</f>
        <v>TRIMESTRE 4</v>
      </c>
      <c r="M1520" s="42" t="str">
        <f ca="1">IFERROR(__xludf.DUMMYFUNCTION("""COMPUTED_VALUE"""),"ADULTA MAYOR MUJER")</f>
        <v>ADULTA MAYOR MUJER</v>
      </c>
    </row>
    <row r="1521" spans="1:13">
      <c r="A1521" s="42" t="str">
        <f ca="1">IFERROR(__xludf.DUMMYFUNCTION("""COMPUTED_VALUE"""),"2.1.2.0")</f>
        <v>2.1.2.0</v>
      </c>
      <c r="B1521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521" s="42" t="str">
        <f ca="1">IFERROR(__xludf.DUMMYFUNCTION("""COMPUTED_VALUE"""),"3. Operación")</f>
        <v>3. Operación</v>
      </c>
      <c r="D1521" s="42" t="str">
        <f ca="1">IFERROR(__xludf.DUMMYFUNCTION("""COMPUTED_VALUE"""),"Guadalajara en Paz")</f>
        <v>Guadalajara en Paz</v>
      </c>
      <c r="E1521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521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521" s="42" t="str">
        <f ca="1">IFERROR(__xludf.DUMMYFUNCTION("""COMPUTED_VALUE"""),"Porcentaje de población en situación de emergencia atendida, en 2023")</f>
        <v>Porcentaje de población en situación de emergencia atendida, en 2023</v>
      </c>
      <c r="H1521" s="42" t="str">
        <f ca="1">IFERROR(__xludf.DUMMYFUNCTION("""COMPUTED_VALUE"""),"AMH Octubre")</f>
        <v>AMH Octubre</v>
      </c>
      <c r="I1521" s="42" t="str">
        <f ca="1">IFERROR(__xludf.DUMMYFUNCTION("""COMPUTED_VALUE"""),"Octubre")</f>
        <v>Octubre</v>
      </c>
      <c r="J1521" s="42" t="str">
        <f ca="1">IFERROR(__xludf.DUMMYFUNCTION("""COMPUTED_VALUE"""),"AMH")</f>
        <v>AMH</v>
      </c>
      <c r="K1521" s="98"/>
      <c r="L1521" s="42" t="str">
        <f ca="1">IFERROR(__xludf.DUMMYFUNCTION("""COMPUTED_VALUE"""),"TRIMESTRE 4")</f>
        <v>TRIMESTRE 4</v>
      </c>
      <c r="M1521" s="42" t="str">
        <f ca="1">IFERROR(__xludf.DUMMYFUNCTION("""COMPUTED_VALUE"""),"ADULTO MAYOR HOMBRE")</f>
        <v>ADULTO MAYOR HOMBRE</v>
      </c>
    </row>
    <row r="1522" spans="1:13">
      <c r="A1522" s="42" t="str">
        <f ca="1">IFERROR(__xludf.DUMMYFUNCTION("""COMPUTED_VALUE"""),"2.1.2.0")</f>
        <v>2.1.2.0</v>
      </c>
      <c r="B1522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522" s="42" t="str">
        <f ca="1">IFERROR(__xludf.DUMMYFUNCTION("""COMPUTED_VALUE"""),"3. Operación")</f>
        <v>3. Operación</v>
      </c>
      <c r="D1522" s="42" t="str">
        <f ca="1">IFERROR(__xludf.DUMMYFUNCTION("""COMPUTED_VALUE"""),"Guadalajara en Paz")</f>
        <v>Guadalajara en Paz</v>
      </c>
      <c r="E1522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522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522" s="42" t="str">
        <f ca="1">IFERROR(__xludf.DUMMYFUNCTION("""COMPUTED_VALUE"""),"Porcentaje de población en situación de emergencia atendida, en 2023")</f>
        <v>Porcentaje de población en situación de emergencia atendida, en 2023</v>
      </c>
      <c r="H1522" s="42" t="str">
        <f ca="1">IFERROR(__xludf.DUMMYFUNCTION("""COMPUTED_VALUE"""),"NAS Noviembre")</f>
        <v>NAS Noviembre</v>
      </c>
      <c r="I1522" s="42" t="str">
        <f ca="1">IFERROR(__xludf.DUMMYFUNCTION("""COMPUTED_VALUE"""),"Noviembre")</f>
        <v>Noviembre</v>
      </c>
      <c r="J1522" s="42" t="str">
        <f ca="1">IFERROR(__xludf.DUMMYFUNCTION("""COMPUTED_VALUE"""),"NAS")</f>
        <v>NAS</v>
      </c>
      <c r="K1522" s="98"/>
      <c r="L1522" s="42" t="str">
        <f ca="1">IFERROR(__xludf.DUMMYFUNCTION("""COMPUTED_VALUE"""),"TRIMESTRE 4")</f>
        <v>TRIMESTRE 4</v>
      </c>
      <c r="M1522" s="42" t="str">
        <f ca="1">IFERROR(__xludf.DUMMYFUNCTION("""COMPUTED_VALUE"""),"NIÑAS")</f>
        <v>NIÑAS</v>
      </c>
    </row>
    <row r="1523" spans="1:13">
      <c r="A1523" s="42" t="str">
        <f ca="1">IFERROR(__xludf.DUMMYFUNCTION("""COMPUTED_VALUE"""),"2.1.2.0")</f>
        <v>2.1.2.0</v>
      </c>
      <c r="B1523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523" s="42" t="str">
        <f ca="1">IFERROR(__xludf.DUMMYFUNCTION("""COMPUTED_VALUE"""),"3. Operación")</f>
        <v>3. Operación</v>
      </c>
      <c r="D1523" s="42" t="str">
        <f ca="1">IFERROR(__xludf.DUMMYFUNCTION("""COMPUTED_VALUE"""),"Guadalajara en Paz")</f>
        <v>Guadalajara en Paz</v>
      </c>
      <c r="E1523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523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523" s="42" t="str">
        <f ca="1">IFERROR(__xludf.DUMMYFUNCTION("""COMPUTED_VALUE"""),"Porcentaje de población en situación de emergencia atendida, en 2023")</f>
        <v>Porcentaje de población en situación de emergencia atendida, en 2023</v>
      </c>
      <c r="H1523" s="42" t="str">
        <f ca="1">IFERROR(__xludf.DUMMYFUNCTION("""COMPUTED_VALUE"""),"NOS Noviembre")</f>
        <v>NOS Noviembre</v>
      </c>
      <c r="I1523" s="42" t="str">
        <f ca="1">IFERROR(__xludf.DUMMYFUNCTION("""COMPUTED_VALUE"""),"Noviembre")</f>
        <v>Noviembre</v>
      </c>
      <c r="J1523" s="42" t="str">
        <f ca="1">IFERROR(__xludf.DUMMYFUNCTION("""COMPUTED_VALUE"""),"NOS")</f>
        <v>NOS</v>
      </c>
      <c r="K1523" s="98"/>
      <c r="L1523" s="42" t="str">
        <f ca="1">IFERROR(__xludf.DUMMYFUNCTION("""COMPUTED_VALUE"""),"TRIMESTRE 4")</f>
        <v>TRIMESTRE 4</v>
      </c>
      <c r="M1523" s="42" t="str">
        <f ca="1">IFERROR(__xludf.DUMMYFUNCTION("""COMPUTED_VALUE"""),"NIÑOS")</f>
        <v>NIÑOS</v>
      </c>
    </row>
    <row r="1524" spans="1:13">
      <c r="A1524" s="42" t="str">
        <f ca="1">IFERROR(__xludf.DUMMYFUNCTION("""COMPUTED_VALUE"""),"2.1.2.0")</f>
        <v>2.1.2.0</v>
      </c>
      <c r="B1524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524" s="42" t="str">
        <f ca="1">IFERROR(__xludf.DUMMYFUNCTION("""COMPUTED_VALUE"""),"3. Operación")</f>
        <v>3. Operación</v>
      </c>
      <c r="D1524" s="42" t="str">
        <f ca="1">IFERROR(__xludf.DUMMYFUNCTION("""COMPUTED_VALUE"""),"Guadalajara en Paz")</f>
        <v>Guadalajara en Paz</v>
      </c>
      <c r="E1524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524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524" s="42" t="str">
        <f ca="1">IFERROR(__xludf.DUMMYFUNCTION("""COMPUTED_VALUE"""),"Porcentaje de población en situación de emergencia atendida, en 2023")</f>
        <v>Porcentaje de población en situación de emergencia atendida, en 2023</v>
      </c>
      <c r="H1524" s="42" t="str">
        <f ca="1">IFERROR(__xludf.DUMMYFUNCTION("""COMPUTED_VALUE"""),"AM NOVIEMBRE")</f>
        <v>AM NOVIEMBRE</v>
      </c>
      <c r="I1524" s="42" t="str">
        <f ca="1">IFERROR(__xludf.DUMMYFUNCTION("""COMPUTED_VALUE"""),"Noviembre")</f>
        <v>Noviembre</v>
      </c>
      <c r="J1524" s="42" t="str">
        <f ca="1">IFERROR(__xludf.DUMMYFUNCTION("""COMPUTED_VALUE"""),"AM")</f>
        <v>AM</v>
      </c>
      <c r="K1524" s="98"/>
      <c r="L1524" s="42" t="str">
        <f ca="1">IFERROR(__xludf.DUMMYFUNCTION("""COMPUTED_VALUE"""),"TRIMESTRE 4")</f>
        <v>TRIMESTRE 4</v>
      </c>
      <c r="M1524" s="42" t="str">
        <f ca="1">IFERROR(__xludf.DUMMYFUNCTION("""COMPUTED_VALUE"""),"ADOLESCENTES MUJERES")</f>
        <v>ADOLESCENTES MUJERES</v>
      </c>
    </row>
    <row r="1525" spans="1:13">
      <c r="A1525" s="42" t="str">
        <f ca="1">IFERROR(__xludf.DUMMYFUNCTION("""COMPUTED_VALUE"""),"2.1.2.0")</f>
        <v>2.1.2.0</v>
      </c>
      <c r="B1525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525" s="42" t="str">
        <f ca="1">IFERROR(__xludf.DUMMYFUNCTION("""COMPUTED_VALUE"""),"3. Operación")</f>
        <v>3. Operación</v>
      </c>
      <c r="D1525" s="42" t="str">
        <f ca="1">IFERROR(__xludf.DUMMYFUNCTION("""COMPUTED_VALUE"""),"Guadalajara en Paz")</f>
        <v>Guadalajara en Paz</v>
      </c>
      <c r="E1525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525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525" s="42" t="str">
        <f ca="1">IFERROR(__xludf.DUMMYFUNCTION("""COMPUTED_VALUE"""),"Porcentaje de población en situación de emergencia atendida, en 2023")</f>
        <v>Porcentaje de población en situación de emergencia atendida, en 2023</v>
      </c>
      <c r="H1525" s="42" t="str">
        <f ca="1">IFERROR(__xludf.DUMMYFUNCTION("""COMPUTED_VALUE"""),"AH NOVIEMBRE")</f>
        <v>AH NOVIEMBRE</v>
      </c>
      <c r="I1525" s="42" t="str">
        <f ca="1">IFERROR(__xludf.DUMMYFUNCTION("""COMPUTED_VALUE"""),"Noviembre")</f>
        <v>Noviembre</v>
      </c>
      <c r="J1525" s="42" t="str">
        <f ca="1">IFERROR(__xludf.DUMMYFUNCTION("""COMPUTED_VALUE"""),"AH")</f>
        <v>AH</v>
      </c>
      <c r="K1525" s="98"/>
      <c r="L1525" s="42" t="str">
        <f ca="1">IFERROR(__xludf.DUMMYFUNCTION("""COMPUTED_VALUE"""),"TRIMESTRE 4")</f>
        <v>TRIMESTRE 4</v>
      </c>
      <c r="M1525" s="42" t="str">
        <f ca="1">IFERROR(__xludf.DUMMYFUNCTION("""COMPUTED_VALUE"""),"ADOLESCENTES HOMBRES")</f>
        <v>ADOLESCENTES HOMBRES</v>
      </c>
    </row>
    <row r="1526" spans="1:13">
      <c r="A1526" s="42" t="str">
        <f ca="1">IFERROR(__xludf.DUMMYFUNCTION("""COMPUTED_VALUE"""),"2.1.2.0")</f>
        <v>2.1.2.0</v>
      </c>
      <c r="B1526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526" s="42" t="str">
        <f ca="1">IFERROR(__xludf.DUMMYFUNCTION("""COMPUTED_VALUE"""),"3. Operación")</f>
        <v>3. Operación</v>
      </c>
      <c r="D1526" s="42" t="str">
        <f ca="1">IFERROR(__xludf.DUMMYFUNCTION("""COMPUTED_VALUE"""),"Guadalajara en Paz")</f>
        <v>Guadalajara en Paz</v>
      </c>
      <c r="E1526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526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526" s="42" t="str">
        <f ca="1">IFERROR(__xludf.DUMMYFUNCTION("""COMPUTED_VALUE"""),"Porcentaje de población en situación de emergencia atendida, en 2023")</f>
        <v>Porcentaje de población en situación de emergencia atendida, en 2023</v>
      </c>
      <c r="H1526" s="42" t="str">
        <f ca="1">IFERROR(__xludf.DUMMYFUNCTION("""COMPUTED_VALUE"""),"MUJ Noviembre")</f>
        <v>MUJ Noviembre</v>
      </c>
      <c r="I1526" s="42" t="str">
        <f ca="1">IFERROR(__xludf.DUMMYFUNCTION("""COMPUTED_VALUE"""),"Noviembre")</f>
        <v>Noviembre</v>
      </c>
      <c r="J1526" s="42" t="str">
        <f ca="1">IFERROR(__xludf.DUMMYFUNCTION("""COMPUTED_VALUE"""),"MUJ")</f>
        <v>MUJ</v>
      </c>
      <c r="K1526" s="98"/>
      <c r="L1526" s="42" t="str">
        <f ca="1">IFERROR(__xludf.DUMMYFUNCTION("""COMPUTED_VALUE"""),"TRIMESTRE 4")</f>
        <v>TRIMESTRE 4</v>
      </c>
      <c r="M1526" s="42" t="str">
        <f ca="1">IFERROR(__xludf.DUMMYFUNCTION("""COMPUTED_VALUE"""),"MUJERES ADULTAS")</f>
        <v>MUJERES ADULTAS</v>
      </c>
    </row>
    <row r="1527" spans="1:13">
      <c r="A1527" s="42" t="str">
        <f ca="1">IFERROR(__xludf.DUMMYFUNCTION("""COMPUTED_VALUE"""),"2.1.2.0")</f>
        <v>2.1.2.0</v>
      </c>
      <c r="B1527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527" s="42" t="str">
        <f ca="1">IFERROR(__xludf.DUMMYFUNCTION("""COMPUTED_VALUE"""),"3. Operación")</f>
        <v>3. Operación</v>
      </c>
      <c r="D1527" s="42" t="str">
        <f ca="1">IFERROR(__xludf.DUMMYFUNCTION("""COMPUTED_VALUE"""),"Guadalajara en Paz")</f>
        <v>Guadalajara en Paz</v>
      </c>
      <c r="E1527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527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527" s="42" t="str">
        <f ca="1">IFERROR(__xludf.DUMMYFUNCTION("""COMPUTED_VALUE"""),"Porcentaje de población en situación de emergencia atendida, en 2023")</f>
        <v>Porcentaje de población en situación de emergencia atendida, en 2023</v>
      </c>
      <c r="H1527" s="42" t="str">
        <f ca="1">IFERROR(__xludf.DUMMYFUNCTION("""COMPUTED_VALUE"""),"HOM Noviembre")</f>
        <v>HOM Noviembre</v>
      </c>
      <c r="I1527" s="42" t="str">
        <f ca="1">IFERROR(__xludf.DUMMYFUNCTION("""COMPUTED_VALUE"""),"Noviembre")</f>
        <v>Noviembre</v>
      </c>
      <c r="J1527" s="42" t="str">
        <f ca="1">IFERROR(__xludf.DUMMYFUNCTION("""COMPUTED_VALUE"""),"HOM")</f>
        <v>HOM</v>
      </c>
      <c r="K1527" s="98"/>
      <c r="L1527" s="42" t="str">
        <f ca="1">IFERROR(__xludf.DUMMYFUNCTION("""COMPUTED_VALUE"""),"TRIMESTRE 4")</f>
        <v>TRIMESTRE 4</v>
      </c>
      <c r="M1527" s="42" t="str">
        <f ca="1">IFERROR(__xludf.DUMMYFUNCTION("""COMPUTED_VALUE"""),"HOMBRES ADULTOS")</f>
        <v>HOMBRES ADULTOS</v>
      </c>
    </row>
    <row r="1528" spans="1:13">
      <c r="A1528" s="42" t="str">
        <f ca="1">IFERROR(__xludf.DUMMYFUNCTION("""COMPUTED_VALUE"""),"2.1.2.0")</f>
        <v>2.1.2.0</v>
      </c>
      <c r="B1528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528" s="42" t="str">
        <f ca="1">IFERROR(__xludf.DUMMYFUNCTION("""COMPUTED_VALUE"""),"3. Operación")</f>
        <v>3. Operación</v>
      </c>
      <c r="D1528" s="42" t="str">
        <f ca="1">IFERROR(__xludf.DUMMYFUNCTION("""COMPUTED_VALUE"""),"Guadalajara en Paz")</f>
        <v>Guadalajara en Paz</v>
      </c>
      <c r="E1528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528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528" s="42" t="str">
        <f ca="1">IFERROR(__xludf.DUMMYFUNCTION("""COMPUTED_VALUE"""),"Porcentaje de población en situación de emergencia atendida, en 2023")</f>
        <v>Porcentaje de población en situación de emergencia atendida, en 2023</v>
      </c>
      <c r="H1528" s="42" t="str">
        <f ca="1">IFERROR(__xludf.DUMMYFUNCTION("""COMPUTED_VALUE"""),"AMM Noviembre")</f>
        <v>AMM Noviembre</v>
      </c>
      <c r="I1528" s="42" t="str">
        <f ca="1">IFERROR(__xludf.DUMMYFUNCTION("""COMPUTED_VALUE"""),"Noviembre")</f>
        <v>Noviembre</v>
      </c>
      <c r="J1528" s="42" t="str">
        <f ca="1">IFERROR(__xludf.DUMMYFUNCTION("""COMPUTED_VALUE"""),"AMM")</f>
        <v>AMM</v>
      </c>
      <c r="K1528" s="98"/>
      <c r="L1528" s="42" t="str">
        <f ca="1">IFERROR(__xludf.DUMMYFUNCTION("""COMPUTED_VALUE"""),"TRIMESTRE 4")</f>
        <v>TRIMESTRE 4</v>
      </c>
      <c r="M1528" s="42" t="str">
        <f ca="1">IFERROR(__xludf.DUMMYFUNCTION("""COMPUTED_VALUE"""),"ADULTA MAYOR MUJER")</f>
        <v>ADULTA MAYOR MUJER</v>
      </c>
    </row>
    <row r="1529" spans="1:13">
      <c r="A1529" s="42" t="str">
        <f ca="1">IFERROR(__xludf.DUMMYFUNCTION("""COMPUTED_VALUE"""),"2.1.2.0")</f>
        <v>2.1.2.0</v>
      </c>
      <c r="B1529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529" s="42" t="str">
        <f ca="1">IFERROR(__xludf.DUMMYFUNCTION("""COMPUTED_VALUE"""),"3. Operación")</f>
        <v>3. Operación</v>
      </c>
      <c r="D1529" s="42" t="str">
        <f ca="1">IFERROR(__xludf.DUMMYFUNCTION("""COMPUTED_VALUE"""),"Guadalajara en Paz")</f>
        <v>Guadalajara en Paz</v>
      </c>
      <c r="E1529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529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529" s="42" t="str">
        <f ca="1">IFERROR(__xludf.DUMMYFUNCTION("""COMPUTED_VALUE"""),"Porcentaje de población en situación de emergencia atendida, en 2023")</f>
        <v>Porcentaje de población en situación de emergencia atendida, en 2023</v>
      </c>
      <c r="H1529" s="42" t="str">
        <f ca="1">IFERROR(__xludf.DUMMYFUNCTION("""COMPUTED_VALUE"""),"AMH Noviembre")</f>
        <v>AMH Noviembre</v>
      </c>
      <c r="I1529" s="42" t="str">
        <f ca="1">IFERROR(__xludf.DUMMYFUNCTION("""COMPUTED_VALUE"""),"Noviembre")</f>
        <v>Noviembre</v>
      </c>
      <c r="J1529" s="42" t="str">
        <f ca="1">IFERROR(__xludf.DUMMYFUNCTION("""COMPUTED_VALUE"""),"AMH")</f>
        <v>AMH</v>
      </c>
      <c r="K1529" s="98"/>
      <c r="L1529" s="42" t="str">
        <f ca="1">IFERROR(__xludf.DUMMYFUNCTION("""COMPUTED_VALUE"""),"TRIMESTRE 4")</f>
        <v>TRIMESTRE 4</v>
      </c>
      <c r="M1529" s="42" t="str">
        <f ca="1">IFERROR(__xludf.DUMMYFUNCTION("""COMPUTED_VALUE"""),"ADULTO MAYOR HOMBRE")</f>
        <v>ADULTO MAYOR HOMBRE</v>
      </c>
    </row>
    <row r="1530" spans="1:13">
      <c r="A1530" s="42" t="str">
        <f ca="1">IFERROR(__xludf.DUMMYFUNCTION("""COMPUTED_VALUE"""),"2.1.2.0")</f>
        <v>2.1.2.0</v>
      </c>
      <c r="B1530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530" s="42" t="str">
        <f ca="1">IFERROR(__xludf.DUMMYFUNCTION("""COMPUTED_VALUE"""),"3. Operación")</f>
        <v>3. Operación</v>
      </c>
      <c r="D1530" s="42" t="str">
        <f ca="1">IFERROR(__xludf.DUMMYFUNCTION("""COMPUTED_VALUE"""),"Guadalajara en Paz")</f>
        <v>Guadalajara en Paz</v>
      </c>
      <c r="E1530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530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530" s="42" t="str">
        <f ca="1">IFERROR(__xludf.DUMMYFUNCTION("""COMPUTED_VALUE"""),"Porcentaje de población en situación de emergencia atendida, en 2023")</f>
        <v>Porcentaje de población en situación de emergencia atendida, en 2023</v>
      </c>
      <c r="H1530" s="42" t="str">
        <f ca="1">IFERROR(__xludf.DUMMYFUNCTION("""COMPUTED_VALUE"""),"NAS Diciembre")</f>
        <v>NAS Diciembre</v>
      </c>
      <c r="I1530" s="42" t="str">
        <f ca="1">IFERROR(__xludf.DUMMYFUNCTION("""COMPUTED_VALUE"""),"Diciembre")</f>
        <v>Diciembre</v>
      </c>
      <c r="J1530" s="42" t="str">
        <f ca="1">IFERROR(__xludf.DUMMYFUNCTION("""COMPUTED_VALUE"""),"NAS")</f>
        <v>NAS</v>
      </c>
      <c r="K1530" s="98"/>
      <c r="L1530" s="42" t="str">
        <f ca="1">IFERROR(__xludf.DUMMYFUNCTION("""COMPUTED_VALUE"""),"TRIMESTRE 4")</f>
        <v>TRIMESTRE 4</v>
      </c>
      <c r="M1530" s="42" t="str">
        <f ca="1">IFERROR(__xludf.DUMMYFUNCTION("""COMPUTED_VALUE"""),"NIÑAS")</f>
        <v>NIÑAS</v>
      </c>
    </row>
    <row r="1531" spans="1:13">
      <c r="A1531" s="42" t="str">
        <f ca="1">IFERROR(__xludf.DUMMYFUNCTION("""COMPUTED_VALUE"""),"2.1.2.0")</f>
        <v>2.1.2.0</v>
      </c>
      <c r="B1531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531" s="42" t="str">
        <f ca="1">IFERROR(__xludf.DUMMYFUNCTION("""COMPUTED_VALUE"""),"3. Operación")</f>
        <v>3. Operación</v>
      </c>
      <c r="D1531" s="42" t="str">
        <f ca="1">IFERROR(__xludf.DUMMYFUNCTION("""COMPUTED_VALUE"""),"Guadalajara en Paz")</f>
        <v>Guadalajara en Paz</v>
      </c>
      <c r="E1531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531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531" s="42" t="str">
        <f ca="1">IFERROR(__xludf.DUMMYFUNCTION("""COMPUTED_VALUE"""),"Porcentaje de población en situación de emergencia atendida, en 2023")</f>
        <v>Porcentaje de población en situación de emergencia atendida, en 2023</v>
      </c>
      <c r="H1531" s="42" t="str">
        <f ca="1">IFERROR(__xludf.DUMMYFUNCTION("""COMPUTED_VALUE"""),"NOS Diciembre")</f>
        <v>NOS Diciembre</v>
      </c>
      <c r="I1531" s="42" t="str">
        <f ca="1">IFERROR(__xludf.DUMMYFUNCTION("""COMPUTED_VALUE"""),"Diciembre")</f>
        <v>Diciembre</v>
      </c>
      <c r="J1531" s="42" t="str">
        <f ca="1">IFERROR(__xludf.DUMMYFUNCTION("""COMPUTED_VALUE"""),"NOS")</f>
        <v>NOS</v>
      </c>
      <c r="K1531" s="98"/>
      <c r="L1531" s="42" t="str">
        <f ca="1">IFERROR(__xludf.DUMMYFUNCTION("""COMPUTED_VALUE"""),"TRIMESTRE 4")</f>
        <v>TRIMESTRE 4</v>
      </c>
      <c r="M1531" s="42" t="str">
        <f ca="1">IFERROR(__xludf.DUMMYFUNCTION("""COMPUTED_VALUE"""),"NIÑOS")</f>
        <v>NIÑOS</v>
      </c>
    </row>
    <row r="1532" spans="1:13">
      <c r="A1532" s="42" t="str">
        <f ca="1">IFERROR(__xludf.DUMMYFUNCTION("""COMPUTED_VALUE"""),"2.1.2.0")</f>
        <v>2.1.2.0</v>
      </c>
      <c r="B1532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532" s="42" t="str">
        <f ca="1">IFERROR(__xludf.DUMMYFUNCTION("""COMPUTED_VALUE"""),"3. Operación")</f>
        <v>3. Operación</v>
      </c>
      <c r="D1532" s="42" t="str">
        <f ca="1">IFERROR(__xludf.DUMMYFUNCTION("""COMPUTED_VALUE"""),"Guadalajara en Paz")</f>
        <v>Guadalajara en Paz</v>
      </c>
      <c r="E1532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532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532" s="42" t="str">
        <f ca="1">IFERROR(__xludf.DUMMYFUNCTION("""COMPUTED_VALUE"""),"Porcentaje de población en situación de emergencia atendida, en 2023")</f>
        <v>Porcentaje de población en situación de emergencia atendida, en 2023</v>
      </c>
      <c r="H1532" s="42" t="str">
        <f ca="1">IFERROR(__xludf.DUMMYFUNCTION("""COMPUTED_VALUE"""),"AM DICIEMBRE")</f>
        <v>AM DICIEMBRE</v>
      </c>
      <c r="I1532" s="42" t="str">
        <f ca="1">IFERROR(__xludf.DUMMYFUNCTION("""COMPUTED_VALUE"""),"Diciembre")</f>
        <v>Diciembre</v>
      </c>
      <c r="J1532" s="42" t="str">
        <f ca="1">IFERROR(__xludf.DUMMYFUNCTION("""COMPUTED_VALUE"""),"AM")</f>
        <v>AM</v>
      </c>
      <c r="K1532" s="98"/>
      <c r="L1532" s="42" t="str">
        <f ca="1">IFERROR(__xludf.DUMMYFUNCTION("""COMPUTED_VALUE"""),"TRIMESTRE 4")</f>
        <v>TRIMESTRE 4</v>
      </c>
      <c r="M1532" s="42" t="str">
        <f ca="1">IFERROR(__xludf.DUMMYFUNCTION("""COMPUTED_VALUE"""),"ADOLESCENTES MUJERES")</f>
        <v>ADOLESCENTES MUJERES</v>
      </c>
    </row>
    <row r="1533" spans="1:13">
      <c r="A1533" s="42" t="str">
        <f ca="1">IFERROR(__xludf.DUMMYFUNCTION("""COMPUTED_VALUE"""),"2.1.2.0")</f>
        <v>2.1.2.0</v>
      </c>
      <c r="B1533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533" s="42" t="str">
        <f ca="1">IFERROR(__xludf.DUMMYFUNCTION("""COMPUTED_VALUE"""),"3. Operación")</f>
        <v>3. Operación</v>
      </c>
      <c r="D1533" s="42" t="str">
        <f ca="1">IFERROR(__xludf.DUMMYFUNCTION("""COMPUTED_VALUE"""),"Guadalajara en Paz")</f>
        <v>Guadalajara en Paz</v>
      </c>
      <c r="E1533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533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533" s="42" t="str">
        <f ca="1">IFERROR(__xludf.DUMMYFUNCTION("""COMPUTED_VALUE"""),"Porcentaje de población en situación de emergencia atendida, en 2023")</f>
        <v>Porcentaje de población en situación de emergencia atendida, en 2023</v>
      </c>
      <c r="H1533" s="42" t="str">
        <f ca="1">IFERROR(__xludf.DUMMYFUNCTION("""COMPUTED_VALUE"""),"AH DICIEMBRE")</f>
        <v>AH DICIEMBRE</v>
      </c>
      <c r="I1533" s="42" t="str">
        <f ca="1">IFERROR(__xludf.DUMMYFUNCTION("""COMPUTED_VALUE"""),"Diciembre")</f>
        <v>Diciembre</v>
      </c>
      <c r="J1533" s="42" t="str">
        <f ca="1">IFERROR(__xludf.DUMMYFUNCTION("""COMPUTED_VALUE"""),"AH")</f>
        <v>AH</v>
      </c>
      <c r="K1533" s="98"/>
      <c r="L1533" s="42" t="str">
        <f ca="1">IFERROR(__xludf.DUMMYFUNCTION("""COMPUTED_VALUE"""),"TRIMESTRE 4")</f>
        <v>TRIMESTRE 4</v>
      </c>
      <c r="M1533" s="42" t="str">
        <f ca="1">IFERROR(__xludf.DUMMYFUNCTION("""COMPUTED_VALUE"""),"ADOLESCENTES HOMBRES")</f>
        <v>ADOLESCENTES HOMBRES</v>
      </c>
    </row>
    <row r="1534" spans="1:13">
      <c r="A1534" s="42" t="str">
        <f ca="1">IFERROR(__xludf.DUMMYFUNCTION("""COMPUTED_VALUE"""),"2.1.2.0")</f>
        <v>2.1.2.0</v>
      </c>
      <c r="B1534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534" s="42" t="str">
        <f ca="1">IFERROR(__xludf.DUMMYFUNCTION("""COMPUTED_VALUE"""),"3. Operación")</f>
        <v>3. Operación</v>
      </c>
      <c r="D1534" s="42" t="str">
        <f ca="1">IFERROR(__xludf.DUMMYFUNCTION("""COMPUTED_VALUE"""),"Guadalajara en Paz")</f>
        <v>Guadalajara en Paz</v>
      </c>
      <c r="E1534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534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534" s="42" t="str">
        <f ca="1">IFERROR(__xludf.DUMMYFUNCTION("""COMPUTED_VALUE"""),"Porcentaje de población en situación de emergencia atendida, en 2023")</f>
        <v>Porcentaje de población en situación de emergencia atendida, en 2023</v>
      </c>
      <c r="H1534" s="42" t="str">
        <f ca="1">IFERROR(__xludf.DUMMYFUNCTION("""COMPUTED_VALUE"""),"MUJ Diciembre")</f>
        <v>MUJ Diciembre</v>
      </c>
      <c r="I1534" s="42" t="str">
        <f ca="1">IFERROR(__xludf.DUMMYFUNCTION("""COMPUTED_VALUE"""),"Diciembre")</f>
        <v>Diciembre</v>
      </c>
      <c r="J1534" s="42" t="str">
        <f ca="1">IFERROR(__xludf.DUMMYFUNCTION("""COMPUTED_VALUE"""),"MUJ")</f>
        <v>MUJ</v>
      </c>
      <c r="K1534" s="98"/>
      <c r="L1534" s="42" t="str">
        <f ca="1">IFERROR(__xludf.DUMMYFUNCTION("""COMPUTED_VALUE"""),"TRIMESTRE 4")</f>
        <v>TRIMESTRE 4</v>
      </c>
      <c r="M1534" s="42" t="str">
        <f ca="1">IFERROR(__xludf.DUMMYFUNCTION("""COMPUTED_VALUE"""),"MUJERES ADULTAS")</f>
        <v>MUJERES ADULTAS</v>
      </c>
    </row>
    <row r="1535" spans="1:13">
      <c r="A1535" s="42" t="str">
        <f ca="1">IFERROR(__xludf.DUMMYFUNCTION("""COMPUTED_VALUE"""),"2.1.2.0")</f>
        <v>2.1.2.0</v>
      </c>
      <c r="B1535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535" s="42" t="str">
        <f ca="1">IFERROR(__xludf.DUMMYFUNCTION("""COMPUTED_VALUE"""),"3. Operación")</f>
        <v>3. Operación</v>
      </c>
      <c r="D1535" s="42" t="str">
        <f ca="1">IFERROR(__xludf.DUMMYFUNCTION("""COMPUTED_VALUE"""),"Guadalajara en Paz")</f>
        <v>Guadalajara en Paz</v>
      </c>
      <c r="E1535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535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535" s="42" t="str">
        <f ca="1">IFERROR(__xludf.DUMMYFUNCTION("""COMPUTED_VALUE"""),"Porcentaje de población en situación de emergencia atendida, en 2023")</f>
        <v>Porcentaje de población en situación de emergencia atendida, en 2023</v>
      </c>
      <c r="H1535" s="42" t="str">
        <f ca="1">IFERROR(__xludf.DUMMYFUNCTION("""COMPUTED_VALUE"""),"HOM Diciembre")</f>
        <v>HOM Diciembre</v>
      </c>
      <c r="I1535" s="42" t="str">
        <f ca="1">IFERROR(__xludf.DUMMYFUNCTION("""COMPUTED_VALUE"""),"Diciembre")</f>
        <v>Diciembre</v>
      </c>
      <c r="J1535" s="42" t="str">
        <f ca="1">IFERROR(__xludf.DUMMYFUNCTION("""COMPUTED_VALUE"""),"HOM")</f>
        <v>HOM</v>
      </c>
      <c r="K1535" s="98"/>
      <c r="L1535" s="42" t="str">
        <f ca="1">IFERROR(__xludf.DUMMYFUNCTION("""COMPUTED_VALUE"""),"TRIMESTRE 4")</f>
        <v>TRIMESTRE 4</v>
      </c>
      <c r="M1535" s="42" t="str">
        <f ca="1">IFERROR(__xludf.DUMMYFUNCTION("""COMPUTED_VALUE"""),"HOMBRES ADULTOS")</f>
        <v>HOMBRES ADULTOS</v>
      </c>
    </row>
    <row r="1536" spans="1:13">
      <c r="A1536" s="42" t="str">
        <f ca="1">IFERROR(__xludf.DUMMYFUNCTION("""COMPUTED_VALUE"""),"2.1.2.0")</f>
        <v>2.1.2.0</v>
      </c>
      <c r="B1536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536" s="42" t="str">
        <f ca="1">IFERROR(__xludf.DUMMYFUNCTION("""COMPUTED_VALUE"""),"3. Operación")</f>
        <v>3. Operación</v>
      </c>
      <c r="D1536" s="42" t="str">
        <f ca="1">IFERROR(__xludf.DUMMYFUNCTION("""COMPUTED_VALUE"""),"Guadalajara en Paz")</f>
        <v>Guadalajara en Paz</v>
      </c>
      <c r="E1536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536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536" s="42" t="str">
        <f ca="1">IFERROR(__xludf.DUMMYFUNCTION("""COMPUTED_VALUE"""),"Porcentaje de población en situación de emergencia atendida, en 2023")</f>
        <v>Porcentaje de población en situación de emergencia atendida, en 2023</v>
      </c>
      <c r="H1536" s="42" t="str">
        <f ca="1">IFERROR(__xludf.DUMMYFUNCTION("""COMPUTED_VALUE"""),"AMM Diciembre")</f>
        <v>AMM Diciembre</v>
      </c>
      <c r="I1536" s="42" t="str">
        <f ca="1">IFERROR(__xludf.DUMMYFUNCTION("""COMPUTED_VALUE"""),"Diciembre")</f>
        <v>Diciembre</v>
      </c>
      <c r="J1536" s="42" t="str">
        <f ca="1">IFERROR(__xludf.DUMMYFUNCTION("""COMPUTED_VALUE"""),"AMM")</f>
        <v>AMM</v>
      </c>
      <c r="K1536" s="98"/>
      <c r="L1536" s="42" t="str">
        <f ca="1">IFERROR(__xludf.DUMMYFUNCTION("""COMPUTED_VALUE"""),"TRIMESTRE 4")</f>
        <v>TRIMESTRE 4</v>
      </c>
      <c r="M1536" s="42" t="str">
        <f ca="1">IFERROR(__xludf.DUMMYFUNCTION("""COMPUTED_VALUE"""),"ADULTA MAYOR MUJER")</f>
        <v>ADULTA MAYOR MUJER</v>
      </c>
    </row>
    <row r="1537" spans="1:13">
      <c r="A1537" s="42" t="str">
        <f ca="1">IFERROR(__xludf.DUMMYFUNCTION("""COMPUTED_VALUE"""),"2.1.2.0")</f>
        <v>2.1.2.0</v>
      </c>
      <c r="B1537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537" s="42" t="str">
        <f ca="1">IFERROR(__xludf.DUMMYFUNCTION("""COMPUTED_VALUE"""),"3. Operación")</f>
        <v>3. Operación</v>
      </c>
      <c r="D1537" s="42" t="str">
        <f ca="1">IFERROR(__xludf.DUMMYFUNCTION("""COMPUTED_VALUE"""),"Guadalajara en Paz")</f>
        <v>Guadalajara en Paz</v>
      </c>
      <c r="E1537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537" s="42" t="str">
        <f ca="1">IFERROR(__xludf.DUMMYFUNCTION("""COMPUTED_VALUE"""),"C2. Apoyo asistenciales entregados a población en situación de emergencia ")</f>
        <v xml:space="preserve">C2. Apoyo asistenciales entregados a población en situación de emergencia </v>
      </c>
      <c r="G1537" s="42" t="str">
        <f ca="1">IFERROR(__xludf.DUMMYFUNCTION("""COMPUTED_VALUE"""),"Porcentaje de población en situación de emergencia atendida, en 2023")</f>
        <v>Porcentaje de población en situación de emergencia atendida, en 2023</v>
      </c>
      <c r="H1537" s="42" t="str">
        <f ca="1">IFERROR(__xludf.DUMMYFUNCTION("""COMPUTED_VALUE"""),"AMH Diciembre")</f>
        <v>AMH Diciembre</v>
      </c>
      <c r="I1537" s="42" t="str">
        <f ca="1">IFERROR(__xludf.DUMMYFUNCTION("""COMPUTED_VALUE"""),"Diciembre")</f>
        <v>Diciembre</v>
      </c>
      <c r="J1537" s="42" t="str">
        <f ca="1">IFERROR(__xludf.DUMMYFUNCTION("""COMPUTED_VALUE"""),"AMH")</f>
        <v>AMH</v>
      </c>
      <c r="K1537" s="98"/>
      <c r="L1537" s="42" t="str">
        <f ca="1">IFERROR(__xludf.DUMMYFUNCTION("""COMPUTED_VALUE"""),"TRIMESTRE 4")</f>
        <v>TRIMESTRE 4</v>
      </c>
      <c r="M1537" s="42" t="str">
        <f ca="1">IFERROR(__xludf.DUMMYFUNCTION("""COMPUTED_VALUE"""),"ADULTO MAYOR HOMBRE")</f>
        <v>ADULTO MAYOR HOMBRE</v>
      </c>
    </row>
    <row r="1538" spans="1:13">
      <c r="A1538" s="42" t="str">
        <f ca="1">IFERROR(__xludf.DUMMYFUNCTION("""COMPUTED_VALUE"""),"2.1.1.2")</f>
        <v>2.1.1.2</v>
      </c>
      <c r="B1538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1538" s="42" t="str">
        <f ca="1">IFERROR(__xludf.DUMMYFUNCTION("""COMPUTED_VALUE"""),"3. Operación")</f>
        <v>3. Operación</v>
      </c>
      <c r="D1538" s="42" t="str">
        <f ca="1">IFERROR(__xludf.DUMMYFUNCTION("""COMPUTED_VALUE"""),"Guadalajara en Paz")</f>
        <v>Guadalajara en Paz</v>
      </c>
      <c r="E1538" s="42" t="str">
        <f ca="1">IFERROR(__xludf.DUMMYFUNCTION("""COMPUTED_VALUE"""),"Trabajo Social Asistencial")</f>
        <v>Trabajo Social Asistencial</v>
      </c>
      <c r="F1538" s="42" t="str">
        <f ca="1">IFERROR(__xludf.DUMMYFUNCTION("""COMPUTED_VALUE"""),"A2C1. Expediente integrados para la atención a la población vulnerable de Guadalajara")</f>
        <v>A2C1. Expediente integrados para la atención a la población vulnerable de Guadalajara</v>
      </c>
      <c r="G1538" s="42" t="str">
        <f ca="1">IFERROR(__xludf.DUMMYFUNCTION("""COMPUTED_VALUE"""),"Porcentaje de expedientes completos para la atención a las necesidades a la población vulnerable en 2023")</f>
        <v>Porcentaje de expedientes completos para la atención a las necesidades a la población vulnerable en 2023</v>
      </c>
      <c r="H1538" s="42" t="str">
        <f ca="1">IFERROR(__xludf.DUMMYFUNCTION("""COMPUTED_VALUE"""),"Servicio")</f>
        <v>Servicio</v>
      </c>
      <c r="I1538" s="42" t="str">
        <f ca="1">IFERROR(__xludf.DUMMYFUNCTION("""COMPUTED_VALUE"""),"Enero")</f>
        <v>Enero</v>
      </c>
      <c r="J1538" s="42" t="str">
        <f ca="1">IFERROR(__xludf.DUMMYFUNCTION("""COMPUTED_VALUE"""),"N/A")</f>
        <v>N/A</v>
      </c>
      <c r="K1538" s="98">
        <f ca="1">IFERROR(__xludf.DUMMYFUNCTION("""COMPUTED_VALUE"""),50)</f>
        <v>50</v>
      </c>
      <c r="L1538" s="42" t="str">
        <f ca="1">IFERROR(__xludf.DUMMYFUNCTION("""COMPUTED_VALUE"""),"TRIMESTRE 1")</f>
        <v>TRIMESTRE 1</v>
      </c>
      <c r="M1538" s="42" t="str">
        <f ca="1">IFERROR(__xludf.DUMMYFUNCTION("""COMPUTED_VALUE"""),"SERVICIOS")</f>
        <v>SERVICIOS</v>
      </c>
    </row>
    <row r="1539" spans="1:13">
      <c r="A1539" s="42" t="str">
        <f ca="1">IFERROR(__xludf.DUMMYFUNCTION("""COMPUTED_VALUE"""),"2.1.1.2")</f>
        <v>2.1.1.2</v>
      </c>
      <c r="B1539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1539" s="42" t="str">
        <f ca="1">IFERROR(__xludf.DUMMYFUNCTION("""COMPUTED_VALUE"""),"3. Operación")</f>
        <v>3. Operación</v>
      </c>
      <c r="D1539" s="42" t="str">
        <f ca="1">IFERROR(__xludf.DUMMYFUNCTION("""COMPUTED_VALUE"""),"Guadalajara en Paz")</f>
        <v>Guadalajara en Paz</v>
      </c>
      <c r="E1539" s="42" t="str">
        <f ca="1">IFERROR(__xludf.DUMMYFUNCTION("""COMPUTED_VALUE"""),"Trabajo Social Asistencial")</f>
        <v>Trabajo Social Asistencial</v>
      </c>
      <c r="F1539" s="42" t="str">
        <f ca="1">IFERROR(__xludf.DUMMYFUNCTION("""COMPUTED_VALUE"""),"A2C1. Expediente integrados para la atención a la población vulnerable de Guadalajara")</f>
        <v>A2C1. Expediente integrados para la atención a la población vulnerable de Guadalajara</v>
      </c>
      <c r="G1539" s="42" t="str">
        <f ca="1">IFERROR(__xludf.DUMMYFUNCTION("""COMPUTED_VALUE"""),"Porcentaje de expedientes completos para la atención a las necesidades a la población vulnerable en 2023")</f>
        <v>Porcentaje de expedientes completos para la atención a las necesidades a la población vulnerable en 2023</v>
      </c>
      <c r="H1539" s="42" t="str">
        <f ca="1">IFERROR(__xludf.DUMMYFUNCTION("""COMPUTED_VALUE"""),"Servicio")</f>
        <v>Servicio</v>
      </c>
      <c r="I1539" s="42" t="str">
        <f ca="1">IFERROR(__xludf.DUMMYFUNCTION("""COMPUTED_VALUE"""),"Febrero")</f>
        <v>Febrero</v>
      </c>
      <c r="J1539" s="42" t="str">
        <f ca="1">IFERROR(__xludf.DUMMYFUNCTION("""COMPUTED_VALUE"""),"N/A")</f>
        <v>N/A</v>
      </c>
      <c r="K1539" s="98">
        <f ca="1">IFERROR(__xludf.DUMMYFUNCTION("""COMPUTED_VALUE"""),48)</f>
        <v>48</v>
      </c>
      <c r="L1539" s="42" t="str">
        <f ca="1">IFERROR(__xludf.DUMMYFUNCTION("""COMPUTED_VALUE"""),"TRIMESTRE 1")</f>
        <v>TRIMESTRE 1</v>
      </c>
      <c r="M1539" s="42" t="str">
        <f ca="1">IFERROR(__xludf.DUMMYFUNCTION("""COMPUTED_VALUE"""),"SERVICIOS")</f>
        <v>SERVICIOS</v>
      </c>
    </row>
    <row r="1540" spans="1:13">
      <c r="A1540" s="42" t="str">
        <f ca="1">IFERROR(__xludf.DUMMYFUNCTION("""COMPUTED_VALUE"""),"2.1.1.2")</f>
        <v>2.1.1.2</v>
      </c>
      <c r="B1540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1540" s="42" t="str">
        <f ca="1">IFERROR(__xludf.DUMMYFUNCTION("""COMPUTED_VALUE"""),"3. Operación")</f>
        <v>3. Operación</v>
      </c>
      <c r="D1540" s="42" t="str">
        <f ca="1">IFERROR(__xludf.DUMMYFUNCTION("""COMPUTED_VALUE"""),"Guadalajara en Paz")</f>
        <v>Guadalajara en Paz</v>
      </c>
      <c r="E1540" s="42" t="str">
        <f ca="1">IFERROR(__xludf.DUMMYFUNCTION("""COMPUTED_VALUE"""),"Trabajo Social Asistencial")</f>
        <v>Trabajo Social Asistencial</v>
      </c>
      <c r="F1540" s="42" t="str">
        <f ca="1">IFERROR(__xludf.DUMMYFUNCTION("""COMPUTED_VALUE"""),"A2C1. Expediente integrados para la atención a la población vulnerable de Guadalajara")</f>
        <v>A2C1. Expediente integrados para la atención a la población vulnerable de Guadalajara</v>
      </c>
      <c r="G1540" s="42" t="str">
        <f ca="1">IFERROR(__xludf.DUMMYFUNCTION("""COMPUTED_VALUE"""),"Porcentaje de expedientes completos para la atención a las necesidades a la población vulnerable en 2023")</f>
        <v>Porcentaje de expedientes completos para la atención a las necesidades a la población vulnerable en 2023</v>
      </c>
      <c r="H1540" s="42" t="str">
        <f ca="1">IFERROR(__xludf.DUMMYFUNCTION("""COMPUTED_VALUE"""),"Servicio")</f>
        <v>Servicio</v>
      </c>
      <c r="I1540" s="42" t="str">
        <f ca="1">IFERROR(__xludf.DUMMYFUNCTION("""COMPUTED_VALUE"""),"Marzo")</f>
        <v>Marzo</v>
      </c>
      <c r="J1540" s="42" t="str">
        <f ca="1">IFERROR(__xludf.DUMMYFUNCTION("""COMPUTED_VALUE"""),"N/A")</f>
        <v>N/A</v>
      </c>
      <c r="K1540" s="98">
        <f ca="1">IFERROR(__xludf.DUMMYFUNCTION("""COMPUTED_VALUE"""),55)</f>
        <v>55</v>
      </c>
      <c r="L1540" s="42" t="str">
        <f ca="1">IFERROR(__xludf.DUMMYFUNCTION("""COMPUTED_VALUE"""),"TRIMESTRE 1")</f>
        <v>TRIMESTRE 1</v>
      </c>
      <c r="M1540" s="42" t="str">
        <f ca="1">IFERROR(__xludf.DUMMYFUNCTION("""COMPUTED_VALUE"""),"SERVICIOS")</f>
        <v>SERVICIOS</v>
      </c>
    </row>
    <row r="1541" spans="1:13">
      <c r="A1541" s="42" t="str">
        <f ca="1">IFERROR(__xludf.DUMMYFUNCTION("""COMPUTED_VALUE"""),"2.1.1.2")</f>
        <v>2.1.1.2</v>
      </c>
      <c r="B1541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1541" s="42" t="str">
        <f ca="1">IFERROR(__xludf.DUMMYFUNCTION("""COMPUTED_VALUE"""),"3. Operación")</f>
        <v>3. Operación</v>
      </c>
      <c r="D1541" s="42" t="str">
        <f ca="1">IFERROR(__xludf.DUMMYFUNCTION("""COMPUTED_VALUE"""),"Guadalajara en Paz")</f>
        <v>Guadalajara en Paz</v>
      </c>
      <c r="E1541" s="42" t="str">
        <f ca="1">IFERROR(__xludf.DUMMYFUNCTION("""COMPUTED_VALUE"""),"Trabajo Social Asistencial")</f>
        <v>Trabajo Social Asistencial</v>
      </c>
      <c r="F1541" s="42" t="str">
        <f ca="1">IFERROR(__xludf.DUMMYFUNCTION("""COMPUTED_VALUE"""),"A2C1. Expediente integrados para la atención a la población vulnerable de Guadalajara")</f>
        <v>A2C1. Expediente integrados para la atención a la población vulnerable de Guadalajara</v>
      </c>
      <c r="G1541" s="42" t="str">
        <f ca="1">IFERROR(__xludf.DUMMYFUNCTION("""COMPUTED_VALUE"""),"Porcentaje de expedientes completos para la atención a las necesidades a la población vulnerable en 2023")</f>
        <v>Porcentaje de expedientes completos para la atención a las necesidades a la población vulnerable en 2023</v>
      </c>
      <c r="H1541" s="42" t="str">
        <f ca="1">IFERROR(__xludf.DUMMYFUNCTION("""COMPUTED_VALUE"""),"Servicio")</f>
        <v>Servicio</v>
      </c>
      <c r="I1541" s="42" t="str">
        <f ca="1">IFERROR(__xludf.DUMMYFUNCTION("""COMPUTED_VALUE"""),"Abril")</f>
        <v>Abril</v>
      </c>
      <c r="J1541" s="42" t="str">
        <f ca="1">IFERROR(__xludf.DUMMYFUNCTION("""COMPUTED_VALUE"""),"N/A")</f>
        <v>N/A</v>
      </c>
      <c r="K1541" s="98">
        <f ca="1">IFERROR(__xludf.DUMMYFUNCTION("""COMPUTED_VALUE"""),13)</f>
        <v>13</v>
      </c>
      <c r="L1541" s="42" t="str">
        <f ca="1">IFERROR(__xludf.DUMMYFUNCTION("""COMPUTED_VALUE"""),"TRIMESTRE 2")</f>
        <v>TRIMESTRE 2</v>
      </c>
      <c r="M1541" s="42" t="str">
        <f ca="1">IFERROR(__xludf.DUMMYFUNCTION("""COMPUTED_VALUE"""),"SERVICIOS")</f>
        <v>SERVICIOS</v>
      </c>
    </row>
    <row r="1542" spans="1:13">
      <c r="A1542" s="42" t="str">
        <f ca="1">IFERROR(__xludf.DUMMYFUNCTION("""COMPUTED_VALUE"""),"2.1.1.2")</f>
        <v>2.1.1.2</v>
      </c>
      <c r="B1542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1542" s="42" t="str">
        <f ca="1">IFERROR(__xludf.DUMMYFUNCTION("""COMPUTED_VALUE"""),"3. Operación")</f>
        <v>3. Operación</v>
      </c>
      <c r="D1542" s="42" t="str">
        <f ca="1">IFERROR(__xludf.DUMMYFUNCTION("""COMPUTED_VALUE"""),"Guadalajara en Paz")</f>
        <v>Guadalajara en Paz</v>
      </c>
      <c r="E1542" s="42" t="str">
        <f ca="1">IFERROR(__xludf.DUMMYFUNCTION("""COMPUTED_VALUE"""),"Trabajo Social Asistencial")</f>
        <v>Trabajo Social Asistencial</v>
      </c>
      <c r="F1542" s="42" t="str">
        <f ca="1">IFERROR(__xludf.DUMMYFUNCTION("""COMPUTED_VALUE"""),"A2C1. Expediente integrados para la atención a la población vulnerable de Guadalajara")</f>
        <v>A2C1. Expediente integrados para la atención a la población vulnerable de Guadalajara</v>
      </c>
      <c r="G1542" s="42" t="str">
        <f ca="1">IFERROR(__xludf.DUMMYFUNCTION("""COMPUTED_VALUE"""),"Porcentaje de expedientes completos para la atención a las necesidades a la población vulnerable en 2023")</f>
        <v>Porcentaje de expedientes completos para la atención a las necesidades a la población vulnerable en 2023</v>
      </c>
      <c r="H1542" s="42" t="str">
        <f ca="1">IFERROR(__xludf.DUMMYFUNCTION("""COMPUTED_VALUE"""),"Servicio")</f>
        <v>Servicio</v>
      </c>
      <c r="I1542" s="42" t="str">
        <f ca="1">IFERROR(__xludf.DUMMYFUNCTION("""COMPUTED_VALUE"""),"Mayo")</f>
        <v>Mayo</v>
      </c>
      <c r="J1542" s="42" t="str">
        <f ca="1">IFERROR(__xludf.DUMMYFUNCTION("""COMPUTED_VALUE"""),"N/A")</f>
        <v>N/A</v>
      </c>
      <c r="K1542" s="98">
        <f ca="1">IFERROR(__xludf.DUMMYFUNCTION("""COMPUTED_VALUE"""),46)</f>
        <v>46</v>
      </c>
      <c r="L1542" s="42" t="str">
        <f ca="1">IFERROR(__xludf.DUMMYFUNCTION("""COMPUTED_VALUE"""),"TRIMESTRE 2")</f>
        <v>TRIMESTRE 2</v>
      </c>
      <c r="M1542" s="42" t="str">
        <f ca="1">IFERROR(__xludf.DUMMYFUNCTION("""COMPUTED_VALUE"""),"SERVICIOS")</f>
        <v>SERVICIOS</v>
      </c>
    </row>
    <row r="1543" spans="1:13">
      <c r="A1543" s="42" t="str">
        <f ca="1">IFERROR(__xludf.DUMMYFUNCTION("""COMPUTED_VALUE"""),"2.1.1.2")</f>
        <v>2.1.1.2</v>
      </c>
      <c r="B1543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1543" s="42" t="str">
        <f ca="1">IFERROR(__xludf.DUMMYFUNCTION("""COMPUTED_VALUE"""),"3. Operación")</f>
        <v>3. Operación</v>
      </c>
      <c r="D1543" s="42" t="str">
        <f ca="1">IFERROR(__xludf.DUMMYFUNCTION("""COMPUTED_VALUE"""),"Guadalajara en Paz")</f>
        <v>Guadalajara en Paz</v>
      </c>
      <c r="E1543" s="42" t="str">
        <f ca="1">IFERROR(__xludf.DUMMYFUNCTION("""COMPUTED_VALUE"""),"Trabajo Social Asistencial")</f>
        <v>Trabajo Social Asistencial</v>
      </c>
      <c r="F1543" s="42" t="str">
        <f ca="1">IFERROR(__xludf.DUMMYFUNCTION("""COMPUTED_VALUE"""),"A2C1. Expediente integrados para la atención a la población vulnerable de Guadalajara")</f>
        <v>A2C1. Expediente integrados para la atención a la población vulnerable de Guadalajara</v>
      </c>
      <c r="G1543" s="42" t="str">
        <f ca="1">IFERROR(__xludf.DUMMYFUNCTION("""COMPUTED_VALUE"""),"Porcentaje de expedientes completos para la atención a las necesidades a la población vulnerable en 2023")</f>
        <v>Porcentaje de expedientes completos para la atención a las necesidades a la población vulnerable en 2023</v>
      </c>
      <c r="H1543" s="42" t="str">
        <f ca="1">IFERROR(__xludf.DUMMYFUNCTION("""COMPUTED_VALUE"""),"Servicio")</f>
        <v>Servicio</v>
      </c>
      <c r="I1543" s="42" t="str">
        <f ca="1">IFERROR(__xludf.DUMMYFUNCTION("""COMPUTED_VALUE"""),"Junio")</f>
        <v>Junio</v>
      </c>
      <c r="J1543" s="42" t="str">
        <f ca="1">IFERROR(__xludf.DUMMYFUNCTION("""COMPUTED_VALUE"""),"N/A")</f>
        <v>N/A</v>
      </c>
      <c r="K1543" s="98">
        <f ca="1">IFERROR(__xludf.DUMMYFUNCTION("""COMPUTED_VALUE"""),44)</f>
        <v>44</v>
      </c>
      <c r="L1543" s="42" t="str">
        <f ca="1">IFERROR(__xludf.DUMMYFUNCTION("""COMPUTED_VALUE"""),"TRIMESTRE 2")</f>
        <v>TRIMESTRE 2</v>
      </c>
      <c r="M1543" s="42" t="str">
        <f ca="1">IFERROR(__xludf.DUMMYFUNCTION("""COMPUTED_VALUE"""),"SERVICIOS")</f>
        <v>SERVICIOS</v>
      </c>
    </row>
    <row r="1544" spans="1:13">
      <c r="A1544" s="42" t="str">
        <f ca="1">IFERROR(__xludf.DUMMYFUNCTION("""COMPUTED_VALUE"""),"2.1.1.2")</f>
        <v>2.1.1.2</v>
      </c>
      <c r="B1544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1544" s="42" t="str">
        <f ca="1">IFERROR(__xludf.DUMMYFUNCTION("""COMPUTED_VALUE"""),"3. Operación")</f>
        <v>3. Operación</v>
      </c>
      <c r="D1544" s="42" t="str">
        <f ca="1">IFERROR(__xludf.DUMMYFUNCTION("""COMPUTED_VALUE"""),"Guadalajara en Paz")</f>
        <v>Guadalajara en Paz</v>
      </c>
      <c r="E1544" s="42" t="str">
        <f ca="1">IFERROR(__xludf.DUMMYFUNCTION("""COMPUTED_VALUE"""),"Trabajo Social Asistencial")</f>
        <v>Trabajo Social Asistencial</v>
      </c>
      <c r="F1544" s="42" t="str">
        <f ca="1">IFERROR(__xludf.DUMMYFUNCTION("""COMPUTED_VALUE"""),"A2C1. Expediente integrados para la atención a la población vulnerable de Guadalajara")</f>
        <v>A2C1. Expediente integrados para la atención a la población vulnerable de Guadalajara</v>
      </c>
      <c r="G1544" s="42" t="str">
        <f ca="1">IFERROR(__xludf.DUMMYFUNCTION("""COMPUTED_VALUE"""),"Porcentaje de expedientes completos para la atención a las necesidades a la población vulnerable en 2023")</f>
        <v>Porcentaje de expedientes completos para la atención a las necesidades a la población vulnerable en 2023</v>
      </c>
      <c r="H1544" s="42" t="str">
        <f ca="1">IFERROR(__xludf.DUMMYFUNCTION("""COMPUTED_VALUE"""),"Servicio")</f>
        <v>Servicio</v>
      </c>
      <c r="I1544" s="42" t="str">
        <f ca="1">IFERROR(__xludf.DUMMYFUNCTION("""COMPUTED_VALUE"""),"Julio")</f>
        <v>Julio</v>
      </c>
      <c r="J1544" s="42" t="str">
        <f ca="1">IFERROR(__xludf.DUMMYFUNCTION("""COMPUTED_VALUE"""),"N/A")</f>
        <v>N/A</v>
      </c>
      <c r="K1544" s="98">
        <f ca="1">IFERROR(__xludf.DUMMYFUNCTION("""COMPUTED_VALUE"""),715)</f>
        <v>715</v>
      </c>
      <c r="L1544" s="42" t="str">
        <f ca="1">IFERROR(__xludf.DUMMYFUNCTION("""COMPUTED_VALUE"""),"TRIMESTRE 3")</f>
        <v>TRIMESTRE 3</v>
      </c>
      <c r="M1544" s="42" t="str">
        <f ca="1">IFERROR(__xludf.DUMMYFUNCTION("""COMPUTED_VALUE"""),"SERVICIOS")</f>
        <v>SERVICIOS</v>
      </c>
    </row>
    <row r="1545" spans="1:13">
      <c r="A1545" s="42" t="str">
        <f ca="1">IFERROR(__xludf.DUMMYFUNCTION("""COMPUTED_VALUE"""),"2.1.1.2")</f>
        <v>2.1.1.2</v>
      </c>
      <c r="B1545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1545" s="42" t="str">
        <f ca="1">IFERROR(__xludf.DUMMYFUNCTION("""COMPUTED_VALUE"""),"3. Operación")</f>
        <v>3. Operación</v>
      </c>
      <c r="D1545" s="42" t="str">
        <f ca="1">IFERROR(__xludf.DUMMYFUNCTION("""COMPUTED_VALUE"""),"Guadalajara en Paz")</f>
        <v>Guadalajara en Paz</v>
      </c>
      <c r="E1545" s="42" t="str">
        <f ca="1">IFERROR(__xludf.DUMMYFUNCTION("""COMPUTED_VALUE"""),"Trabajo Social Asistencial")</f>
        <v>Trabajo Social Asistencial</v>
      </c>
      <c r="F1545" s="42" t="str">
        <f ca="1">IFERROR(__xludf.DUMMYFUNCTION("""COMPUTED_VALUE"""),"A2C1. Expediente integrados para la atención a la población vulnerable de Guadalajara")</f>
        <v>A2C1. Expediente integrados para la atención a la población vulnerable de Guadalajara</v>
      </c>
      <c r="G1545" s="42" t="str">
        <f ca="1">IFERROR(__xludf.DUMMYFUNCTION("""COMPUTED_VALUE"""),"Porcentaje de expedientes completos para la atención a las necesidades a la población vulnerable en 2023")</f>
        <v>Porcentaje de expedientes completos para la atención a las necesidades a la población vulnerable en 2023</v>
      </c>
      <c r="H1545" s="42" t="str">
        <f ca="1">IFERROR(__xludf.DUMMYFUNCTION("""COMPUTED_VALUE"""),"Servicio")</f>
        <v>Servicio</v>
      </c>
      <c r="I1545" s="42" t="str">
        <f ca="1">IFERROR(__xludf.DUMMYFUNCTION("""COMPUTED_VALUE"""),"Agosto")</f>
        <v>Agosto</v>
      </c>
      <c r="J1545" s="42" t="str">
        <f ca="1">IFERROR(__xludf.DUMMYFUNCTION("""COMPUTED_VALUE"""),"N/A")</f>
        <v>N/A</v>
      </c>
      <c r="K1545" s="98">
        <f ca="1">IFERROR(__xludf.DUMMYFUNCTION("""COMPUTED_VALUE"""),77)</f>
        <v>77</v>
      </c>
      <c r="L1545" s="42" t="str">
        <f ca="1">IFERROR(__xludf.DUMMYFUNCTION("""COMPUTED_VALUE"""),"TRIMESTRE 3")</f>
        <v>TRIMESTRE 3</v>
      </c>
      <c r="M1545" s="42" t="str">
        <f ca="1">IFERROR(__xludf.DUMMYFUNCTION("""COMPUTED_VALUE"""),"SERVICIOS")</f>
        <v>SERVICIOS</v>
      </c>
    </row>
    <row r="1546" spans="1:13">
      <c r="A1546" s="42" t="str">
        <f ca="1">IFERROR(__xludf.DUMMYFUNCTION("""COMPUTED_VALUE"""),"2.1.1.2")</f>
        <v>2.1.1.2</v>
      </c>
      <c r="B1546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1546" s="42" t="str">
        <f ca="1">IFERROR(__xludf.DUMMYFUNCTION("""COMPUTED_VALUE"""),"3. Operación")</f>
        <v>3. Operación</v>
      </c>
      <c r="D1546" s="42" t="str">
        <f ca="1">IFERROR(__xludf.DUMMYFUNCTION("""COMPUTED_VALUE"""),"Guadalajara en Paz")</f>
        <v>Guadalajara en Paz</v>
      </c>
      <c r="E1546" s="42" t="str">
        <f ca="1">IFERROR(__xludf.DUMMYFUNCTION("""COMPUTED_VALUE"""),"Trabajo Social Asistencial")</f>
        <v>Trabajo Social Asistencial</v>
      </c>
      <c r="F1546" s="42" t="str">
        <f ca="1">IFERROR(__xludf.DUMMYFUNCTION("""COMPUTED_VALUE"""),"A2C1. Expediente integrados para la atención a la población vulnerable de Guadalajara")</f>
        <v>A2C1. Expediente integrados para la atención a la población vulnerable de Guadalajara</v>
      </c>
      <c r="G1546" s="42" t="str">
        <f ca="1">IFERROR(__xludf.DUMMYFUNCTION("""COMPUTED_VALUE"""),"Porcentaje de expedientes completos para la atención a las necesidades a la población vulnerable en 2023")</f>
        <v>Porcentaje de expedientes completos para la atención a las necesidades a la población vulnerable en 2023</v>
      </c>
      <c r="H1546" s="42" t="str">
        <f ca="1">IFERROR(__xludf.DUMMYFUNCTION("""COMPUTED_VALUE"""),"Servicio")</f>
        <v>Servicio</v>
      </c>
      <c r="I1546" s="42" t="str">
        <f ca="1">IFERROR(__xludf.DUMMYFUNCTION("""COMPUTED_VALUE"""),"Septiembre")</f>
        <v>Septiembre</v>
      </c>
      <c r="J1546" s="42" t="str">
        <f ca="1">IFERROR(__xludf.DUMMYFUNCTION("""COMPUTED_VALUE"""),"N/A")</f>
        <v>N/A</v>
      </c>
      <c r="K1546" s="98">
        <f ca="1">IFERROR(__xludf.DUMMYFUNCTION("""COMPUTED_VALUE"""),432)</f>
        <v>432</v>
      </c>
      <c r="L1546" s="42" t="str">
        <f ca="1">IFERROR(__xludf.DUMMYFUNCTION("""COMPUTED_VALUE"""),"TRIMESTRE 3")</f>
        <v>TRIMESTRE 3</v>
      </c>
      <c r="M1546" s="42" t="str">
        <f ca="1">IFERROR(__xludf.DUMMYFUNCTION("""COMPUTED_VALUE"""),"SERVICIOS")</f>
        <v>SERVICIOS</v>
      </c>
    </row>
    <row r="1547" spans="1:13">
      <c r="A1547" s="42" t="str">
        <f ca="1">IFERROR(__xludf.DUMMYFUNCTION("""COMPUTED_VALUE"""),"2.1.1.2")</f>
        <v>2.1.1.2</v>
      </c>
      <c r="B1547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1547" s="42" t="str">
        <f ca="1">IFERROR(__xludf.DUMMYFUNCTION("""COMPUTED_VALUE"""),"3. Operación")</f>
        <v>3. Operación</v>
      </c>
      <c r="D1547" s="42" t="str">
        <f ca="1">IFERROR(__xludf.DUMMYFUNCTION("""COMPUTED_VALUE"""),"Guadalajara en Paz")</f>
        <v>Guadalajara en Paz</v>
      </c>
      <c r="E1547" s="42" t="str">
        <f ca="1">IFERROR(__xludf.DUMMYFUNCTION("""COMPUTED_VALUE"""),"Trabajo Social Asistencial")</f>
        <v>Trabajo Social Asistencial</v>
      </c>
      <c r="F1547" s="42" t="str">
        <f ca="1">IFERROR(__xludf.DUMMYFUNCTION("""COMPUTED_VALUE"""),"A2C1. Expediente integrados para la atención a la población vulnerable de Guadalajara")</f>
        <v>A2C1. Expediente integrados para la atención a la población vulnerable de Guadalajara</v>
      </c>
      <c r="G1547" s="42" t="str">
        <f ca="1">IFERROR(__xludf.DUMMYFUNCTION("""COMPUTED_VALUE"""),"Porcentaje de expedientes completos para la atención a las necesidades a la población vulnerable en 2023")</f>
        <v>Porcentaje de expedientes completos para la atención a las necesidades a la población vulnerable en 2023</v>
      </c>
      <c r="H1547" s="42" t="str">
        <f ca="1">IFERROR(__xludf.DUMMYFUNCTION("""COMPUTED_VALUE"""),"Servicio")</f>
        <v>Servicio</v>
      </c>
      <c r="I1547" s="42" t="str">
        <f ca="1">IFERROR(__xludf.DUMMYFUNCTION("""COMPUTED_VALUE"""),"Octubre")</f>
        <v>Octubre</v>
      </c>
      <c r="J1547" s="42" t="str">
        <f ca="1">IFERROR(__xludf.DUMMYFUNCTION("""COMPUTED_VALUE"""),"N/A")</f>
        <v>N/A</v>
      </c>
      <c r="K1547" s="98">
        <f ca="1">IFERROR(__xludf.DUMMYFUNCTION("""COMPUTED_VALUE"""),0)</f>
        <v>0</v>
      </c>
      <c r="L1547" s="42" t="str">
        <f ca="1">IFERROR(__xludf.DUMMYFUNCTION("""COMPUTED_VALUE"""),"TRIMESTRE 4")</f>
        <v>TRIMESTRE 4</v>
      </c>
      <c r="M1547" s="42" t="str">
        <f ca="1">IFERROR(__xludf.DUMMYFUNCTION("""COMPUTED_VALUE"""),"SERVICIOS")</f>
        <v>SERVICIOS</v>
      </c>
    </row>
    <row r="1548" spans="1:13">
      <c r="A1548" s="42" t="str">
        <f ca="1">IFERROR(__xludf.DUMMYFUNCTION("""COMPUTED_VALUE"""),"2.1.1.2")</f>
        <v>2.1.1.2</v>
      </c>
      <c r="B1548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1548" s="42" t="str">
        <f ca="1">IFERROR(__xludf.DUMMYFUNCTION("""COMPUTED_VALUE"""),"3. Operación")</f>
        <v>3. Operación</v>
      </c>
      <c r="D1548" s="42" t="str">
        <f ca="1">IFERROR(__xludf.DUMMYFUNCTION("""COMPUTED_VALUE"""),"Guadalajara en Paz")</f>
        <v>Guadalajara en Paz</v>
      </c>
      <c r="E1548" s="42" t="str">
        <f ca="1">IFERROR(__xludf.DUMMYFUNCTION("""COMPUTED_VALUE"""),"Trabajo Social Asistencial")</f>
        <v>Trabajo Social Asistencial</v>
      </c>
      <c r="F1548" s="42" t="str">
        <f ca="1">IFERROR(__xludf.DUMMYFUNCTION("""COMPUTED_VALUE"""),"A2C1. Expediente integrados para la atención a la población vulnerable de Guadalajara")</f>
        <v>A2C1. Expediente integrados para la atención a la población vulnerable de Guadalajara</v>
      </c>
      <c r="G1548" s="42" t="str">
        <f ca="1">IFERROR(__xludf.DUMMYFUNCTION("""COMPUTED_VALUE"""),"Porcentaje de expedientes completos para la atención a las necesidades a la población vulnerable en 2023")</f>
        <v>Porcentaje de expedientes completos para la atención a las necesidades a la población vulnerable en 2023</v>
      </c>
      <c r="H1548" s="42" t="str">
        <f ca="1">IFERROR(__xludf.DUMMYFUNCTION("""COMPUTED_VALUE"""),"Servicio")</f>
        <v>Servicio</v>
      </c>
      <c r="I1548" s="42" t="str">
        <f ca="1">IFERROR(__xludf.DUMMYFUNCTION("""COMPUTED_VALUE"""),"Noviembre")</f>
        <v>Noviembre</v>
      </c>
      <c r="J1548" s="42" t="str">
        <f ca="1">IFERROR(__xludf.DUMMYFUNCTION("""COMPUTED_VALUE"""),"N/A")</f>
        <v>N/A</v>
      </c>
      <c r="K1548" s="98">
        <f ca="1">IFERROR(__xludf.DUMMYFUNCTION("""COMPUTED_VALUE"""),0)</f>
        <v>0</v>
      </c>
      <c r="L1548" s="42" t="str">
        <f ca="1">IFERROR(__xludf.DUMMYFUNCTION("""COMPUTED_VALUE"""),"TRIMESTRE 4")</f>
        <v>TRIMESTRE 4</v>
      </c>
      <c r="M1548" s="42" t="str">
        <f ca="1">IFERROR(__xludf.DUMMYFUNCTION("""COMPUTED_VALUE"""),"SERVICIOS")</f>
        <v>SERVICIOS</v>
      </c>
    </row>
    <row r="1549" spans="1:13">
      <c r="A1549" s="42" t="str">
        <f ca="1">IFERROR(__xludf.DUMMYFUNCTION("""COMPUTED_VALUE"""),"2.1.1.2")</f>
        <v>2.1.1.2</v>
      </c>
      <c r="B1549" s="42" t="str">
        <f ca="1">IFERROR(__xludf.DUMMYFUNCTION("""COMPUTED_VALUE"""),"Trabajo Social Asistencial/Dirección del Área de Trabajo Social/Dirección del Área de Trabajo Social/Coord.3. Operación")</f>
        <v>Trabajo Social Asistencial/Dirección del Área de Trabajo Social/Dirección del Área de Trabajo Social/Coord.3. Operación</v>
      </c>
      <c r="C1549" s="42" t="str">
        <f ca="1">IFERROR(__xludf.DUMMYFUNCTION("""COMPUTED_VALUE"""),"3. Operación")</f>
        <v>3. Operación</v>
      </c>
      <c r="D1549" s="42" t="str">
        <f ca="1">IFERROR(__xludf.DUMMYFUNCTION("""COMPUTED_VALUE"""),"Guadalajara en Paz")</f>
        <v>Guadalajara en Paz</v>
      </c>
      <c r="E1549" s="42" t="str">
        <f ca="1">IFERROR(__xludf.DUMMYFUNCTION("""COMPUTED_VALUE"""),"Trabajo Social Asistencial")</f>
        <v>Trabajo Social Asistencial</v>
      </c>
      <c r="F1549" s="42" t="str">
        <f ca="1">IFERROR(__xludf.DUMMYFUNCTION("""COMPUTED_VALUE"""),"A2C1. Expediente integrados para la atención a la población vulnerable de Guadalajara")</f>
        <v>A2C1. Expediente integrados para la atención a la población vulnerable de Guadalajara</v>
      </c>
      <c r="G1549" s="42" t="str">
        <f ca="1">IFERROR(__xludf.DUMMYFUNCTION("""COMPUTED_VALUE"""),"Porcentaje de expedientes completos para la atención a las necesidades a la población vulnerable en 2023")</f>
        <v>Porcentaje de expedientes completos para la atención a las necesidades a la población vulnerable en 2023</v>
      </c>
      <c r="H1549" s="42" t="str">
        <f ca="1">IFERROR(__xludf.DUMMYFUNCTION("""COMPUTED_VALUE"""),"Servicio")</f>
        <v>Servicio</v>
      </c>
      <c r="I1549" s="42" t="str">
        <f ca="1">IFERROR(__xludf.DUMMYFUNCTION("""COMPUTED_VALUE"""),"Diciembre")</f>
        <v>Diciembre</v>
      </c>
      <c r="J1549" s="42" t="str">
        <f ca="1">IFERROR(__xludf.DUMMYFUNCTION("""COMPUTED_VALUE"""),"N/A")</f>
        <v>N/A</v>
      </c>
      <c r="K1549" s="98">
        <f ca="1">IFERROR(__xludf.DUMMYFUNCTION("""COMPUTED_VALUE"""),0)</f>
        <v>0</v>
      </c>
      <c r="L1549" s="42" t="str">
        <f ca="1">IFERROR(__xludf.DUMMYFUNCTION("""COMPUTED_VALUE"""),"TRIMESTRE 4")</f>
        <v>TRIMESTRE 4</v>
      </c>
      <c r="M1549" s="42" t="str">
        <f ca="1">IFERROR(__xludf.DUMMYFUNCTION("""COMPUTED_VALUE"""),"SERVICIOS")</f>
        <v>SERVICIOS</v>
      </c>
    </row>
    <row r="1550" spans="1:13">
      <c r="A1550" s="42" t="str">
        <f ca="1">IFERROR(__xludf.DUMMYFUNCTION("""COMPUTED_VALUE"""),"2.1.1.17")</f>
        <v>2.1.1.17</v>
      </c>
      <c r="B1550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550" s="42" t="str">
        <f ca="1">IFERROR(__xludf.DUMMYFUNCTION("""COMPUTED_VALUE"""),"3. Operación")</f>
        <v>3. Operación</v>
      </c>
      <c r="D1550" s="42" t="str">
        <f ca="1">IFERROR(__xludf.DUMMYFUNCTION("""COMPUTED_VALUE"""),"Guadalajara en Paz")</f>
        <v>Guadalajara en Paz</v>
      </c>
      <c r="E1550" s="42" t="str">
        <f ca="1">IFERROR(__xludf.DUMMYFUNCTION("""COMPUTED_VALUE"""),"Educación Preescolar en Centros de Desarrollo Comunitarios")</f>
        <v>Educación Preescolar en Centros de Desarrollo Comunitarios</v>
      </c>
      <c r="F1550" s="42" t="str">
        <f ca="1">IFERROR(__xludf.DUMMYFUNCTION("""COMPUTED_VALUE"""),"A17C1. Grupos de preescolar activos en CDC en 2023")</f>
        <v>A17C1. Grupos de preescolar activos en CDC en 2023</v>
      </c>
      <c r="G1550" s="42" t="str">
        <f ca="1">IFERROR(__xludf.DUMMYFUNCTION("""COMPUTED_VALUE"""),"Porcentaje de grupos de preescolar activos CDC durante el 2023")</f>
        <v>Porcentaje de grupos de preescolar activos CDC durante el 2023</v>
      </c>
      <c r="H1550" s="42" t="str">
        <f ca="1">IFERROR(__xludf.DUMMYFUNCTION("""COMPUTED_VALUE"""),"Servicio")</f>
        <v>Servicio</v>
      </c>
      <c r="I1550" s="42" t="str">
        <f ca="1">IFERROR(__xludf.DUMMYFUNCTION("""COMPUTED_VALUE"""),"Enero")</f>
        <v>Enero</v>
      </c>
      <c r="J1550" s="42" t="str">
        <f ca="1">IFERROR(__xludf.DUMMYFUNCTION("""COMPUTED_VALUE"""),"N/A")</f>
        <v>N/A</v>
      </c>
      <c r="K1550" s="98">
        <f ca="1">IFERROR(__xludf.DUMMYFUNCTION("""COMPUTED_VALUE"""),99)</f>
        <v>99</v>
      </c>
      <c r="L1550" s="42" t="str">
        <f ca="1">IFERROR(__xludf.DUMMYFUNCTION("""COMPUTED_VALUE"""),"TRIMESTRE 1")</f>
        <v>TRIMESTRE 1</v>
      </c>
      <c r="M1550" s="42" t="str">
        <f ca="1">IFERROR(__xludf.DUMMYFUNCTION("""COMPUTED_VALUE"""),"SERVICIOS")</f>
        <v>SERVICIOS</v>
      </c>
    </row>
    <row r="1551" spans="1:13">
      <c r="A1551" s="42" t="str">
        <f ca="1">IFERROR(__xludf.DUMMYFUNCTION("""COMPUTED_VALUE"""),"2.1.1.17")</f>
        <v>2.1.1.17</v>
      </c>
      <c r="B1551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551" s="42" t="str">
        <f ca="1">IFERROR(__xludf.DUMMYFUNCTION("""COMPUTED_VALUE"""),"3. Operación")</f>
        <v>3. Operación</v>
      </c>
      <c r="D1551" s="42" t="str">
        <f ca="1">IFERROR(__xludf.DUMMYFUNCTION("""COMPUTED_VALUE"""),"Guadalajara en Paz")</f>
        <v>Guadalajara en Paz</v>
      </c>
      <c r="E1551" s="42" t="str">
        <f ca="1">IFERROR(__xludf.DUMMYFUNCTION("""COMPUTED_VALUE"""),"Educación Preescolar en Centros de Desarrollo Comunitarios")</f>
        <v>Educación Preescolar en Centros de Desarrollo Comunitarios</v>
      </c>
      <c r="F1551" s="42" t="str">
        <f ca="1">IFERROR(__xludf.DUMMYFUNCTION("""COMPUTED_VALUE"""),"A17C1. Grupos de preescolar activos en CDC en 2023")</f>
        <v>A17C1. Grupos de preescolar activos en CDC en 2023</v>
      </c>
      <c r="G1551" s="42" t="str">
        <f ca="1">IFERROR(__xludf.DUMMYFUNCTION("""COMPUTED_VALUE"""),"Porcentaje de grupos de preescolar activos CDC durante el 2023")</f>
        <v>Porcentaje de grupos de preescolar activos CDC durante el 2023</v>
      </c>
      <c r="H1551" s="42" t="str">
        <f ca="1">IFERROR(__xludf.DUMMYFUNCTION("""COMPUTED_VALUE"""),"Servicio")</f>
        <v>Servicio</v>
      </c>
      <c r="I1551" s="42" t="str">
        <f ca="1">IFERROR(__xludf.DUMMYFUNCTION("""COMPUTED_VALUE"""),"febrero")</f>
        <v>febrero</v>
      </c>
      <c r="J1551" s="42" t="str">
        <f ca="1">IFERROR(__xludf.DUMMYFUNCTION("""COMPUTED_VALUE"""),"N/A")</f>
        <v>N/A</v>
      </c>
      <c r="K1551" s="98">
        <f ca="1">IFERROR(__xludf.DUMMYFUNCTION("""COMPUTED_VALUE"""),99)</f>
        <v>99</v>
      </c>
      <c r="L1551" s="42" t="str">
        <f ca="1">IFERROR(__xludf.DUMMYFUNCTION("""COMPUTED_VALUE"""),"TRIMESTRE 1")</f>
        <v>TRIMESTRE 1</v>
      </c>
      <c r="M1551" s="42" t="str">
        <f ca="1">IFERROR(__xludf.DUMMYFUNCTION("""COMPUTED_VALUE"""),"SERVICIOS")</f>
        <v>SERVICIOS</v>
      </c>
    </row>
    <row r="1552" spans="1:13">
      <c r="A1552" s="42" t="str">
        <f ca="1">IFERROR(__xludf.DUMMYFUNCTION("""COMPUTED_VALUE"""),"2.1.1.17")</f>
        <v>2.1.1.17</v>
      </c>
      <c r="B1552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552" s="42" t="str">
        <f ca="1">IFERROR(__xludf.DUMMYFUNCTION("""COMPUTED_VALUE"""),"3. Operación")</f>
        <v>3. Operación</v>
      </c>
      <c r="D1552" s="42" t="str">
        <f ca="1">IFERROR(__xludf.DUMMYFUNCTION("""COMPUTED_VALUE"""),"Guadalajara en Paz")</f>
        <v>Guadalajara en Paz</v>
      </c>
      <c r="E1552" s="42" t="str">
        <f ca="1">IFERROR(__xludf.DUMMYFUNCTION("""COMPUTED_VALUE"""),"Educación Preescolar en Centros de Desarrollo Comunitarios")</f>
        <v>Educación Preescolar en Centros de Desarrollo Comunitarios</v>
      </c>
      <c r="F1552" s="42" t="str">
        <f ca="1">IFERROR(__xludf.DUMMYFUNCTION("""COMPUTED_VALUE"""),"A17C1. Grupos de preescolar activos en CDC en 2023")</f>
        <v>A17C1. Grupos de preescolar activos en CDC en 2023</v>
      </c>
      <c r="G1552" s="42" t="str">
        <f ca="1">IFERROR(__xludf.DUMMYFUNCTION("""COMPUTED_VALUE"""),"Porcentaje de grupos de preescolar activos CDC durante el 2023")</f>
        <v>Porcentaje de grupos de preescolar activos CDC durante el 2023</v>
      </c>
      <c r="H1552" s="42" t="str">
        <f ca="1">IFERROR(__xludf.DUMMYFUNCTION("""COMPUTED_VALUE"""),"Servicio")</f>
        <v>Servicio</v>
      </c>
      <c r="I1552" s="42" t="str">
        <f ca="1">IFERROR(__xludf.DUMMYFUNCTION("""COMPUTED_VALUE"""),"marzo")</f>
        <v>marzo</v>
      </c>
      <c r="J1552" s="42" t="str">
        <f ca="1">IFERROR(__xludf.DUMMYFUNCTION("""COMPUTED_VALUE"""),"N/A")</f>
        <v>N/A</v>
      </c>
      <c r="K1552" s="98">
        <f ca="1">IFERROR(__xludf.DUMMYFUNCTION("""COMPUTED_VALUE"""),99)</f>
        <v>99</v>
      </c>
      <c r="L1552" s="42" t="str">
        <f ca="1">IFERROR(__xludf.DUMMYFUNCTION("""COMPUTED_VALUE"""),"TRIMESTRE 1")</f>
        <v>TRIMESTRE 1</v>
      </c>
      <c r="M1552" s="42" t="str">
        <f ca="1">IFERROR(__xludf.DUMMYFUNCTION("""COMPUTED_VALUE"""),"SERVICIOS")</f>
        <v>SERVICIOS</v>
      </c>
    </row>
    <row r="1553" spans="1:13">
      <c r="A1553" s="42" t="str">
        <f ca="1">IFERROR(__xludf.DUMMYFUNCTION("""COMPUTED_VALUE"""),"2.1.1.17")</f>
        <v>2.1.1.17</v>
      </c>
      <c r="B1553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553" s="42" t="str">
        <f ca="1">IFERROR(__xludf.DUMMYFUNCTION("""COMPUTED_VALUE"""),"3. Operación")</f>
        <v>3. Operación</v>
      </c>
      <c r="D1553" s="42" t="str">
        <f ca="1">IFERROR(__xludf.DUMMYFUNCTION("""COMPUTED_VALUE"""),"Guadalajara en Paz")</f>
        <v>Guadalajara en Paz</v>
      </c>
      <c r="E1553" s="42" t="str">
        <f ca="1">IFERROR(__xludf.DUMMYFUNCTION("""COMPUTED_VALUE"""),"Educación Preescolar en Centros de Desarrollo Comunitarios")</f>
        <v>Educación Preescolar en Centros de Desarrollo Comunitarios</v>
      </c>
      <c r="F1553" s="42" t="str">
        <f ca="1">IFERROR(__xludf.DUMMYFUNCTION("""COMPUTED_VALUE"""),"A17C1. Grupos de preescolar activos en CDC en 2023")</f>
        <v>A17C1. Grupos de preescolar activos en CDC en 2023</v>
      </c>
      <c r="G1553" s="42" t="str">
        <f ca="1">IFERROR(__xludf.DUMMYFUNCTION("""COMPUTED_VALUE"""),"Porcentaje de grupos de preescolar activos CDC durante el 2023")</f>
        <v>Porcentaje de grupos de preescolar activos CDC durante el 2023</v>
      </c>
      <c r="H1553" s="42" t="str">
        <f ca="1">IFERROR(__xludf.DUMMYFUNCTION("""COMPUTED_VALUE"""),"Servicio")</f>
        <v>Servicio</v>
      </c>
      <c r="I1553" s="42" t="str">
        <f ca="1">IFERROR(__xludf.DUMMYFUNCTION("""COMPUTED_VALUE"""),"abril")</f>
        <v>abril</v>
      </c>
      <c r="J1553" s="42" t="str">
        <f ca="1">IFERROR(__xludf.DUMMYFUNCTION("""COMPUTED_VALUE"""),"N/A")</f>
        <v>N/A</v>
      </c>
      <c r="K1553" s="98">
        <f ca="1">IFERROR(__xludf.DUMMYFUNCTION("""COMPUTED_VALUE"""),99)</f>
        <v>99</v>
      </c>
      <c r="L1553" s="42" t="str">
        <f ca="1">IFERROR(__xludf.DUMMYFUNCTION("""COMPUTED_VALUE"""),"TRIMESTRE 2")</f>
        <v>TRIMESTRE 2</v>
      </c>
      <c r="M1553" s="42" t="str">
        <f ca="1">IFERROR(__xludf.DUMMYFUNCTION("""COMPUTED_VALUE"""),"SERVICIOS")</f>
        <v>SERVICIOS</v>
      </c>
    </row>
    <row r="1554" spans="1:13">
      <c r="A1554" s="42" t="str">
        <f ca="1">IFERROR(__xludf.DUMMYFUNCTION("""COMPUTED_VALUE"""),"2.1.1.17")</f>
        <v>2.1.1.17</v>
      </c>
      <c r="B1554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554" s="42" t="str">
        <f ca="1">IFERROR(__xludf.DUMMYFUNCTION("""COMPUTED_VALUE"""),"3. Operación")</f>
        <v>3. Operación</v>
      </c>
      <c r="D1554" s="42" t="str">
        <f ca="1">IFERROR(__xludf.DUMMYFUNCTION("""COMPUTED_VALUE"""),"Guadalajara en Paz")</f>
        <v>Guadalajara en Paz</v>
      </c>
      <c r="E1554" s="42" t="str">
        <f ca="1">IFERROR(__xludf.DUMMYFUNCTION("""COMPUTED_VALUE"""),"Educación Preescolar en Centros de Desarrollo Comunitarios")</f>
        <v>Educación Preescolar en Centros de Desarrollo Comunitarios</v>
      </c>
      <c r="F1554" s="42" t="str">
        <f ca="1">IFERROR(__xludf.DUMMYFUNCTION("""COMPUTED_VALUE"""),"A17C1. Grupos de preescolar activos en CDC en 2023")</f>
        <v>A17C1. Grupos de preescolar activos en CDC en 2023</v>
      </c>
      <c r="G1554" s="42" t="str">
        <f ca="1">IFERROR(__xludf.DUMMYFUNCTION("""COMPUTED_VALUE"""),"Porcentaje de grupos de preescolar activos CDC durante el 2023")</f>
        <v>Porcentaje de grupos de preescolar activos CDC durante el 2023</v>
      </c>
      <c r="H1554" s="42" t="str">
        <f ca="1">IFERROR(__xludf.DUMMYFUNCTION("""COMPUTED_VALUE"""),"Servicio")</f>
        <v>Servicio</v>
      </c>
      <c r="I1554" s="42" t="str">
        <f ca="1">IFERROR(__xludf.DUMMYFUNCTION("""COMPUTED_VALUE"""),"mayo")</f>
        <v>mayo</v>
      </c>
      <c r="J1554" s="42" t="str">
        <f ca="1">IFERROR(__xludf.DUMMYFUNCTION("""COMPUTED_VALUE"""),"N/A")</f>
        <v>N/A</v>
      </c>
      <c r="K1554" s="98">
        <f ca="1">IFERROR(__xludf.DUMMYFUNCTION("""COMPUTED_VALUE"""),99)</f>
        <v>99</v>
      </c>
      <c r="L1554" s="42" t="str">
        <f ca="1">IFERROR(__xludf.DUMMYFUNCTION("""COMPUTED_VALUE"""),"TRIMESTRE 2")</f>
        <v>TRIMESTRE 2</v>
      </c>
      <c r="M1554" s="42" t="str">
        <f ca="1">IFERROR(__xludf.DUMMYFUNCTION("""COMPUTED_VALUE"""),"SERVICIOS")</f>
        <v>SERVICIOS</v>
      </c>
    </row>
    <row r="1555" spans="1:13">
      <c r="A1555" s="42" t="str">
        <f ca="1">IFERROR(__xludf.DUMMYFUNCTION("""COMPUTED_VALUE"""),"2.1.1.17")</f>
        <v>2.1.1.17</v>
      </c>
      <c r="B1555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555" s="42" t="str">
        <f ca="1">IFERROR(__xludf.DUMMYFUNCTION("""COMPUTED_VALUE"""),"3. Operación")</f>
        <v>3. Operación</v>
      </c>
      <c r="D1555" s="42" t="str">
        <f ca="1">IFERROR(__xludf.DUMMYFUNCTION("""COMPUTED_VALUE"""),"Guadalajara en Paz")</f>
        <v>Guadalajara en Paz</v>
      </c>
      <c r="E1555" s="42" t="str">
        <f ca="1">IFERROR(__xludf.DUMMYFUNCTION("""COMPUTED_VALUE"""),"Educación Preescolar en Centros de Desarrollo Comunitarios")</f>
        <v>Educación Preescolar en Centros de Desarrollo Comunitarios</v>
      </c>
      <c r="F1555" s="42" t="str">
        <f ca="1">IFERROR(__xludf.DUMMYFUNCTION("""COMPUTED_VALUE"""),"A17C1. Grupos de preescolar activos en CDC en 2023")</f>
        <v>A17C1. Grupos de preescolar activos en CDC en 2023</v>
      </c>
      <c r="G1555" s="42" t="str">
        <f ca="1">IFERROR(__xludf.DUMMYFUNCTION("""COMPUTED_VALUE"""),"Porcentaje de grupos de preescolar activos CDC durante el 2023")</f>
        <v>Porcentaje de grupos de preescolar activos CDC durante el 2023</v>
      </c>
      <c r="H1555" s="42" t="str">
        <f ca="1">IFERROR(__xludf.DUMMYFUNCTION("""COMPUTED_VALUE"""),"Servicio")</f>
        <v>Servicio</v>
      </c>
      <c r="I1555" s="42" t="str">
        <f ca="1">IFERROR(__xludf.DUMMYFUNCTION("""COMPUTED_VALUE"""),"junio")</f>
        <v>junio</v>
      </c>
      <c r="J1555" s="42" t="str">
        <f ca="1">IFERROR(__xludf.DUMMYFUNCTION("""COMPUTED_VALUE"""),"N/A")</f>
        <v>N/A</v>
      </c>
      <c r="K1555" s="98">
        <f ca="1">IFERROR(__xludf.DUMMYFUNCTION("""COMPUTED_VALUE"""),99)</f>
        <v>99</v>
      </c>
      <c r="L1555" s="42" t="str">
        <f ca="1">IFERROR(__xludf.DUMMYFUNCTION("""COMPUTED_VALUE"""),"TRIMESTRE 2")</f>
        <v>TRIMESTRE 2</v>
      </c>
      <c r="M1555" s="42" t="str">
        <f ca="1">IFERROR(__xludf.DUMMYFUNCTION("""COMPUTED_VALUE"""),"SERVICIOS")</f>
        <v>SERVICIOS</v>
      </c>
    </row>
    <row r="1556" spans="1:13">
      <c r="A1556" s="42" t="str">
        <f ca="1">IFERROR(__xludf.DUMMYFUNCTION("""COMPUTED_VALUE"""),"2.1.1.17")</f>
        <v>2.1.1.17</v>
      </c>
      <c r="B1556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556" s="42" t="str">
        <f ca="1">IFERROR(__xludf.DUMMYFUNCTION("""COMPUTED_VALUE"""),"3. Operación")</f>
        <v>3. Operación</v>
      </c>
      <c r="D1556" s="42" t="str">
        <f ca="1">IFERROR(__xludf.DUMMYFUNCTION("""COMPUTED_VALUE"""),"Guadalajara en Paz")</f>
        <v>Guadalajara en Paz</v>
      </c>
      <c r="E1556" s="42" t="str">
        <f ca="1">IFERROR(__xludf.DUMMYFUNCTION("""COMPUTED_VALUE"""),"Educación Preescolar en Centros de Desarrollo Comunitarios")</f>
        <v>Educación Preescolar en Centros de Desarrollo Comunitarios</v>
      </c>
      <c r="F1556" s="42" t="str">
        <f ca="1">IFERROR(__xludf.DUMMYFUNCTION("""COMPUTED_VALUE"""),"A17C1. Grupos de preescolar activos en CDC en 2023")</f>
        <v>A17C1. Grupos de preescolar activos en CDC en 2023</v>
      </c>
      <c r="G1556" s="42" t="str">
        <f ca="1">IFERROR(__xludf.DUMMYFUNCTION("""COMPUTED_VALUE"""),"Porcentaje de grupos de preescolar activos CDC durante el 2023")</f>
        <v>Porcentaje de grupos de preescolar activos CDC durante el 2023</v>
      </c>
      <c r="H1556" s="42" t="str">
        <f ca="1">IFERROR(__xludf.DUMMYFUNCTION("""COMPUTED_VALUE"""),"Servicio")</f>
        <v>Servicio</v>
      </c>
      <c r="I1556" s="42" t="str">
        <f ca="1">IFERROR(__xludf.DUMMYFUNCTION("""COMPUTED_VALUE"""),"julio")</f>
        <v>julio</v>
      </c>
      <c r="J1556" s="42" t="str">
        <f ca="1">IFERROR(__xludf.DUMMYFUNCTION("""COMPUTED_VALUE"""),"N/A")</f>
        <v>N/A</v>
      </c>
      <c r="K1556" s="98">
        <f ca="1">IFERROR(__xludf.DUMMYFUNCTION("""COMPUTED_VALUE"""),99)</f>
        <v>99</v>
      </c>
      <c r="L1556" s="42" t="str">
        <f ca="1">IFERROR(__xludf.DUMMYFUNCTION("""COMPUTED_VALUE"""),"TRIMESTRE 3")</f>
        <v>TRIMESTRE 3</v>
      </c>
      <c r="M1556" s="42" t="str">
        <f ca="1">IFERROR(__xludf.DUMMYFUNCTION("""COMPUTED_VALUE"""),"SERVICIOS")</f>
        <v>SERVICIOS</v>
      </c>
    </row>
    <row r="1557" spans="1:13">
      <c r="A1557" s="42" t="str">
        <f ca="1">IFERROR(__xludf.DUMMYFUNCTION("""COMPUTED_VALUE"""),"2.1.1.17")</f>
        <v>2.1.1.17</v>
      </c>
      <c r="B1557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557" s="42" t="str">
        <f ca="1">IFERROR(__xludf.DUMMYFUNCTION("""COMPUTED_VALUE"""),"3. Operación")</f>
        <v>3. Operación</v>
      </c>
      <c r="D1557" s="42" t="str">
        <f ca="1">IFERROR(__xludf.DUMMYFUNCTION("""COMPUTED_VALUE"""),"Guadalajara en Paz")</f>
        <v>Guadalajara en Paz</v>
      </c>
      <c r="E1557" s="42" t="str">
        <f ca="1">IFERROR(__xludf.DUMMYFUNCTION("""COMPUTED_VALUE"""),"Educación Preescolar en Centros de Desarrollo Comunitarios")</f>
        <v>Educación Preescolar en Centros de Desarrollo Comunitarios</v>
      </c>
      <c r="F1557" s="42" t="str">
        <f ca="1">IFERROR(__xludf.DUMMYFUNCTION("""COMPUTED_VALUE"""),"A17C1. Grupos de preescolar activos en CDC en 2023")</f>
        <v>A17C1. Grupos de preescolar activos en CDC en 2023</v>
      </c>
      <c r="G1557" s="42" t="str">
        <f ca="1">IFERROR(__xludf.DUMMYFUNCTION("""COMPUTED_VALUE"""),"Porcentaje de grupos de preescolar activos CDC durante el 2023")</f>
        <v>Porcentaje de grupos de preescolar activos CDC durante el 2023</v>
      </c>
      <c r="H1557" s="42" t="str">
        <f ca="1">IFERROR(__xludf.DUMMYFUNCTION("""COMPUTED_VALUE"""),"Servicio")</f>
        <v>Servicio</v>
      </c>
      <c r="I1557" s="42" t="str">
        <f ca="1">IFERROR(__xludf.DUMMYFUNCTION("""COMPUTED_VALUE"""),"agosto")</f>
        <v>agosto</v>
      </c>
      <c r="J1557" s="42" t="str">
        <f ca="1">IFERROR(__xludf.DUMMYFUNCTION("""COMPUTED_VALUE"""),"N/A")</f>
        <v>N/A</v>
      </c>
      <c r="K1557" s="98">
        <f ca="1">IFERROR(__xludf.DUMMYFUNCTION("""COMPUTED_VALUE"""),99)</f>
        <v>99</v>
      </c>
      <c r="L1557" s="42" t="str">
        <f ca="1">IFERROR(__xludf.DUMMYFUNCTION("""COMPUTED_VALUE"""),"TRIMESTRE 3")</f>
        <v>TRIMESTRE 3</v>
      </c>
      <c r="M1557" s="42" t="str">
        <f ca="1">IFERROR(__xludf.DUMMYFUNCTION("""COMPUTED_VALUE"""),"SERVICIOS")</f>
        <v>SERVICIOS</v>
      </c>
    </row>
    <row r="1558" spans="1:13">
      <c r="A1558" s="42" t="str">
        <f ca="1">IFERROR(__xludf.DUMMYFUNCTION("""COMPUTED_VALUE"""),"2.1.1.17")</f>
        <v>2.1.1.17</v>
      </c>
      <c r="B1558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558" s="42" t="str">
        <f ca="1">IFERROR(__xludf.DUMMYFUNCTION("""COMPUTED_VALUE"""),"3. Operación")</f>
        <v>3. Operación</v>
      </c>
      <c r="D1558" s="42" t="str">
        <f ca="1">IFERROR(__xludf.DUMMYFUNCTION("""COMPUTED_VALUE"""),"Guadalajara en Paz")</f>
        <v>Guadalajara en Paz</v>
      </c>
      <c r="E1558" s="42" t="str">
        <f ca="1">IFERROR(__xludf.DUMMYFUNCTION("""COMPUTED_VALUE"""),"Educación Preescolar en Centros de Desarrollo Comunitarios")</f>
        <v>Educación Preescolar en Centros de Desarrollo Comunitarios</v>
      </c>
      <c r="F1558" s="42" t="str">
        <f ca="1">IFERROR(__xludf.DUMMYFUNCTION("""COMPUTED_VALUE"""),"A17C1. Grupos de preescolar activos en CDC en 2023")</f>
        <v>A17C1. Grupos de preescolar activos en CDC en 2023</v>
      </c>
      <c r="G1558" s="42" t="str">
        <f ca="1">IFERROR(__xludf.DUMMYFUNCTION("""COMPUTED_VALUE"""),"Porcentaje de grupos de preescolar activos CDC durante el 2023")</f>
        <v>Porcentaje de grupos de preescolar activos CDC durante el 2023</v>
      </c>
      <c r="H1558" s="42" t="str">
        <f ca="1">IFERROR(__xludf.DUMMYFUNCTION("""COMPUTED_VALUE"""),"Servicio")</f>
        <v>Servicio</v>
      </c>
      <c r="I1558" s="42" t="str">
        <f ca="1">IFERROR(__xludf.DUMMYFUNCTION("""COMPUTED_VALUE"""),"septiembre")</f>
        <v>septiembre</v>
      </c>
      <c r="J1558" s="42" t="str">
        <f ca="1">IFERROR(__xludf.DUMMYFUNCTION("""COMPUTED_VALUE"""),"N/A")</f>
        <v>N/A</v>
      </c>
      <c r="K1558" s="98">
        <f ca="1">IFERROR(__xludf.DUMMYFUNCTION("""COMPUTED_VALUE"""),99)</f>
        <v>99</v>
      </c>
      <c r="L1558" s="42" t="str">
        <f ca="1">IFERROR(__xludf.DUMMYFUNCTION("""COMPUTED_VALUE"""),"TRIMESTRE 3")</f>
        <v>TRIMESTRE 3</v>
      </c>
      <c r="M1558" s="42" t="str">
        <f ca="1">IFERROR(__xludf.DUMMYFUNCTION("""COMPUTED_VALUE"""),"SERVICIOS")</f>
        <v>SERVICIOS</v>
      </c>
    </row>
    <row r="1559" spans="1:13">
      <c r="A1559" s="42" t="str">
        <f ca="1">IFERROR(__xludf.DUMMYFUNCTION("""COMPUTED_VALUE"""),"2.1.1.17")</f>
        <v>2.1.1.17</v>
      </c>
      <c r="B1559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559" s="42" t="str">
        <f ca="1">IFERROR(__xludf.DUMMYFUNCTION("""COMPUTED_VALUE"""),"3. Operación")</f>
        <v>3. Operación</v>
      </c>
      <c r="D1559" s="42" t="str">
        <f ca="1">IFERROR(__xludf.DUMMYFUNCTION("""COMPUTED_VALUE"""),"Guadalajara en Paz")</f>
        <v>Guadalajara en Paz</v>
      </c>
      <c r="E1559" s="42" t="str">
        <f ca="1">IFERROR(__xludf.DUMMYFUNCTION("""COMPUTED_VALUE"""),"Educación Preescolar en Centros de Desarrollo Comunitarios")</f>
        <v>Educación Preescolar en Centros de Desarrollo Comunitarios</v>
      </c>
      <c r="F1559" s="42" t="str">
        <f ca="1">IFERROR(__xludf.DUMMYFUNCTION("""COMPUTED_VALUE"""),"A17C1. Grupos de preescolar activos en CDC en 2023")</f>
        <v>A17C1. Grupos de preescolar activos en CDC en 2023</v>
      </c>
      <c r="G1559" s="42" t="str">
        <f ca="1">IFERROR(__xludf.DUMMYFUNCTION("""COMPUTED_VALUE"""),"Porcentaje de grupos de preescolar activos CDC durante el 2023")</f>
        <v>Porcentaje de grupos de preescolar activos CDC durante el 2023</v>
      </c>
      <c r="H1559" s="42" t="str">
        <f ca="1">IFERROR(__xludf.DUMMYFUNCTION("""COMPUTED_VALUE"""),"Servicio")</f>
        <v>Servicio</v>
      </c>
      <c r="I1559" s="42" t="str">
        <f ca="1">IFERROR(__xludf.DUMMYFUNCTION("""COMPUTED_VALUE"""),"octubre")</f>
        <v>octubre</v>
      </c>
      <c r="J1559" s="42" t="str">
        <f ca="1">IFERROR(__xludf.DUMMYFUNCTION("""COMPUTED_VALUE"""),"N/A")</f>
        <v>N/A</v>
      </c>
      <c r="K1559" s="98"/>
      <c r="L1559" s="42" t="str">
        <f ca="1">IFERROR(__xludf.DUMMYFUNCTION("""COMPUTED_VALUE"""),"TRIMESTRE 4")</f>
        <v>TRIMESTRE 4</v>
      </c>
      <c r="M1559" s="42" t="str">
        <f ca="1">IFERROR(__xludf.DUMMYFUNCTION("""COMPUTED_VALUE"""),"SERVICIOS")</f>
        <v>SERVICIOS</v>
      </c>
    </row>
    <row r="1560" spans="1:13">
      <c r="A1560" s="42" t="str">
        <f ca="1">IFERROR(__xludf.DUMMYFUNCTION("""COMPUTED_VALUE"""),"2.1.1.17")</f>
        <v>2.1.1.17</v>
      </c>
      <c r="B1560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560" s="42" t="str">
        <f ca="1">IFERROR(__xludf.DUMMYFUNCTION("""COMPUTED_VALUE"""),"3. Operación")</f>
        <v>3. Operación</v>
      </c>
      <c r="D1560" s="42" t="str">
        <f ca="1">IFERROR(__xludf.DUMMYFUNCTION("""COMPUTED_VALUE"""),"Guadalajara en Paz")</f>
        <v>Guadalajara en Paz</v>
      </c>
      <c r="E1560" s="42" t="str">
        <f ca="1">IFERROR(__xludf.DUMMYFUNCTION("""COMPUTED_VALUE"""),"Educación Preescolar en Centros de Desarrollo Comunitarios")</f>
        <v>Educación Preescolar en Centros de Desarrollo Comunitarios</v>
      </c>
      <c r="F1560" s="42" t="str">
        <f ca="1">IFERROR(__xludf.DUMMYFUNCTION("""COMPUTED_VALUE"""),"A17C1. Grupos de preescolar activos en CDC en 2023")</f>
        <v>A17C1. Grupos de preescolar activos en CDC en 2023</v>
      </c>
      <c r="G1560" s="42" t="str">
        <f ca="1">IFERROR(__xludf.DUMMYFUNCTION("""COMPUTED_VALUE"""),"Porcentaje de grupos de preescolar activos CDC durante el 2023")</f>
        <v>Porcentaje de grupos de preescolar activos CDC durante el 2023</v>
      </c>
      <c r="H1560" s="42" t="str">
        <f ca="1">IFERROR(__xludf.DUMMYFUNCTION("""COMPUTED_VALUE"""),"Servicio")</f>
        <v>Servicio</v>
      </c>
      <c r="I1560" s="42" t="str">
        <f ca="1">IFERROR(__xludf.DUMMYFUNCTION("""COMPUTED_VALUE"""),"noviembre")</f>
        <v>noviembre</v>
      </c>
      <c r="J1560" s="42" t="str">
        <f ca="1">IFERROR(__xludf.DUMMYFUNCTION("""COMPUTED_VALUE"""),"N/A")</f>
        <v>N/A</v>
      </c>
      <c r="K1560" s="98"/>
      <c r="L1560" s="42" t="str">
        <f ca="1">IFERROR(__xludf.DUMMYFUNCTION("""COMPUTED_VALUE"""),"TRIMESTRE 4")</f>
        <v>TRIMESTRE 4</v>
      </c>
      <c r="M1560" s="42" t="str">
        <f ca="1">IFERROR(__xludf.DUMMYFUNCTION("""COMPUTED_VALUE"""),"SERVICIOS")</f>
        <v>SERVICIOS</v>
      </c>
    </row>
    <row r="1561" spans="1:13">
      <c r="A1561" s="42" t="str">
        <f ca="1">IFERROR(__xludf.DUMMYFUNCTION("""COMPUTED_VALUE"""),"2.1.1.17")</f>
        <v>2.1.1.17</v>
      </c>
      <c r="B1561" s="42" t="str">
        <f ca="1">IFERROR(__xludf.DUMMYFUNCTION("""COMPUTED_VALUE"""),"Educación Preescolar en Centros de Desarrollo Comunitarios/Jefatura del Departamento de Educación Preescolar/Dirección del Área de Habilidades y Desarrollo Comunitario/Coord.3. Operación")</f>
        <v>Educación Preescolar en Centros de Desarrollo Comunitarios/Jefatura del Departamento de Educación Preescolar/Dirección del Área de Habilidades y Desarrollo Comunitario/Coord.3. Operación</v>
      </c>
      <c r="C1561" s="42" t="str">
        <f ca="1">IFERROR(__xludf.DUMMYFUNCTION("""COMPUTED_VALUE"""),"3. Operación")</f>
        <v>3. Operación</v>
      </c>
      <c r="D1561" s="42" t="str">
        <f ca="1">IFERROR(__xludf.DUMMYFUNCTION("""COMPUTED_VALUE"""),"Guadalajara en Paz")</f>
        <v>Guadalajara en Paz</v>
      </c>
      <c r="E1561" s="42" t="str">
        <f ca="1">IFERROR(__xludf.DUMMYFUNCTION("""COMPUTED_VALUE"""),"Educación Preescolar en Centros de Desarrollo Comunitarios")</f>
        <v>Educación Preescolar en Centros de Desarrollo Comunitarios</v>
      </c>
      <c r="F1561" s="42" t="str">
        <f ca="1">IFERROR(__xludf.DUMMYFUNCTION("""COMPUTED_VALUE"""),"A17C1. Grupos de preescolar activos en CDC en 2023")</f>
        <v>A17C1. Grupos de preescolar activos en CDC en 2023</v>
      </c>
      <c r="G1561" s="42" t="str">
        <f ca="1">IFERROR(__xludf.DUMMYFUNCTION("""COMPUTED_VALUE"""),"Porcentaje de grupos de preescolar activos CDC durante el 2023")</f>
        <v>Porcentaje de grupos de preescolar activos CDC durante el 2023</v>
      </c>
      <c r="H1561" s="42" t="str">
        <f ca="1">IFERROR(__xludf.DUMMYFUNCTION("""COMPUTED_VALUE"""),"Servicio")</f>
        <v>Servicio</v>
      </c>
      <c r="I1561" s="42" t="str">
        <f ca="1">IFERROR(__xludf.DUMMYFUNCTION("""COMPUTED_VALUE"""),"diciembre")</f>
        <v>diciembre</v>
      </c>
      <c r="J1561" s="42" t="str">
        <f ca="1">IFERROR(__xludf.DUMMYFUNCTION("""COMPUTED_VALUE"""),"N/A")</f>
        <v>N/A</v>
      </c>
      <c r="K1561" s="98"/>
      <c r="L1561" s="42" t="str">
        <f ca="1">IFERROR(__xludf.DUMMYFUNCTION("""COMPUTED_VALUE"""),"TRIMESTRE 4")</f>
        <v>TRIMESTRE 4</v>
      </c>
      <c r="M1561" s="42" t="str">
        <f ca="1">IFERROR(__xludf.DUMMYFUNCTION("""COMPUTED_VALUE"""),"SERVICIOS")</f>
        <v>SERVICIOS</v>
      </c>
    </row>
    <row r="1562" spans="1:13">
      <c r="A1562" s="42" t="str">
        <f ca="1">IFERROR(__xludf.DUMMYFUNCTION("""COMPUTED_VALUE"""),"2.1.1.15")</f>
        <v>2.1.1.15</v>
      </c>
      <c r="B1562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1562" s="42" t="str">
        <f ca="1">IFERROR(__xludf.DUMMYFUNCTION("""COMPUTED_VALUE"""),"3. Operación")</f>
        <v>3. Operación</v>
      </c>
      <c r="D1562" s="42" t="str">
        <f ca="1">IFERROR(__xludf.DUMMYFUNCTION("""COMPUTED_VALUE"""),"Guadalajara en Paz")</f>
        <v>Guadalajara en Paz</v>
      </c>
      <c r="E1562" s="42" t="str">
        <f ca="1">IFERROR(__xludf.DUMMYFUNCTION("""COMPUTED_VALUE"""),"Desarrollo de Habilidades y Profesionalización")</f>
        <v>Desarrollo de Habilidades y Profesionalización</v>
      </c>
      <c r="F1562" s="42" t="str">
        <f ca="1">IFERROR(__xludf.DUMMYFUNCTION("""COMPUTED_VALUE"""),"A15C1. Talleres y cursos realizados en CDC e ICAS mensualmente en 2023")</f>
        <v>A15C1. Talleres y cursos realizados en CDC e ICAS mensualmente en 2023</v>
      </c>
      <c r="G1562" s="42" t="str">
        <f ca="1">IFERROR(__xludf.DUMMYFUNCTION("""COMPUTED_VALUE"""),"Promedio mensual de talleres y cursos realizados en CDC e ICAS, en 2023")</f>
        <v>Promedio mensual de talleres y cursos realizados en CDC e ICAS, en 2023</v>
      </c>
      <c r="H1562" s="42" t="str">
        <f ca="1">IFERROR(__xludf.DUMMYFUNCTION("""COMPUTED_VALUE"""),"Servicio")</f>
        <v>Servicio</v>
      </c>
      <c r="I1562" s="42" t="str">
        <f ca="1">IFERROR(__xludf.DUMMYFUNCTION("""COMPUTED_VALUE"""),"Enero")</f>
        <v>Enero</v>
      </c>
      <c r="J1562" s="42" t="str">
        <f ca="1">IFERROR(__xludf.DUMMYFUNCTION("""COMPUTED_VALUE"""),"N/A")</f>
        <v>N/A</v>
      </c>
      <c r="K1562" s="98">
        <f ca="1">IFERROR(__xludf.DUMMYFUNCTION("""COMPUTED_VALUE"""),276)</f>
        <v>276</v>
      </c>
      <c r="L1562" s="42" t="str">
        <f ca="1">IFERROR(__xludf.DUMMYFUNCTION("""COMPUTED_VALUE"""),"TRIMESTRE 1")</f>
        <v>TRIMESTRE 1</v>
      </c>
      <c r="M1562" s="42" t="str">
        <f ca="1">IFERROR(__xludf.DUMMYFUNCTION("""COMPUTED_VALUE"""),"SERVICIOS")</f>
        <v>SERVICIOS</v>
      </c>
    </row>
    <row r="1563" spans="1:13">
      <c r="A1563" s="42" t="str">
        <f ca="1">IFERROR(__xludf.DUMMYFUNCTION("""COMPUTED_VALUE"""),"2.1.1.15")</f>
        <v>2.1.1.15</v>
      </c>
      <c r="B1563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1563" s="42" t="str">
        <f ca="1">IFERROR(__xludf.DUMMYFUNCTION("""COMPUTED_VALUE"""),"3. Operación")</f>
        <v>3. Operación</v>
      </c>
      <c r="D1563" s="42" t="str">
        <f ca="1">IFERROR(__xludf.DUMMYFUNCTION("""COMPUTED_VALUE"""),"Guadalajara en Paz")</f>
        <v>Guadalajara en Paz</v>
      </c>
      <c r="E1563" s="42" t="str">
        <f ca="1">IFERROR(__xludf.DUMMYFUNCTION("""COMPUTED_VALUE"""),"Desarrollo de Habilidades y Profesionalización")</f>
        <v>Desarrollo de Habilidades y Profesionalización</v>
      </c>
      <c r="F1563" s="42" t="str">
        <f ca="1">IFERROR(__xludf.DUMMYFUNCTION("""COMPUTED_VALUE"""),"A15C1. Talleres y cursos realizados en CDC e ICAS mensualmente en 2023")</f>
        <v>A15C1. Talleres y cursos realizados en CDC e ICAS mensualmente en 2023</v>
      </c>
      <c r="G1563" s="42" t="str">
        <f ca="1">IFERROR(__xludf.DUMMYFUNCTION("""COMPUTED_VALUE"""),"Promedio mensual de talleres y cursos realizados en CDC e ICAS, en 2023")</f>
        <v>Promedio mensual de talleres y cursos realizados en CDC e ICAS, en 2023</v>
      </c>
      <c r="H1563" s="42" t="str">
        <f ca="1">IFERROR(__xludf.DUMMYFUNCTION("""COMPUTED_VALUE"""),"Servicio")</f>
        <v>Servicio</v>
      </c>
      <c r="I1563" s="42" t="str">
        <f ca="1">IFERROR(__xludf.DUMMYFUNCTION("""COMPUTED_VALUE"""),"Febrero")</f>
        <v>Febrero</v>
      </c>
      <c r="J1563" s="42" t="str">
        <f ca="1">IFERROR(__xludf.DUMMYFUNCTION("""COMPUTED_VALUE"""),"N/A")</f>
        <v>N/A</v>
      </c>
      <c r="K1563" s="98">
        <f ca="1">IFERROR(__xludf.DUMMYFUNCTION("""COMPUTED_VALUE"""),307)</f>
        <v>307</v>
      </c>
      <c r="L1563" s="42" t="str">
        <f ca="1">IFERROR(__xludf.DUMMYFUNCTION("""COMPUTED_VALUE"""),"TRIMESTRE 1")</f>
        <v>TRIMESTRE 1</v>
      </c>
      <c r="M1563" s="42" t="str">
        <f ca="1">IFERROR(__xludf.DUMMYFUNCTION("""COMPUTED_VALUE"""),"SERVICIOS")</f>
        <v>SERVICIOS</v>
      </c>
    </row>
    <row r="1564" spans="1:13">
      <c r="A1564" s="42" t="str">
        <f ca="1">IFERROR(__xludf.DUMMYFUNCTION("""COMPUTED_VALUE"""),"2.1.1.15")</f>
        <v>2.1.1.15</v>
      </c>
      <c r="B1564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1564" s="42" t="str">
        <f ca="1">IFERROR(__xludf.DUMMYFUNCTION("""COMPUTED_VALUE"""),"3. Operación")</f>
        <v>3. Operación</v>
      </c>
      <c r="D1564" s="42" t="str">
        <f ca="1">IFERROR(__xludf.DUMMYFUNCTION("""COMPUTED_VALUE"""),"Guadalajara en Paz")</f>
        <v>Guadalajara en Paz</v>
      </c>
      <c r="E1564" s="42" t="str">
        <f ca="1">IFERROR(__xludf.DUMMYFUNCTION("""COMPUTED_VALUE"""),"Desarrollo de Habilidades y Profesionalización")</f>
        <v>Desarrollo de Habilidades y Profesionalización</v>
      </c>
      <c r="F1564" s="42" t="str">
        <f ca="1">IFERROR(__xludf.DUMMYFUNCTION("""COMPUTED_VALUE"""),"A15C1. Talleres y cursos realizados en CDC e ICAS mensualmente en 2023")</f>
        <v>A15C1. Talleres y cursos realizados en CDC e ICAS mensualmente en 2023</v>
      </c>
      <c r="G1564" s="42" t="str">
        <f ca="1">IFERROR(__xludf.DUMMYFUNCTION("""COMPUTED_VALUE"""),"Promedio mensual de talleres y cursos realizados en CDC e ICAS, en 2023")</f>
        <v>Promedio mensual de talleres y cursos realizados en CDC e ICAS, en 2023</v>
      </c>
      <c r="H1564" s="42" t="str">
        <f ca="1">IFERROR(__xludf.DUMMYFUNCTION("""COMPUTED_VALUE"""),"Servicio")</f>
        <v>Servicio</v>
      </c>
      <c r="I1564" s="42" t="str">
        <f ca="1">IFERROR(__xludf.DUMMYFUNCTION("""COMPUTED_VALUE"""),"Marzo")</f>
        <v>Marzo</v>
      </c>
      <c r="J1564" s="42" t="str">
        <f ca="1">IFERROR(__xludf.DUMMYFUNCTION("""COMPUTED_VALUE"""),"N/A")</f>
        <v>N/A</v>
      </c>
      <c r="K1564" s="98">
        <f ca="1">IFERROR(__xludf.DUMMYFUNCTION("""COMPUTED_VALUE"""),293)</f>
        <v>293</v>
      </c>
      <c r="L1564" s="42" t="str">
        <f ca="1">IFERROR(__xludf.DUMMYFUNCTION("""COMPUTED_VALUE"""),"TRIMESTRE 1")</f>
        <v>TRIMESTRE 1</v>
      </c>
      <c r="M1564" s="42" t="str">
        <f ca="1">IFERROR(__xludf.DUMMYFUNCTION("""COMPUTED_VALUE"""),"SERVICIOS")</f>
        <v>SERVICIOS</v>
      </c>
    </row>
    <row r="1565" spans="1:13">
      <c r="A1565" s="42" t="str">
        <f ca="1">IFERROR(__xludf.DUMMYFUNCTION("""COMPUTED_VALUE"""),"2.1.1.15")</f>
        <v>2.1.1.15</v>
      </c>
      <c r="B1565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1565" s="42" t="str">
        <f ca="1">IFERROR(__xludf.DUMMYFUNCTION("""COMPUTED_VALUE"""),"3. Operación")</f>
        <v>3. Operación</v>
      </c>
      <c r="D1565" s="42" t="str">
        <f ca="1">IFERROR(__xludf.DUMMYFUNCTION("""COMPUTED_VALUE"""),"Guadalajara en Paz")</f>
        <v>Guadalajara en Paz</v>
      </c>
      <c r="E1565" s="42" t="str">
        <f ca="1">IFERROR(__xludf.DUMMYFUNCTION("""COMPUTED_VALUE"""),"Desarrollo de Habilidades y Profesionalización")</f>
        <v>Desarrollo de Habilidades y Profesionalización</v>
      </c>
      <c r="F1565" s="42" t="str">
        <f ca="1">IFERROR(__xludf.DUMMYFUNCTION("""COMPUTED_VALUE"""),"A15C1. Talleres y cursos realizados en CDC e ICAS mensualmente en 2023")</f>
        <v>A15C1. Talleres y cursos realizados en CDC e ICAS mensualmente en 2023</v>
      </c>
      <c r="G1565" s="42" t="str">
        <f ca="1">IFERROR(__xludf.DUMMYFUNCTION("""COMPUTED_VALUE"""),"Promedio mensual de talleres y cursos realizados en CDC e ICAS, en 2023")</f>
        <v>Promedio mensual de talleres y cursos realizados en CDC e ICAS, en 2023</v>
      </c>
      <c r="H1565" s="42" t="str">
        <f ca="1">IFERROR(__xludf.DUMMYFUNCTION("""COMPUTED_VALUE"""),"Servicio")</f>
        <v>Servicio</v>
      </c>
      <c r="I1565" s="42" t="str">
        <f ca="1">IFERROR(__xludf.DUMMYFUNCTION("""COMPUTED_VALUE"""),"Abril")</f>
        <v>Abril</v>
      </c>
      <c r="J1565" s="42" t="str">
        <f ca="1">IFERROR(__xludf.DUMMYFUNCTION("""COMPUTED_VALUE"""),"N/A")</f>
        <v>N/A</v>
      </c>
      <c r="K1565" s="98">
        <f ca="1">IFERROR(__xludf.DUMMYFUNCTION("""COMPUTED_VALUE"""),261)</f>
        <v>261</v>
      </c>
      <c r="L1565" s="42" t="str">
        <f ca="1">IFERROR(__xludf.DUMMYFUNCTION("""COMPUTED_VALUE"""),"TRIMESTRE 2")</f>
        <v>TRIMESTRE 2</v>
      </c>
      <c r="M1565" s="42" t="str">
        <f ca="1">IFERROR(__xludf.DUMMYFUNCTION("""COMPUTED_VALUE"""),"SERVICIOS")</f>
        <v>SERVICIOS</v>
      </c>
    </row>
    <row r="1566" spans="1:13">
      <c r="A1566" s="42" t="str">
        <f ca="1">IFERROR(__xludf.DUMMYFUNCTION("""COMPUTED_VALUE"""),"2.1.1.15")</f>
        <v>2.1.1.15</v>
      </c>
      <c r="B1566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1566" s="42" t="str">
        <f ca="1">IFERROR(__xludf.DUMMYFUNCTION("""COMPUTED_VALUE"""),"3. Operación")</f>
        <v>3. Operación</v>
      </c>
      <c r="D1566" s="42" t="str">
        <f ca="1">IFERROR(__xludf.DUMMYFUNCTION("""COMPUTED_VALUE"""),"Guadalajara en Paz")</f>
        <v>Guadalajara en Paz</v>
      </c>
      <c r="E1566" s="42" t="str">
        <f ca="1">IFERROR(__xludf.DUMMYFUNCTION("""COMPUTED_VALUE"""),"Desarrollo de Habilidades y Profesionalización")</f>
        <v>Desarrollo de Habilidades y Profesionalización</v>
      </c>
      <c r="F1566" s="42" t="str">
        <f ca="1">IFERROR(__xludf.DUMMYFUNCTION("""COMPUTED_VALUE"""),"A15C1. Talleres y cursos realizados en CDC e ICAS mensualmente en 2023")</f>
        <v>A15C1. Talleres y cursos realizados en CDC e ICAS mensualmente en 2023</v>
      </c>
      <c r="G1566" s="42" t="str">
        <f ca="1">IFERROR(__xludf.DUMMYFUNCTION("""COMPUTED_VALUE"""),"Promedio mensual de talleres y cursos realizados en CDC e ICAS, en 2023")</f>
        <v>Promedio mensual de talleres y cursos realizados en CDC e ICAS, en 2023</v>
      </c>
      <c r="H1566" s="42" t="str">
        <f ca="1">IFERROR(__xludf.DUMMYFUNCTION("""COMPUTED_VALUE"""),"Servicio")</f>
        <v>Servicio</v>
      </c>
      <c r="I1566" s="42" t="str">
        <f ca="1">IFERROR(__xludf.DUMMYFUNCTION("""COMPUTED_VALUE"""),"Mayo")</f>
        <v>Mayo</v>
      </c>
      <c r="J1566" s="42" t="str">
        <f ca="1">IFERROR(__xludf.DUMMYFUNCTION("""COMPUTED_VALUE"""),"N/A")</f>
        <v>N/A</v>
      </c>
      <c r="K1566" s="98">
        <f ca="1">IFERROR(__xludf.DUMMYFUNCTION("""COMPUTED_VALUE"""),294)</f>
        <v>294</v>
      </c>
      <c r="L1566" s="42" t="str">
        <f ca="1">IFERROR(__xludf.DUMMYFUNCTION("""COMPUTED_VALUE"""),"TRIMESTRE 2")</f>
        <v>TRIMESTRE 2</v>
      </c>
      <c r="M1566" s="42" t="str">
        <f ca="1">IFERROR(__xludf.DUMMYFUNCTION("""COMPUTED_VALUE"""),"SERVICIOS")</f>
        <v>SERVICIOS</v>
      </c>
    </row>
    <row r="1567" spans="1:13">
      <c r="A1567" s="42" t="str">
        <f ca="1">IFERROR(__xludf.DUMMYFUNCTION("""COMPUTED_VALUE"""),"2.1.1.15")</f>
        <v>2.1.1.15</v>
      </c>
      <c r="B1567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1567" s="42" t="str">
        <f ca="1">IFERROR(__xludf.DUMMYFUNCTION("""COMPUTED_VALUE"""),"3. Operación")</f>
        <v>3. Operación</v>
      </c>
      <c r="D1567" s="42" t="str">
        <f ca="1">IFERROR(__xludf.DUMMYFUNCTION("""COMPUTED_VALUE"""),"Guadalajara en Paz")</f>
        <v>Guadalajara en Paz</v>
      </c>
      <c r="E1567" s="42" t="str">
        <f ca="1">IFERROR(__xludf.DUMMYFUNCTION("""COMPUTED_VALUE"""),"Desarrollo de Habilidades y Profesionalización")</f>
        <v>Desarrollo de Habilidades y Profesionalización</v>
      </c>
      <c r="F1567" s="42" t="str">
        <f ca="1">IFERROR(__xludf.DUMMYFUNCTION("""COMPUTED_VALUE"""),"A15C1. Talleres y cursos realizados en CDC e ICAS mensualmente en 2023")</f>
        <v>A15C1. Talleres y cursos realizados en CDC e ICAS mensualmente en 2023</v>
      </c>
      <c r="G1567" s="42" t="str">
        <f ca="1">IFERROR(__xludf.DUMMYFUNCTION("""COMPUTED_VALUE"""),"Promedio mensual de talleres y cursos realizados en CDC e ICAS, en 2023")</f>
        <v>Promedio mensual de talleres y cursos realizados en CDC e ICAS, en 2023</v>
      </c>
      <c r="H1567" s="42" t="str">
        <f ca="1">IFERROR(__xludf.DUMMYFUNCTION("""COMPUTED_VALUE"""),"Servicio")</f>
        <v>Servicio</v>
      </c>
      <c r="I1567" s="42" t="str">
        <f ca="1">IFERROR(__xludf.DUMMYFUNCTION("""COMPUTED_VALUE"""),"Junio")</f>
        <v>Junio</v>
      </c>
      <c r="J1567" s="42" t="str">
        <f ca="1">IFERROR(__xludf.DUMMYFUNCTION("""COMPUTED_VALUE"""),"N/A")</f>
        <v>N/A</v>
      </c>
      <c r="K1567" s="98">
        <f ca="1">IFERROR(__xludf.DUMMYFUNCTION("""COMPUTED_VALUE"""),268)</f>
        <v>268</v>
      </c>
      <c r="L1567" s="42" t="str">
        <f ca="1">IFERROR(__xludf.DUMMYFUNCTION("""COMPUTED_VALUE"""),"TRIMESTRE 2")</f>
        <v>TRIMESTRE 2</v>
      </c>
      <c r="M1567" s="42" t="str">
        <f ca="1">IFERROR(__xludf.DUMMYFUNCTION("""COMPUTED_VALUE"""),"SERVICIOS")</f>
        <v>SERVICIOS</v>
      </c>
    </row>
    <row r="1568" spans="1:13">
      <c r="A1568" s="42" t="str">
        <f ca="1">IFERROR(__xludf.DUMMYFUNCTION("""COMPUTED_VALUE"""),"2.1.1.15")</f>
        <v>2.1.1.15</v>
      </c>
      <c r="B1568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1568" s="42" t="str">
        <f ca="1">IFERROR(__xludf.DUMMYFUNCTION("""COMPUTED_VALUE"""),"3. Operación")</f>
        <v>3. Operación</v>
      </c>
      <c r="D1568" s="42" t="str">
        <f ca="1">IFERROR(__xludf.DUMMYFUNCTION("""COMPUTED_VALUE"""),"Guadalajara en Paz")</f>
        <v>Guadalajara en Paz</v>
      </c>
      <c r="E1568" s="42" t="str">
        <f ca="1">IFERROR(__xludf.DUMMYFUNCTION("""COMPUTED_VALUE"""),"Desarrollo de Habilidades y Profesionalización")</f>
        <v>Desarrollo de Habilidades y Profesionalización</v>
      </c>
      <c r="F1568" s="42" t="str">
        <f ca="1">IFERROR(__xludf.DUMMYFUNCTION("""COMPUTED_VALUE"""),"A15C1. Talleres y cursos realizados en CDC e ICAS mensualmente en 2023")</f>
        <v>A15C1. Talleres y cursos realizados en CDC e ICAS mensualmente en 2023</v>
      </c>
      <c r="G1568" s="42" t="str">
        <f ca="1">IFERROR(__xludf.DUMMYFUNCTION("""COMPUTED_VALUE"""),"Promedio mensual de talleres y cursos realizados en CDC e ICAS, en 2023")</f>
        <v>Promedio mensual de talleres y cursos realizados en CDC e ICAS, en 2023</v>
      </c>
      <c r="H1568" s="42" t="str">
        <f ca="1">IFERROR(__xludf.DUMMYFUNCTION("""COMPUTED_VALUE"""),"Servicio")</f>
        <v>Servicio</v>
      </c>
      <c r="I1568" s="42" t="str">
        <f ca="1">IFERROR(__xludf.DUMMYFUNCTION("""COMPUTED_VALUE"""),"Julio")</f>
        <v>Julio</v>
      </c>
      <c r="J1568" s="42" t="str">
        <f ca="1">IFERROR(__xludf.DUMMYFUNCTION("""COMPUTED_VALUE"""),"N/A")</f>
        <v>N/A</v>
      </c>
      <c r="K1568" s="98">
        <f ca="1">IFERROR(__xludf.DUMMYFUNCTION("""COMPUTED_VALUE"""),269)</f>
        <v>269</v>
      </c>
      <c r="L1568" s="42" t="str">
        <f ca="1">IFERROR(__xludf.DUMMYFUNCTION("""COMPUTED_VALUE"""),"TRIMESTRE 3")</f>
        <v>TRIMESTRE 3</v>
      </c>
      <c r="M1568" s="42" t="str">
        <f ca="1">IFERROR(__xludf.DUMMYFUNCTION("""COMPUTED_VALUE"""),"SERVICIOS")</f>
        <v>SERVICIOS</v>
      </c>
    </row>
    <row r="1569" spans="1:13">
      <c r="A1569" s="42" t="str">
        <f ca="1">IFERROR(__xludf.DUMMYFUNCTION("""COMPUTED_VALUE"""),"2.1.1.15")</f>
        <v>2.1.1.15</v>
      </c>
      <c r="B1569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1569" s="42" t="str">
        <f ca="1">IFERROR(__xludf.DUMMYFUNCTION("""COMPUTED_VALUE"""),"3. Operación")</f>
        <v>3. Operación</v>
      </c>
      <c r="D1569" s="42" t="str">
        <f ca="1">IFERROR(__xludf.DUMMYFUNCTION("""COMPUTED_VALUE"""),"Guadalajara en Paz")</f>
        <v>Guadalajara en Paz</v>
      </c>
      <c r="E1569" s="42" t="str">
        <f ca="1">IFERROR(__xludf.DUMMYFUNCTION("""COMPUTED_VALUE"""),"Desarrollo de Habilidades y Profesionalización")</f>
        <v>Desarrollo de Habilidades y Profesionalización</v>
      </c>
      <c r="F1569" s="42" t="str">
        <f ca="1">IFERROR(__xludf.DUMMYFUNCTION("""COMPUTED_VALUE"""),"A15C1. Talleres y cursos realizados en CDC e ICAS mensualmente en 2023")</f>
        <v>A15C1. Talleres y cursos realizados en CDC e ICAS mensualmente en 2023</v>
      </c>
      <c r="G1569" s="42" t="str">
        <f ca="1">IFERROR(__xludf.DUMMYFUNCTION("""COMPUTED_VALUE"""),"Promedio mensual de talleres y cursos realizados en CDC e ICAS, en 2023")</f>
        <v>Promedio mensual de talleres y cursos realizados en CDC e ICAS, en 2023</v>
      </c>
      <c r="H1569" s="42" t="str">
        <f ca="1">IFERROR(__xludf.DUMMYFUNCTION("""COMPUTED_VALUE"""),"Servicio")</f>
        <v>Servicio</v>
      </c>
      <c r="I1569" s="42" t="str">
        <f ca="1">IFERROR(__xludf.DUMMYFUNCTION("""COMPUTED_VALUE"""),"Agosto")</f>
        <v>Agosto</v>
      </c>
      <c r="J1569" s="42" t="str">
        <f ca="1">IFERROR(__xludf.DUMMYFUNCTION("""COMPUTED_VALUE"""),"N/A")</f>
        <v>N/A</v>
      </c>
      <c r="K1569" s="98">
        <f ca="1">IFERROR(__xludf.DUMMYFUNCTION("""COMPUTED_VALUE"""),91)</f>
        <v>91</v>
      </c>
      <c r="L1569" s="42" t="str">
        <f ca="1">IFERROR(__xludf.DUMMYFUNCTION("""COMPUTED_VALUE"""),"TRIMESTRE 3")</f>
        <v>TRIMESTRE 3</v>
      </c>
      <c r="M1569" s="42" t="str">
        <f ca="1">IFERROR(__xludf.DUMMYFUNCTION("""COMPUTED_VALUE"""),"SERVICIOS")</f>
        <v>SERVICIOS</v>
      </c>
    </row>
    <row r="1570" spans="1:13">
      <c r="A1570" s="42" t="str">
        <f ca="1">IFERROR(__xludf.DUMMYFUNCTION("""COMPUTED_VALUE"""),"2.1.1.15")</f>
        <v>2.1.1.15</v>
      </c>
      <c r="B1570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1570" s="42" t="str">
        <f ca="1">IFERROR(__xludf.DUMMYFUNCTION("""COMPUTED_VALUE"""),"3. Operación")</f>
        <v>3. Operación</v>
      </c>
      <c r="D1570" s="42" t="str">
        <f ca="1">IFERROR(__xludf.DUMMYFUNCTION("""COMPUTED_VALUE"""),"Guadalajara en Paz")</f>
        <v>Guadalajara en Paz</v>
      </c>
      <c r="E1570" s="42" t="str">
        <f ca="1">IFERROR(__xludf.DUMMYFUNCTION("""COMPUTED_VALUE"""),"Desarrollo de Habilidades y Profesionalización")</f>
        <v>Desarrollo de Habilidades y Profesionalización</v>
      </c>
      <c r="F1570" s="42" t="str">
        <f ca="1">IFERROR(__xludf.DUMMYFUNCTION("""COMPUTED_VALUE"""),"A15C1. Talleres y cursos realizados en CDC e ICAS mensualmente en 2023")</f>
        <v>A15C1. Talleres y cursos realizados en CDC e ICAS mensualmente en 2023</v>
      </c>
      <c r="G1570" s="42" t="str">
        <f ca="1">IFERROR(__xludf.DUMMYFUNCTION("""COMPUTED_VALUE"""),"Promedio mensual de talleres y cursos realizados en CDC e ICAS, en 2023")</f>
        <v>Promedio mensual de talleres y cursos realizados en CDC e ICAS, en 2023</v>
      </c>
      <c r="H1570" s="42" t="str">
        <f ca="1">IFERROR(__xludf.DUMMYFUNCTION("""COMPUTED_VALUE"""),"Servicio")</f>
        <v>Servicio</v>
      </c>
      <c r="I1570" s="42" t="str">
        <f ca="1">IFERROR(__xludf.DUMMYFUNCTION("""COMPUTED_VALUE"""),"Septiembre")</f>
        <v>Septiembre</v>
      </c>
      <c r="J1570" s="42" t="str">
        <f ca="1">IFERROR(__xludf.DUMMYFUNCTION("""COMPUTED_VALUE"""),"N/A")</f>
        <v>N/A</v>
      </c>
      <c r="K1570" s="98">
        <f ca="1">IFERROR(__xludf.DUMMYFUNCTION("""COMPUTED_VALUE"""),238)</f>
        <v>238</v>
      </c>
      <c r="L1570" s="42" t="str">
        <f ca="1">IFERROR(__xludf.DUMMYFUNCTION("""COMPUTED_VALUE"""),"TRIMESTRE 3")</f>
        <v>TRIMESTRE 3</v>
      </c>
      <c r="M1570" s="42" t="str">
        <f ca="1">IFERROR(__xludf.DUMMYFUNCTION("""COMPUTED_VALUE"""),"SERVICIOS")</f>
        <v>SERVICIOS</v>
      </c>
    </row>
    <row r="1571" spans="1:13">
      <c r="A1571" s="42" t="str">
        <f ca="1">IFERROR(__xludf.DUMMYFUNCTION("""COMPUTED_VALUE"""),"2.1.1.15")</f>
        <v>2.1.1.15</v>
      </c>
      <c r="B1571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1571" s="42" t="str">
        <f ca="1">IFERROR(__xludf.DUMMYFUNCTION("""COMPUTED_VALUE"""),"3. Operación")</f>
        <v>3. Operación</v>
      </c>
      <c r="D1571" s="42" t="str">
        <f ca="1">IFERROR(__xludf.DUMMYFUNCTION("""COMPUTED_VALUE"""),"Guadalajara en Paz")</f>
        <v>Guadalajara en Paz</v>
      </c>
      <c r="E1571" s="42" t="str">
        <f ca="1">IFERROR(__xludf.DUMMYFUNCTION("""COMPUTED_VALUE"""),"Desarrollo de Habilidades y Profesionalización")</f>
        <v>Desarrollo de Habilidades y Profesionalización</v>
      </c>
      <c r="F1571" s="42" t="str">
        <f ca="1">IFERROR(__xludf.DUMMYFUNCTION("""COMPUTED_VALUE"""),"A15C1. Talleres y cursos realizados en CDC e ICAS mensualmente en 2023")</f>
        <v>A15C1. Talleres y cursos realizados en CDC e ICAS mensualmente en 2023</v>
      </c>
      <c r="G1571" s="42" t="str">
        <f ca="1">IFERROR(__xludf.DUMMYFUNCTION("""COMPUTED_VALUE"""),"Promedio mensual de talleres y cursos realizados en CDC e ICAS, en 2023")</f>
        <v>Promedio mensual de talleres y cursos realizados en CDC e ICAS, en 2023</v>
      </c>
      <c r="H1571" s="42" t="str">
        <f ca="1">IFERROR(__xludf.DUMMYFUNCTION("""COMPUTED_VALUE"""),"Servicio")</f>
        <v>Servicio</v>
      </c>
      <c r="I1571" s="42" t="str">
        <f ca="1">IFERROR(__xludf.DUMMYFUNCTION("""COMPUTED_VALUE"""),"Octubre")</f>
        <v>Octubre</v>
      </c>
      <c r="J1571" s="42" t="str">
        <f ca="1">IFERROR(__xludf.DUMMYFUNCTION("""COMPUTED_VALUE"""),"N/A")</f>
        <v>N/A</v>
      </c>
      <c r="K1571" s="98"/>
      <c r="L1571" s="42" t="str">
        <f ca="1">IFERROR(__xludf.DUMMYFUNCTION("""COMPUTED_VALUE"""),"TRIMESTRE 4")</f>
        <v>TRIMESTRE 4</v>
      </c>
      <c r="M1571" s="42" t="str">
        <f ca="1">IFERROR(__xludf.DUMMYFUNCTION("""COMPUTED_VALUE"""),"SERVICIOS")</f>
        <v>SERVICIOS</v>
      </c>
    </row>
    <row r="1572" spans="1:13">
      <c r="A1572" s="42" t="str">
        <f ca="1">IFERROR(__xludf.DUMMYFUNCTION("""COMPUTED_VALUE"""),"2.1.1.15")</f>
        <v>2.1.1.15</v>
      </c>
      <c r="B1572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1572" s="42" t="str">
        <f ca="1">IFERROR(__xludf.DUMMYFUNCTION("""COMPUTED_VALUE"""),"3. Operación")</f>
        <v>3. Operación</v>
      </c>
      <c r="D1572" s="42" t="str">
        <f ca="1">IFERROR(__xludf.DUMMYFUNCTION("""COMPUTED_VALUE"""),"Guadalajara en Paz")</f>
        <v>Guadalajara en Paz</v>
      </c>
      <c r="E1572" s="42" t="str">
        <f ca="1">IFERROR(__xludf.DUMMYFUNCTION("""COMPUTED_VALUE"""),"Desarrollo de Habilidades y Profesionalización")</f>
        <v>Desarrollo de Habilidades y Profesionalización</v>
      </c>
      <c r="F1572" s="42" t="str">
        <f ca="1">IFERROR(__xludf.DUMMYFUNCTION("""COMPUTED_VALUE"""),"A15C1. Talleres y cursos realizados en CDC e ICAS mensualmente en 2023")</f>
        <v>A15C1. Talleres y cursos realizados en CDC e ICAS mensualmente en 2023</v>
      </c>
      <c r="G1572" s="42" t="str">
        <f ca="1">IFERROR(__xludf.DUMMYFUNCTION("""COMPUTED_VALUE"""),"Promedio mensual de talleres y cursos realizados en CDC e ICAS, en 2023")</f>
        <v>Promedio mensual de talleres y cursos realizados en CDC e ICAS, en 2023</v>
      </c>
      <c r="H1572" s="42" t="str">
        <f ca="1">IFERROR(__xludf.DUMMYFUNCTION("""COMPUTED_VALUE"""),"Servicio")</f>
        <v>Servicio</v>
      </c>
      <c r="I1572" s="42" t="str">
        <f ca="1">IFERROR(__xludf.DUMMYFUNCTION("""COMPUTED_VALUE"""),"Noviembre")</f>
        <v>Noviembre</v>
      </c>
      <c r="J1572" s="42" t="str">
        <f ca="1">IFERROR(__xludf.DUMMYFUNCTION("""COMPUTED_VALUE"""),"N/A")</f>
        <v>N/A</v>
      </c>
      <c r="K1572" s="98"/>
      <c r="L1572" s="42" t="str">
        <f ca="1">IFERROR(__xludf.DUMMYFUNCTION("""COMPUTED_VALUE"""),"TRIMESTRE 4")</f>
        <v>TRIMESTRE 4</v>
      </c>
      <c r="M1572" s="42" t="str">
        <f ca="1">IFERROR(__xludf.DUMMYFUNCTION("""COMPUTED_VALUE"""),"SERVICIOS")</f>
        <v>SERVICIOS</v>
      </c>
    </row>
    <row r="1573" spans="1:13">
      <c r="A1573" s="42" t="str">
        <f ca="1">IFERROR(__xludf.DUMMYFUNCTION("""COMPUTED_VALUE"""),"2.1.1.15")</f>
        <v>2.1.1.15</v>
      </c>
      <c r="B1573" s="42" t="str">
        <f ca="1">IFERROR(__xludf.DUMMYFUNCTION("""COMPUTED_VALUE"""),"Desarrollo de Habilidades y Profesionalización/Jefatura del Departamento de Educación Extraescolar/Dirección del Área de Habilidades y Desarrollo Comunitario/Coord.3. Operación")</f>
        <v>Desarrollo de Habilidades y Profesionalización/Jefatura del Departamento de Educación Extraescolar/Dirección del Área de Habilidades y Desarrollo Comunitario/Coord.3. Operación</v>
      </c>
      <c r="C1573" s="42" t="str">
        <f ca="1">IFERROR(__xludf.DUMMYFUNCTION("""COMPUTED_VALUE"""),"3. Operación")</f>
        <v>3. Operación</v>
      </c>
      <c r="D1573" s="42" t="str">
        <f ca="1">IFERROR(__xludf.DUMMYFUNCTION("""COMPUTED_VALUE"""),"Guadalajara en Paz")</f>
        <v>Guadalajara en Paz</v>
      </c>
      <c r="E1573" s="42" t="str">
        <f ca="1">IFERROR(__xludf.DUMMYFUNCTION("""COMPUTED_VALUE"""),"Desarrollo de Habilidades y Profesionalización")</f>
        <v>Desarrollo de Habilidades y Profesionalización</v>
      </c>
      <c r="F1573" s="42" t="str">
        <f ca="1">IFERROR(__xludf.DUMMYFUNCTION("""COMPUTED_VALUE"""),"A15C1. Talleres y cursos realizados en CDC e ICAS mensualmente en 2023")</f>
        <v>A15C1. Talleres y cursos realizados en CDC e ICAS mensualmente en 2023</v>
      </c>
      <c r="G1573" s="42" t="str">
        <f ca="1">IFERROR(__xludf.DUMMYFUNCTION("""COMPUTED_VALUE"""),"Promedio mensual de talleres y cursos realizados en CDC e ICAS, en 2023")</f>
        <v>Promedio mensual de talleres y cursos realizados en CDC e ICAS, en 2023</v>
      </c>
      <c r="H1573" s="42" t="str">
        <f ca="1">IFERROR(__xludf.DUMMYFUNCTION("""COMPUTED_VALUE"""),"Servicio")</f>
        <v>Servicio</v>
      </c>
      <c r="I1573" s="42" t="str">
        <f ca="1">IFERROR(__xludf.DUMMYFUNCTION("""COMPUTED_VALUE"""),"Diciembre")</f>
        <v>Diciembre</v>
      </c>
      <c r="J1573" s="42" t="str">
        <f ca="1">IFERROR(__xludf.DUMMYFUNCTION("""COMPUTED_VALUE"""),"N/A")</f>
        <v>N/A</v>
      </c>
      <c r="K1573" s="98"/>
      <c r="L1573" s="42" t="str">
        <f ca="1">IFERROR(__xludf.DUMMYFUNCTION("""COMPUTED_VALUE"""),"TRIMESTRE 4")</f>
        <v>TRIMESTRE 4</v>
      </c>
      <c r="M1573" s="42" t="str">
        <f ca="1">IFERROR(__xludf.DUMMYFUNCTION("""COMPUTED_VALUE"""),"SERVICIOS")</f>
        <v>SERVICIOS</v>
      </c>
    </row>
    <row r="1574" spans="1:13">
      <c r="A1574" s="42" t="str">
        <f ca="1">IFERROR(__xludf.DUMMYFUNCTION("""COMPUTED_VALUE"""),"2.1.1.13")</f>
        <v>2.1.1.13</v>
      </c>
      <c r="B1574" s="42" t="str">
        <f ca="1">IFERROR(__xludf.DUMMYFUNCTION("""COMPUTED_VALUE"""),"Comedores Comunitarios/Jefatura del Departamento de Comedores Comunitarios/Dirección del Área de Habilidades y Desarrollo Comunitario/Coord.3. Operación")</f>
        <v>Comedores Comunitarios/Jefatura del Departamento de Comedores Comunitarios/Dirección del Área de Habilidades y Desarrollo Comunitario/Coord.3. Operación</v>
      </c>
      <c r="C1574" s="42" t="str">
        <f ca="1">IFERROR(__xludf.DUMMYFUNCTION("""COMPUTED_VALUE"""),"3. Operación")</f>
        <v>3. Operación</v>
      </c>
      <c r="D1574" s="42" t="str">
        <f ca="1">IFERROR(__xludf.DUMMYFUNCTION("""COMPUTED_VALUE"""),"Guadalajara en Paz")</f>
        <v>Guadalajara en Paz</v>
      </c>
      <c r="E1574" s="42" t="str">
        <f ca="1">IFERROR(__xludf.DUMMYFUNCTION("""COMPUTED_VALUE"""),"Comedores Comunitarios")</f>
        <v>Comedores Comunitarios</v>
      </c>
      <c r="F1574" s="42" t="str">
        <f ca="1">IFERROR(__xludf.DUMMYFUNCTION("""COMPUTED_VALUE"""),"A13C1. Entrega de raciones alimenticias en los comedores comunitarios")</f>
        <v>A13C1. Entrega de raciones alimenticias en los comedores comunitarios</v>
      </c>
      <c r="G1574" s="42" t="str">
        <f ca="1">IFERROR(__xludf.DUMMYFUNCTION("""COMPUTED_VALUE"""),"Porcentaje de cumplimiento en la entrega de raciones alimentarias en comedores comunitarios, durante el 2023")</f>
        <v>Porcentaje de cumplimiento en la entrega de raciones alimentarias en comedores comunitarios, durante el 2023</v>
      </c>
      <c r="H1574" s="42" t="str">
        <f ca="1">IFERROR(__xludf.DUMMYFUNCTION("""COMPUTED_VALUE"""),"Servicio")</f>
        <v>Servicio</v>
      </c>
      <c r="I1574" s="42" t="str">
        <f ca="1">IFERROR(__xludf.DUMMYFUNCTION("""COMPUTED_VALUE"""),"Enero")</f>
        <v>Enero</v>
      </c>
      <c r="J1574" s="42" t="str">
        <f ca="1">IFERROR(__xludf.DUMMYFUNCTION("""COMPUTED_VALUE"""),"N/A")</f>
        <v>N/A</v>
      </c>
      <c r="K1574" s="98">
        <f ca="1">IFERROR(__xludf.DUMMYFUNCTION("""COMPUTED_VALUE"""),22440)</f>
        <v>22440</v>
      </c>
      <c r="L1574" s="42" t="str">
        <f ca="1">IFERROR(__xludf.DUMMYFUNCTION("""COMPUTED_VALUE"""),"TRIMESTRE 1")</f>
        <v>TRIMESTRE 1</v>
      </c>
      <c r="M1574" s="42" t="str">
        <f ca="1">IFERROR(__xludf.DUMMYFUNCTION("""COMPUTED_VALUE"""),"SERVICIOS")</f>
        <v>SERVICIOS</v>
      </c>
    </row>
    <row r="1575" spans="1:13">
      <c r="A1575" s="42" t="str">
        <f ca="1">IFERROR(__xludf.DUMMYFUNCTION("""COMPUTED_VALUE"""),"2.1.1.13")</f>
        <v>2.1.1.13</v>
      </c>
      <c r="B1575" s="42" t="str">
        <f ca="1">IFERROR(__xludf.DUMMYFUNCTION("""COMPUTED_VALUE"""),"Comedores Comunitarios/Jefatura del Departamento de Comedores Comunitarios/Dirección del Área de Habilidades y Desarrollo Comunitario/Coord.3. Operación")</f>
        <v>Comedores Comunitarios/Jefatura del Departamento de Comedores Comunitarios/Dirección del Área de Habilidades y Desarrollo Comunitario/Coord.3. Operación</v>
      </c>
      <c r="C1575" s="42" t="str">
        <f ca="1">IFERROR(__xludf.DUMMYFUNCTION("""COMPUTED_VALUE"""),"3. Operación")</f>
        <v>3. Operación</v>
      </c>
      <c r="D1575" s="42" t="str">
        <f ca="1">IFERROR(__xludf.DUMMYFUNCTION("""COMPUTED_VALUE"""),"Guadalajara en Paz")</f>
        <v>Guadalajara en Paz</v>
      </c>
      <c r="E1575" s="42" t="str">
        <f ca="1">IFERROR(__xludf.DUMMYFUNCTION("""COMPUTED_VALUE"""),"Comedores Comunitarios")</f>
        <v>Comedores Comunitarios</v>
      </c>
      <c r="F1575" s="42" t="str">
        <f ca="1">IFERROR(__xludf.DUMMYFUNCTION("""COMPUTED_VALUE"""),"A13C1. Entrega de raciones alimenticias en los comedores comunitarios")</f>
        <v>A13C1. Entrega de raciones alimenticias en los comedores comunitarios</v>
      </c>
      <c r="G1575" s="42" t="str">
        <f ca="1">IFERROR(__xludf.DUMMYFUNCTION("""COMPUTED_VALUE"""),"Porcentaje de cumplimiento en la entrega de raciones alimentarias en comedores comunitarios, durante el 2023")</f>
        <v>Porcentaje de cumplimiento en la entrega de raciones alimentarias en comedores comunitarios, durante el 2023</v>
      </c>
      <c r="H1575" s="42" t="str">
        <f ca="1">IFERROR(__xludf.DUMMYFUNCTION("""COMPUTED_VALUE"""),"Servicio")</f>
        <v>Servicio</v>
      </c>
      <c r="I1575" s="42" t="str">
        <f ca="1">IFERROR(__xludf.DUMMYFUNCTION("""COMPUTED_VALUE"""),"Febrero")</f>
        <v>Febrero</v>
      </c>
      <c r="J1575" s="42" t="str">
        <f ca="1">IFERROR(__xludf.DUMMYFUNCTION("""COMPUTED_VALUE"""),"N/A")</f>
        <v>N/A</v>
      </c>
      <c r="K1575" s="98">
        <f ca="1">IFERROR(__xludf.DUMMYFUNCTION("""COMPUTED_VALUE"""),19380)</f>
        <v>19380</v>
      </c>
      <c r="L1575" s="42" t="str">
        <f ca="1">IFERROR(__xludf.DUMMYFUNCTION("""COMPUTED_VALUE"""),"TRIMESTRE 1")</f>
        <v>TRIMESTRE 1</v>
      </c>
      <c r="M1575" s="42" t="str">
        <f ca="1">IFERROR(__xludf.DUMMYFUNCTION("""COMPUTED_VALUE"""),"SERVICIOS")</f>
        <v>SERVICIOS</v>
      </c>
    </row>
    <row r="1576" spans="1:13">
      <c r="A1576" s="42" t="str">
        <f ca="1">IFERROR(__xludf.DUMMYFUNCTION("""COMPUTED_VALUE"""),"2.1.1.13")</f>
        <v>2.1.1.13</v>
      </c>
      <c r="B1576" s="42" t="str">
        <f ca="1">IFERROR(__xludf.DUMMYFUNCTION("""COMPUTED_VALUE"""),"Comedores Comunitarios/Jefatura del Departamento de Comedores Comunitarios/Dirección del Área de Habilidades y Desarrollo Comunitario/Coord.3. Operación")</f>
        <v>Comedores Comunitarios/Jefatura del Departamento de Comedores Comunitarios/Dirección del Área de Habilidades y Desarrollo Comunitario/Coord.3. Operación</v>
      </c>
      <c r="C1576" s="42" t="str">
        <f ca="1">IFERROR(__xludf.DUMMYFUNCTION("""COMPUTED_VALUE"""),"3. Operación")</f>
        <v>3. Operación</v>
      </c>
      <c r="D1576" s="42" t="str">
        <f ca="1">IFERROR(__xludf.DUMMYFUNCTION("""COMPUTED_VALUE"""),"Guadalajara en Paz")</f>
        <v>Guadalajara en Paz</v>
      </c>
      <c r="E1576" s="42" t="str">
        <f ca="1">IFERROR(__xludf.DUMMYFUNCTION("""COMPUTED_VALUE"""),"Comedores Comunitarios")</f>
        <v>Comedores Comunitarios</v>
      </c>
      <c r="F1576" s="42" t="str">
        <f ca="1">IFERROR(__xludf.DUMMYFUNCTION("""COMPUTED_VALUE"""),"A13C1. Entrega de raciones alimenticias en los comedores comunitarios")</f>
        <v>A13C1. Entrega de raciones alimenticias en los comedores comunitarios</v>
      </c>
      <c r="G1576" s="42" t="str">
        <f ca="1">IFERROR(__xludf.DUMMYFUNCTION("""COMPUTED_VALUE"""),"Porcentaje de cumplimiento en la entrega de raciones alimentarias en comedores comunitarios, durante el 2023")</f>
        <v>Porcentaje de cumplimiento en la entrega de raciones alimentarias en comedores comunitarios, durante el 2023</v>
      </c>
      <c r="H1576" s="42" t="str">
        <f ca="1">IFERROR(__xludf.DUMMYFUNCTION("""COMPUTED_VALUE"""),"Servicio")</f>
        <v>Servicio</v>
      </c>
      <c r="I1576" s="42" t="str">
        <f ca="1">IFERROR(__xludf.DUMMYFUNCTION("""COMPUTED_VALUE"""),"Marzo")</f>
        <v>Marzo</v>
      </c>
      <c r="J1576" s="42" t="str">
        <f ca="1">IFERROR(__xludf.DUMMYFUNCTION("""COMPUTED_VALUE"""),"N/A")</f>
        <v>N/A</v>
      </c>
      <c r="K1576" s="98">
        <f ca="1">IFERROR(__xludf.DUMMYFUNCTION("""COMPUTED_VALUE"""),23460)</f>
        <v>23460</v>
      </c>
      <c r="L1576" s="42" t="str">
        <f ca="1">IFERROR(__xludf.DUMMYFUNCTION("""COMPUTED_VALUE"""),"TRIMESTRE 1")</f>
        <v>TRIMESTRE 1</v>
      </c>
      <c r="M1576" s="42" t="str">
        <f ca="1">IFERROR(__xludf.DUMMYFUNCTION("""COMPUTED_VALUE"""),"SERVICIOS")</f>
        <v>SERVICIOS</v>
      </c>
    </row>
    <row r="1577" spans="1:13">
      <c r="A1577" s="42" t="str">
        <f ca="1">IFERROR(__xludf.DUMMYFUNCTION("""COMPUTED_VALUE"""),"2.1.1.13")</f>
        <v>2.1.1.13</v>
      </c>
      <c r="B1577" s="42" t="str">
        <f ca="1">IFERROR(__xludf.DUMMYFUNCTION("""COMPUTED_VALUE"""),"Comedores Comunitarios/Jefatura del Departamento de Comedores Comunitarios/Dirección del Área de Habilidades y Desarrollo Comunitario/Coord.3. Operación")</f>
        <v>Comedores Comunitarios/Jefatura del Departamento de Comedores Comunitarios/Dirección del Área de Habilidades y Desarrollo Comunitario/Coord.3. Operación</v>
      </c>
      <c r="C1577" s="42" t="str">
        <f ca="1">IFERROR(__xludf.DUMMYFUNCTION("""COMPUTED_VALUE"""),"3. Operación")</f>
        <v>3. Operación</v>
      </c>
      <c r="D1577" s="42" t="str">
        <f ca="1">IFERROR(__xludf.DUMMYFUNCTION("""COMPUTED_VALUE"""),"Guadalajara en Paz")</f>
        <v>Guadalajara en Paz</v>
      </c>
      <c r="E1577" s="42" t="str">
        <f ca="1">IFERROR(__xludf.DUMMYFUNCTION("""COMPUTED_VALUE"""),"Comedores Comunitarios")</f>
        <v>Comedores Comunitarios</v>
      </c>
      <c r="F1577" s="42" t="str">
        <f ca="1">IFERROR(__xludf.DUMMYFUNCTION("""COMPUTED_VALUE"""),"A13C1. Entrega de raciones alimenticias en los comedores comunitarios")</f>
        <v>A13C1. Entrega de raciones alimenticias en los comedores comunitarios</v>
      </c>
      <c r="G1577" s="42" t="str">
        <f ca="1">IFERROR(__xludf.DUMMYFUNCTION("""COMPUTED_VALUE"""),"Porcentaje de cumplimiento en la entrega de raciones alimentarias en comedores comunitarios, durante el 2023")</f>
        <v>Porcentaje de cumplimiento en la entrega de raciones alimentarias en comedores comunitarios, durante el 2023</v>
      </c>
      <c r="H1577" s="42" t="str">
        <f ca="1">IFERROR(__xludf.DUMMYFUNCTION("""COMPUTED_VALUE"""),"Servicio")</f>
        <v>Servicio</v>
      </c>
      <c r="I1577" s="42" t="str">
        <f ca="1">IFERROR(__xludf.DUMMYFUNCTION("""COMPUTED_VALUE"""),"Abril")</f>
        <v>Abril</v>
      </c>
      <c r="J1577" s="42" t="str">
        <f ca="1">IFERROR(__xludf.DUMMYFUNCTION("""COMPUTED_VALUE"""),"N/A")</f>
        <v>N/A</v>
      </c>
      <c r="K1577" s="98">
        <f ca="1">IFERROR(__xludf.DUMMYFUNCTION("""COMPUTED_VALUE"""),10200)</f>
        <v>10200</v>
      </c>
      <c r="L1577" s="42" t="str">
        <f ca="1">IFERROR(__xludf.DUMMYFUNCTION("""COMPUTED_VALUE"""),"TRIMESTRE 2")</f>
        <v>TRIMESTRE 2</v>
      </c>
      <c r="M1577" s="42" t="str">
        <f ca="1">IFERROR(__xludf.DUMMYFUNCTION("""COMPUTED_VALUE"""),"SERVICIOS")</f>
        <v>SERVICIOS</v>
      </c>
    </row>
    <row r="1578" spans="1:13">
      <c r="A1578" s="42" t="str">
        <f ca="1">IFERROR(__xludf.DUMMYFUNCTION("""COMPUTED_VALUE"""),"2.1.1.13")</f>
        <v>2.1.1.13</v>
      </c>
      <c r="B1578" s="42" t="str">
        <f ca="1">IFERROR(__xludf.DUMMYFUNCTION("""COMPUTED_VALUE"""),"Comedores Comunitarios/Jefatura del Departamento de Comedores Comunitarios/Dirección del Área de Habilidades y Desarrollo Comunitario/Coord.3. Operación")</f>
        <v>Comedores Comunitarios/Jefatura del Departamento de Comedores Comunitarios/Dirección del Área de Habilidades y Desarrollo Comunitario/Coord.3. Operación</v>
      </c>
      <c r="C1578" s="42" t="str">
        <f ca="1">IFERROR(__xludf.DUMMYFUNCTION("""COMPUTED_VALUE"""),"3. Operación")</f>
        <v>3. Operación</v>
      </c>
      <c r="D1578" s="42" t="str">
        <f ca="1">IFERROR(__xludf.DUMMYFUNCTION("""COMPUTED_VALUE"""),"Guadalajara en Paz")</f>
        <v>Guadalajara en Paz</v>
      </c>
      <c r="E1578" s="42" t="str">
        <f ca="1">IFERROR(__xludf.DUMMYFUNCTION("""COMPUTED_VALUE"""),"Comedores Comunitarios")</f>
        <v>Comedores Comunitarios</v>
      </c>
      <c r="F1578" s="42" t="str">
        <f ca="1">IFERROR(__xludf.DUMMYFUNCTION("""COMPUTED_VALUE"""),"A13C1. Entrega de raciones alimenticias en los comedores comunitarios")</f>
        <v>A13C1. Entrega de raciones alimenticias en los comedores comunitarios</v>
      </c>
      <c r="G1578" s="42" t="str">
        <f ca="1">IFERROR(__xludf.DUMMYFUNCTION("""COMPUTED_VALUE"""),"Porcentaje de cumplimiento en la entrega de raciones alimentarias en comedores comunitarios, durante el 2023")</f>
        <v>Porcentaje de cumplimiento en la entrega de raciones alimentarias en comedores comunitarios, durante el 2023</v>
      </c>
      <c r="H1578" s="42" t="str">
        <f ca="1">IFERROR(__xludf.DUMMYFUNCTION("""COMPUTED_VALUE"""),"Servicio")</f>
        <v>Servicio</v>
      </c>
      <c r="I1578" s="42" t="str">
        <f ca="1">IFERROR(__xludf.DUMMYFUNCTION("""COMPUTED_VALUE"""),"Mayo")</f>
        <v>Mayo</v>
      </c>
      <c r="J1578" s="42" t="str">
        <f ca="1">IFERROR(__xludf.DUMMYFUNCTION("""COMPUTED_VALUE"""),"N/A")</f>
        <v>N/A</v>
      </c>
      <c r="K1578" s="98">
        <f ca="1">IFERROR(__xludf.DUMMYFUNCTION("""COMPUTED_VALUE"""),22440)</f>
        <v>22440</v>
      </c>
      <c r="L1578" s="42" t="str">
        <f ca="1">IFERROR(__xludf.DUMMYFUNCTION("""COMPUTED_VALUE"""),"TRIMESTRE 2")</f>
        <v>TRIMESTRE 2</v>
      </c>
      <c r="M1578" s="42" t="str">
        <f ca="1">IFERROR(__xludf.DUMMYFUNCTION("""COMPUTED_VALUE"""),"SERVICIOS")</f>
        <v>SERVICIOS</v>
      </c>
    </row>
    <row r="1579" spans="1:13">
      <c r="A1579" s="42" t="str">
        <f ca="1">IFERROR(__xludf.DUMMYFUNCTION("""COMPUTED_VALUE"""),"2.1.1.13")</f>
        <v>2.1.1.13</v>
      </c>
      <c r="B1579" s="42" t="str">
        <f ca="1">IFERROR(__xludf.DUMMYFUNCTION("""COMPUTED_VALUE"""),"Comedores Comunitarios/Jefatura del Departamento de Comedores Comunitarios/Dirección del Área de Habilidades y Desarrollo Comunitario/Coord.3. Operación")</f>
        <v>Comedores Comunitarios/Jefatura del Departamento de Comedores Comunitarios/Dirección del Área de Habilidades y Desarrollo Comunitario/Coord.3. Operación</v>
      </c>
      <c r="C1579" s="42" t="str">
        <f ca="1">IFERROR(__xludf.DUMMYFUNCTION("""COMPUTED_VALUE"""),"3. Operación")</f>
        <v>3. Operación</v>
      </c>
      <c r="D1579" s="42" t="str">
        <f ca="1">IFERROR(__xludf.DUMMYFUNCTION("""COMPUTED_VALUE"""),"Guadalajara en Paz")</f>
        <v>Guadalajara en Paz</v>
      </c>
      <c r="E1579" s="42" t="str">
        <f ca="1">IFERROR(__xludf.DUMMYFUNCTION("""COMPUTED_VALUE"""),"Comedores Comunitarios")</f>
        <v>Comedores Comunitarios</v>
      </c>
      <c r="F1579" s="42" t="str">
        <f ca="1">IFERROR(__xludf.DUMMYFUNCTION("""COMPUTED_VALUE"""),"A13C1. Entrega de raciones alimenticias en los comedores comunitarios")</f>
        <v>A13C1. Entrega de raciones alimenticias en los comedores comunitarios</v>
      </c>
      <c r="G1579" s="42" t="str">
        <f ca="1">IFERROR(__xludf.DUMMYFUNCTION("""COMPUTED_VALUE"""),"Porcentaje de cumplimiento en la entrega de raciones alimentarias en comedores comunitarios, durante el 2023")</f>
        <v>Porcentaje de cumplimiento en la entrega de raciones alimentarias en comedores comunitarios, durante el 2023</v>
      </c>
      <c r="H1579" s="42" t="str">
        <f ca="1">IFERROR(__xludf.DUMMYFUNCTION("""COMPUTED_VALUE"""),"Servicio")</f>
        <v>Servicio</v>
      </c>
      <c r="I1579" s="42" t="str">
        <f ca="1">IFERROR(__xludf.DUMMYFUNCTION("""COMPUTED_VALUE"""),"Junio")</f>
        <v>Junio</v>
      </c>
      <c r="J1579" s="42" t="str">
        <f ca="1">IFERROR(__xludf.DUMMYFUNCTION("""COMPUTED_VALUE"""),"N/A")</f>
        <v>N/A</v>
      </c>
      <c r="K1579" s="98">
        <f ca="1">IFERROR(__xludf.DUMMYFUNCTION("""COMPUTED_VALUE"""),22440)</f>
        <v>22440</v>
      </c>
      <c r="L1579" s="42" t="str">
        <f ca="1">IFERROR(__xludf.DUMMYFUNCTION("""COMPUTED_VALUE"""),"TRIMESTRE 2")</f>
        <v>TRIMESTRE 2</v>
      </c>
      <c r="M1579" s="42" t="str">
        <f ca="1">IFERROR(__xludf.DUMMYFUNCTION("""COMPUTED_VALUE"""),"SERVICIOS")</f>
        <v>SERVICIOS</v>
      </c>
    </row>
    <row r="1580" spans="1:13">
      <c r="A1580" s="42" t="str">
        <f ca="1">IFERROR(__xludf.DUMMYFUNCTION("""COMPUTED_VALUE"""),"2.1.1.13")</f>
        <v>2.1.1.13</v>
      </c>
      <c r="B1580" s="42" t="str">
        <f ca="1">IFERROR(__xludf.DUMMYFUNCTION("""COMPUTED_VALUE"""),"Comedores Comunitarios/Jefatura del Departamento de Comedores Comunitarios/Dirección del Área de Habilidades y Desarrollo Comunitario/Coord.3. Operación")</f>
        <v>Comedores Comunitarios/Jefatura del Departamento de Comedores Comunitarios/Dirección del Área de Habilidades y Desarrollo Comunitario/Coord.3. Operación</v>
      </c>
      <c r="C1580" s="42" t="str">
        <f ca="1">IFERROR(__xludf.DUMMYFUNCTION("""COMPUTED_VALUE"""),"3. Operación")</f>
        <v>3. Operación</v>
      </c>
      <c r="D1580" s="42" t="str">
        <f ca="1">IFERROR(__xludf.DUMMYFUNCTION("""COMPUTED_VALUE"""),"Guadalajara en Paz")</f>
        <v>Guadalajara en Paz</v>
      </c>
      <c r="E1580" s="42" t="str">
        <f ca="1">IFERROR(__xludf.DUMMYFUNCTION("""COMPUTED_VALUE"""),"Comedores Comunitarios")</f>
        <v>Comedores Comunitarios</v>
      </c>
      <c r="F1580" s="42" t="str">
        <f ca="1">IFERROR(__xludf.DUMMYFUNCTION("""COMPUTED_VALUE"""),"A13C1. Entrega de raciones alimenticias en los comedores comunitarios")</f>
        <v>A13C1. Entrega de raciones alimenticias en los comedores comunitarios</v>
      </c>
      <c r="G1580" s="42" t="str">
        <f ca="1">IFERROR(__xludf.DUMMYFUNCTION("""COMPUTED_VALUE"""),"Porcentaje de cumplimiento en la entrega de raciones alimentarias en comedores comunitarios, durante el 2023")</f>
        <v>Porcentaje de cumplimiento en la entrega de raciones alimentarias en comedores comunitarios, durante el 2023</v>
      </c>
      <c r="H1580" s="42" t="str">
        <f ca="1">IFERROR(__xludf.DUMMYFUNCTION("""COMPUTED_VALUE"""),"Servicio")</f>
        <v>Servicio</v>
      </c>
      <c r="I1580" s="42" t="str">
        <f ca="1">IFERROR(__xludf.DUMMYFUNCTION("""COMPUTED_VALUE"""),"Julio")</f>
        <v>Julio</v>
      </c>
      <c r="J1580" s="42" t="str">
        <f ca="1">IFERROR(__xludf.DUMMYFUNCTION("""COMPUTED_VALUE"""),"N/A")</f>
        <v>N/A</v>
      </c>
      <c r="K1580" s="98">
        <f ca="1">IFERROR(__xludf.DUMMYFUNCTION("""COMPUTED_VALUE"""),20790)</f>
        <v>20790</v>
      </c>
      <c r="L1580" s="42" t="str">
        <f ca="1">IFERROR(__xludf.DUMMYFUNCTION("""COMPUTED_VALUE"""),"TRIMESTRE 3")</f>
        <v>TRIMESTRE 3</v>
      </c>
      <c r="M1580" s="42" t="str">
        <f ca="1">IFERROR(__xludf.DUMMYFUNCTION("""COMPUTED_VALUE"""),"SERVICIOS")</f>
        <v>SERVICIOS</v>
      </c>
    </row>
    <row r="1581" spans="1:13">
      <c r="A1581" s="42" t="str">
        <f ca="1">IFERROR(__xludf.DUMMYFUNCTION("""COMPUTED_VALUE"""),"2.1.1.13")</f>
        <v>2.1.1.13</v>
      </c>
      <c r="B1581" s="42" t="str">
        <f ca="1">IFERROR(__xludf.DUMMYFUNCTION("""COMPUTED_VALUE"""),"Comedores Comunitarios/Jefatura del Departamento de Comedores Comunitarios/Dirección del Área de Habilidades y Desarrollo Comunitario/Coord.3. Operación")</f>
        <v>Comedores Comunitarios/Jefatura del Departamento de Comedores Comunitarios/Dirección del Área de Habilidades y Desarrollo Comunitario/Coord.3. Operación</v>
      </c>
      <c r="C1581" s="42" t="str">
        <f ca="1">IFERROR(__xludf.DUMMYFUNCTION("""COMPUTED_VALUE"""),"3. Operación")</f>
        <v>3. Operación</v>
      </c>
      <c r="D1581" s="42" t="str">
        <f ca="1">IFERROR(__xludf.DUMMYFUNCTION("""COMPUTED_VALUE"""),"Guadalajara en Paz")</f>
        <v>Guadalajara en Paz</v>
      </c>
      <c r="E1581" s="42" t="str">
        <f ca="1">IFERROR(__xludf.DUMMYFUNCTION("""COMPUTED_VALUE"""),"Comedores Comunitarios")</f>
        <v>Comedores Comunitarios</v>
      </c>
      <c r="F1581" s="42" t="str">
        <f ca="1">IFERROR(__xludf.DUMMYFUNCTION("""COMPUTED_VALUE"""),"A13C1. Entrega de raciones alimenticias en los comedores comunitarios")</f>
        <v>A13C1. Entrega de raciones alimenticias en los comedores comunitarios</v>
      </c>
      <c r="G1581" s="42" t="str">
        <f ca="1">IFERROR(__xludf.DUMMYFUNCTION("""COMPUTED_VALUE"""),"Porcentaje de cumplimiento en la entrega de raciones alimentarias en comedores comunitarios, durante el 2023")</f>
        <v>Porcentaje de cumplimiento en la entrega de raciones alimentarias en comedores comunitarios, durante el 2023</v>
      </c>
      <c r="H1581" s="42" t="str">
        <f ca="1">IFERROR(__xludf.DUMMYFUNCTION("""COMPUTED_VALUE"""),"Servicio")</f>
        <v>Servicio</v>
      </c>
      <c r="I1581" s="42" t="str">
        <f ca="1">IFERROR(__xludf.DUMMYFUNCTION("""COMPUTED_VALUE"""),"Agosto")</f>
        <v>Agosto</v>
      </c>
      <c r="J1581" s="42" t="str">
        <f ca="1">IFERROR(__xludf.DUMMYFUNCTION("""COMPUTED_VALUE"""),"N/A")</f>
        <v>N/A</v>
      </c>
      <c r="K1581" s="98">
        <f ca="1">IFERROR(__xludf.DUMMYFUNCTION("""COMPUTED_VALUE"""),23230)</f>
        <v>23230</v>
      </c>
      <c r="L1581" s="42" t="str">
        <f ca="1">IFERROR(__xludf.DUMMYFUNCTION("""COMPUTED_VALUE"""),"TRIMESTRE 3")</f>
        <v>TRIMESTRE 3</v>
      </c>
      <c r="M1581" s="42" t="str">
        <f ca="1">IFERROR(__xludf.DUMMYFUNCTION("""COMPUTED_VALUE"""),"SERVICIOS")</f>
        <v>SERVICIOS</v>
      </c>
    </row>
    <row r="1582" spans="1:13">
      <c r="A1582" s="42" t="str">
        <f ca="1">IFERROR(__xludf.DUMMYFUNCTION("""COMPUTED_VALUE"""),"2.1.1.13")</f>
        <v>2.1.1.13</v>
      </c>
      <c r="B1582" s="42" t="str">
        <f ca="1">IFERROR(__xludf.DUMMYFUNCTION("""COMPUTED_VALUE"""),"Comedores Comunitarios/Jefatura del Departamento de Comedores Comunitarios/Dirección del Área de Habilidades y Desarrollo Comunitario/Coord.3. Operación")</f>
        <v>Comedores Comunitarios/Jefatura del Departamento de Comedores Comunitarios/Dirección del Área de Habilidades y Desarrollo Comunitario/Coord.3. Operación</v>
      </c>
      <c r="C1582" s="42" t="str">
        <f ca="1">IFERROR(__xludf.DUMMYFUNCTION("""COMPUTED_VALUE"""),"3. Operación")</f>
        <v>3. Operación</v>
      </c>
      <c r="D1582" s="42" t="str">
        <f ca="1">IFERROR(__xludf.DUMMYFUNCTION("""COMPUTED_VALUE"""),"Guadalajara en Paz")</f>
        <v>Guadalajara en Paz</v>
      </c>
      <c r="E1582" s="42" t="str">
        <f ca="1">IFERROR(__xludf.DUMMYFUNCTION("""COMPUTED_VALUE"""),"Comedores Comunitarios")</f>
        <v>Comedores Comunitarios</v>
      </c>
      <c r="F1582" s="42" t="str">
        <f ca="1">IFERROR(__xludf.DUMMYFUNCTION("""COMPUTED_VALUE"""),"A13C1. Entrega de raciones alimenticias en los comedores comunitarios")</f>
        <v>A13C1. Entrega de raciones alimenticias en los comedores comunitarios</v>
      </c>
      <c r="G1582" s="42" t="str">
        <f ca="1">IFERROR(__xludf.DUMMYFUNCTION("""COMPUTED_VALUE"""),"Porcentaje de cumplimiento en la entrega de raciones alimentarias en comedores comunitarios, durante el 2023")</f>
        <v>Porcentaje de cumplimiento en la entrega de raciones alimentarias en comedores comunitarios, durante el 2023</v>
      </c>
      <c r="H1582" s="42" t="str">
        <f ca="1">IFERROR(__xludf.DUMMYFUNCTION("""COMPUTED_VALUE"""),"Servicio")</f>
        <v>Servicio</v>
      </c>
      <c r="I1582" s="42" t="str">
        <f ca="1">IFERROR(__xludf.DUMMYFUNCTION("""COMPUTED_VALUE"""),"Septiembre")</f>
        <v>Septiembre</v>
      </c>
      <c r="J1582" s="42" t="str">
        <f ca="1">IFERROR(__xludf.DUMMYFUNCTION("""COMPUTED_VALUE"""),"N/A")</f>
        <v>N/A</v>
      </c>
      <c r="K1582" s="98">
        <f ca="1">IFERROR(__xludf.DUMMYFUNCTION("""COMPUTED_VALUE"""),24400)</f>
        <v>24400</v>
      </c>
      <c r="L1582" s="42" t="str">
        <f ca="1">IFERROR(__xludf.DUMMYFUNCTION("""COMPUTED_VALUE"""),"TRIMESTRE 3")</f>
        <v>TRIMESTRE 3</v>
      </c>
      <c r="M1582" s="42" t="str">
        <f ca="1">IFERROR(__xludf.DUMMYFUNCTION("""COMPUTED_VALUE"""),"SERVICIOS")</f>
        <v>SERVICIOS</v>
      </c>
    </row>
    <row r="1583" spans="1:13">
      <c r="A1583" s="42" t="str">
        <f ca="1">IFERROR(__xludf.DUMMYFUNCTION("""COMPUTED_VALUE"""),"2.1.1.13")</f>
        <v>2.1.1.13</v>
      </c>
      <c r="B1583" s="42" t="str">
        <f ca="1">IFERROR(__xludf.DUMMYFUNCTION("""COMPUTED_VALUE"""),"Comedores Comunitarios/Jefatura del Departamento de Comedores Comunitarios/Dirección del Área de Habilidades y Desarrollo Comunitario/Coord.3. Operación")</f>
        <v>Comedores Comunitarios/Jefatura del Departamento de Comedores Comunitarios/Dirección del Área de Habilidades y Desarrollo Comunitario/Coord.3. Operación</v>
      </c>
      <c r="C1583" s="42" t="str">
        <f ca="1">IFERROR(__xludf.DUMMYFUNCTION("""COMPUTED_VALUE"""),"3. Operación")</f>
        <v>3. Operación</v>
      </c>
      <c r="D1583" s="42" t="str">
        <f ca="1">IFERROR(__xludf.DUMMYFUNCTION("""COMPUTED_VALUE"""),"Guadalajara en Paz")</f>
        <v>Guadalajara en Paz</v>
      </c>
      <c r="E1583" s="42" t="str">
        <f ca="1">IFERROR(__xludf.DUMMYFUNCTION("""COMPUTED_VALUE"""),"Comedores Comunitarios")</f>
        <v>Comedores Comunitarios</v>
      </c>
      <c r="F1583" s="42" t="str">
        <f ca="1">IFERROR(__xludf.DUMMYFUNCTION("""COMPUTED_VALUE"""),"A13C1. Entrega de raciones alimenticias en los comedores comunitarios")</f>
        <v>A13C1. Entrega de raciones alimenticias en los comedores comunitarios</v>
      </c>
      <c r="G1583" s="42" t="str">
        <f ca="1">IFERROR(__xludf.DUMMYFUNCTION("""COMPUTED_VALUE"""),"Porcentaje de cumplimiento en la entrega de raciones alimentarias en comedores comunitarios, durante el 2023")</f>
        <v>Porcentaje de cumplimiento en la entrega de raciones alimentarias en comedores comunitarios, durante el 2023</v>
      </c>
      <c r="H1583" s="42" t="str">
        <f ca="1">IFERROR(__xludf.DUMMYFUNCTION("""COMPUTED_VALUE"""),"Servicio")</f>
        <v>Servicio</v>
      </c>
      <c r="I1583" s="42" t="str">
        <f ca="1">IFERROR(__xludf.DUMMYFUNCTION("""COMPUTED_VALUE"""),"Octubre")</f>
        <v>Octubre</v>
      </c>
      <c r="J1583" s="42" t="str">
        <f ca="1">IFERROR(__xludf.DUMMYFUNCTION("""COMPUTED_VALUE"""),"N/A")</f>
        <v>N/A</v>
      </c>
      <c r="K1583" s="98"/>
      <c r="L1583" s="42" t="str">
        <f ca="1">IFERROR(__xludf.DUMMYFUNCTION("""COMPUTED_VALUE"""),"TRIMESTRE 4")</f>
        <v>TRIMESTRE 4</v>
      </c>
      <c r="M1583" s="42" t="str">
        <f ca="1">IFERROR(__xludf.DUMMYFUNCTION("""COMPUTED_VALUE"""),"SERVICIOS")</f>
        <v>SERVICIOS</v>
      </c>
    </row>
    <row r="1584" spans="1:13">
      <c r="A1584" s="42" t="str">
        <f ca="1">IFERROR(__xludf.DUMMYFUNCTION("""COMPUTED_VALUE"""),"2.1.1.13")</f>
        <v>2.1.1.13</v>
      </c>
      <c r="B1584" s="42" t="str">
        <f ca="1">IFERROR(__xludf.DUMMYFUNCTION("""COMPUTED_VALUE"""),"Comedores Comunitarios/Jefatura del Departamento de Comedores Comunitarios/Dirección del Área de Habilidades y Desarrollo Comunitario/Coord.3. Operación")</f>
        <v>Comedores Comunitarios/Jefatura del Departamento de Comedores Comunitarios/Dirección del Área de Habilidades y Desarrollo Comunitario/Coord.3. Operación</v>
      </c>
      <c r="C1584" s="42" t="str">
        <f ca="1">IFERROR(__xludf.DUMMYFUNCTION("""COMPUTED_VALUE"""),"3. Operación")</f>
        <v>3. Operación</v>
      </c>
      <c r="D1584" s="42" t="str">
        <f ca="1">IFERROR(__xludf.DUMMYFUNCTION("""COMPUTED_VALUE"""),"Guadalajara en Paz")</f>
        <v>Guadalajara en Paz</v>
      </c>
      <c r="E1584" s="42" t="str">
        <f ca="1">IFERROR(__xludf.DUMMYFUNCTION("""COMPUTED_VALUE"""),"Comedores Comunitarios")</f>
        <v>Comedores Comunitarios</v>
      </c>
      <c r="F1584" s="42" t="str">
        <f ca="1">IFERROR(__xludf.DUMMYFUNCTION("""COMPUTED_VALUE"""),"A13C1. Entrega de raciones alimenticias en los comedores comunitarios")</f>
        <v>A13C1. Entrega de raciones alimenticias en los comedores comunitarios</v>
      </c>
      <c r="G1584" s="42" t="str">
        <f ca="1">IFERROR(__xludf.DUMMYFUNCTION("""COMPUTED_VALUE"""),"Porcentaje de cumplimiento en la entrega de raciones alimentarias en comedores comunitarios, durante el 2023")</f>
        <v>Porcentaje de cumplimiento en la entrega de raciones alimentarias en comedores comunitarios, durante el 2023</v>
      </c>
      <c r="H1584" s="42" t="str">
        <f ca="1">IFERROR(__xludf.DUMMYFUNCTION("""COMPUTED_VALUE"""),"Servicio")</f>
        <v>Servicio</v>
      </c>
      <c r="I1584" s="42" t="str">
        <f ca="1">IFERROR(__xludf.DUMMYFUNCTION("""COMPUTED_VALUE"""),"Noviembre")</f>
        <v>Noviembre</v>
      </c>
      <c r="J1584" s="42" t="str">
        <f ca="1">IFERROR(__xludf.DUMMYFUNCTION("""COMPUTED_VALUE"""),"N/A")</f>
        <v>N/A</v>
      </c>
      <c r="K1584" s="98"/>
      <c r="L1584" s="42" t="str">
        <f ca="1">IFERROR(__xludf.DUMMYFUNCTION("""COMPUTED_VALUE"""),"TRIMESTRE 4")</f>
        <v>TRIMESTRE 4</v>
      </c>
      <c r="M1584" s="42" t="str">
        <f ca="1">IFERROR(__xludf.DUMMYFUNCTION("""COMPUTED_VALUE"""),"SERVICIOS")</f>
        <v>SERVICIOS</v>
      </c>
    </row>
    <row r="1585" spans="1:13">
      <c r="A1585" s="42" t="str">
        <f ca="1">IFERROR(__xludf.DUMMYFUNCTION("""COMPUTED_VALUE"""),"2.1.1.13")</f>
        <v>2.1.1.13</v>
      </c>
      <c r="B1585" s="42" t="str">
        <f ca="1">IFERROR(__xludf.DUMMYFUNCTION("""COMPUTED_VALUE"""),"Comedores Comunitarios/Jefatura del Departamento de Comedores Comunitarios/Dirección del Área de Habilidades y Desarrollo Comunitario/Coord.3. Operación")</f>
        <v>Comedores Comunitarios/Jefatura del Departamento de Comedores Comunitarios/Dirección del Área de Habilidades y Desarrollo Comunitario/Coord.3. Operación</v>
      </c>
      <c r="C1585" s="42" t="str">
        <f ca="1">IFERROR(__xludf.DUMMYFUNCTION("""COMPUTED_VALUE"""),"3. Operación")</f>
        <v>3. Operación</v>
      </c>
      <c r="D1585" s="42" t="str">
        <f ca="1">IFERROR(__xludf.DUMMYFUNCTION("""COMPUTED_VALUE"""),"Guadalajara en Paz")</f>
        <v>Guadalajara en Paz</v>
      </c>
      <c r="E1585" s="42" t="str">
        <f ca="1">IFERROR(__xludf.DUMMYFUNCTION("""COMPUTED_VALUE"""),"Comedores Comunitarios")</f>
        <v>Comedores Comunitarios</v>
      </c>
      <c r="F1585" s="42" t="str">
        <f ca="1">IFERROR(__xludf.DUMMYFUNCTION("""COMPUTED_VALUE"""),"A13C1. Entrega de raciones alimenticias en los comedores comunitarios")</f>
        <v>A13C1. Entrega de raciones alimenticias en los comedores comunitarios</v>
      </c>
      <c r="G1585" s="42" t="str">
        <f ca="1">IFERROR(__xludf.DUMMYFUNCTION("""COMPUTED_VALUE"""),"Porcentaje de cumplimiento en la entrega de raciones alimentarias en comedores comunitarios, durante el 2023")</f>
        <v>Porcentaje de cumplimiento en la entrega de raciones alimentarias en comedores comunitarios, durante el 2023</v>
      </c>
      <c r="H1585" s="42" t="str">
        <f ca="1">IFERROR(__xludf.DUMMYFUNCTION("""COMPUTED_VALUE"""),"Servicio")</f>
        <v>Servicio</v>
      </c>
      <c r="I1585" s="42" t="str">
        <f ca="1">IFERROR(__xludf.DUMMYFUNCTION("""COMPUTED_VALUE"""),"Diciembre")</f>
        <v>Diciembre</v>
      </c>
      <c r="J1585" s="42" t="str">
        <f ca="1">IFERROR(__xludf.DUMMYFUNCTION("""COMPUTED_VALUE"""),"N/A")</f>
        <v>N/A</v>
      </c>
      <c r="K1585" s="98"/>
      <c r="L1585" s="42" t="str">
        <f ca="1">IFERROR(__xludf.DUMMYFUNCTION("""COMPUTED_VALUE"""),"TRIMESTRE 4")</f>
        <v>TRIMESTRE 4</v>
      </c>
      <c r="M1585" s="42" t="str">
        <f ca="1">IFERROR(__xludf.DUMMYFUNCTION("""COMPUTED_VALUE"""),"SERVICIOS")</f>
        <v>SERVICIOS</v>
      </c>
    </row>
    <row r="1586" spans="1:13">
      <c r="A1586" s="42" t="str">
        <f ca="1">IFERROR(__xludf.DUMMYFUNCTION("""COMPUTED_VALUE"""),"2.1.4.0")</f>
        <v>2.1.4.0</v>
      </c>
      <c r="B1586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586" s="42" t="str">
        <f ca="1">IFERROR(__xludf.DUMMYFUNCTION("""COMPUTED_VALUE"""),"4. Programas")</f>
        <v>4. Programas</v>
      </c>
      <c r="D1586" s="42" t="str">
        <f ca="1">IFERROR(__xludf.DUMMYFUNCTION("""COMPUTED_VALUE"""),"Guadalajara en Paz")</f>
        <v>Guadalajara en Paz</v>
      </c>
      <c r="E1586" s="42" t="str">
        <f ca="1">IFERROR(__xludf.DUMMYFUNCTION("""COMPUTED_VALUE"""),"Acompañar las Ausencias")</f>
        <v>Acompañar las Ausencias</v>
      </c>
      <c r="F1586" s="42" t="str">
        <f ca="1">IFERROR(__xludf.DUMMYFUNCTION("""COMPUTED_VALUE"""),"C4. Implementación de sesiones grupales de acompañamiento psicosocial y psicoeducativo para las personas usuarias del Programa de Acompañar las Ausencias")</f>
        <v>C4. Implementación de sesiones grupales de acompañamiento psicosocial y psicoeducativo para las personas usuarias del Programa de Acompañar las Ausencias</v>
      </c>
      <c r="G1586" s="42" t="str">
        <f ca="1">IFERROR(__xludf.DUMMYFUNCTION("""COMPUTED_VALUE"""),"Porcentaje de sesiones grupales realizadas en 2023")</f>
        <v>Porcentaje de sesiones grupales realizadas en 2023</v>
      </c>
      <c r="H1586" s="42" t="str">
        <f ca="1">IFERROR(__xludf.DUMMYFUNCTION("""COMPUTED_VALUE"""),"Servicio")</f>
        <v>Servicio</v>
      </c>
      <c r="I1586" s="42" t="str">
        <f ca="1">IFERROR(__xludf.DUMMYFUNCTION("""COMPUTED_VALUE"""),"Enero")</f>
        <v>Enero</v>
      </c>
      <c r="J1586" s="42" t="str">
        <f ca="1">IFERROR(__xludf.DUMMYFUNCTION("""COMPUTED_VALUE"""),"N/A")</f>
        <v>N/A</v>
      </c>
      <c r="K1586" s="98">
        <f ca="1">IFERROR(__xludf.DUMMYFUNCTION("""COMPUTED_VALUE"""),1)</f>
        <v>1</v>
      </c>
      <c r="L1586" s="42" t="str">
        <f ca="1">IFERROR(__xludf.DUMMYFUNCTION("""COMPUTED_VALUE"""),"TRIMESTRE 1")</f>
        <v>TRIMESTRE 1</v>
      </c>
      <c r="M1586" s="42" t="str">
        <f ca="1">IFERROR(__xludf.DUMMYFUNCTION("""COMPUTED_VALUE"""),"SERVICIOS")</f>
        <v>SERVICIOS</v>
      </c>
    </row>
    <row r="1587" spans="1:13">
      <c r="A1587" s="42" t="str">
        <f ca="1">IFERROR(__xludf.DUMMYFUNCTION("""COMPUTED_VALUE"""),"2.1.4.1")</f>
        <v>2.1.4.1</v>
      </c>
      <c r="B1587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587" s="42" t="str">
        <f ca="1">IFERROR(__xludf.DUMMYFUNCTION("""COMPUTED_VALUE"""),"4. Programas")</f>
        <v>4. Programas</v>
      </c>
      <c r="D1587" s="42" t="str">
        <f ca="1">IFERROR(__xludf.DUMMYFUNCTION("""COMPUTED_VALUE"""),"Guadalajara en Paz")</f>
        <v>Guadalajara en Paz</v>
      </c>
      <c r="E1587" s="42" t="str">
        <f ca="1">IFERROR(__xludf.DUMMYFUNCTION("""COMPUTED_VALUE"""),"Acompañar las Ausencias")</f>
        <v>Acompañar las Ausencias</v>
      </c>
      <c r="F1587" s="42" t="str">
        <f ca="1">IFERROR(__xludf.DUMMYFUNCTION("""COMPUTED_VALUE"""),"A1C4. Acompañamientos psicosociales para familiares de víctimas indirectas de desaparición brindadas")</f>
        <v>A1C4. Acompañamientos psicosociales para familiares de víctimas indirectas de desaparición brindadas</v>
      </c>
      <c r="G1587" s="42" t="str">
        <f ca="1">IFERROR(__xludf.DUMMYFUNCTION("""COMPUTED_VALUE"""),"Promedio de familias que recibieron acompañamientos por parte del Programa de Acompañar las Ausencias, en 2023")</f>
        <v>Promedio de familias que recibieron acompañamientos por parte del Programa de Acompañar las Ausencias, en 2023</v>
      </c>
      <c r="H1587" s="42" t="str">
        <f ca="1">IFERROR(__xludf.DUMMYFUNCTION("""COMPUTED_VALUE"""),"Servicio")</f>
        <v>Servicio</v>
      </c>
      <c r="I1587" s="42" t="str">
        <f ca="1">IFERROR(__xludf.DUMMYFUNCTION("""COMPUTED_VALUE"""),"Enero")</f>
        <v>Enero</v>
      </c>
      <c r="J1587" s="42" t="str">
        <f ca="1">IFERROR(__xludf.DUMMYFUNCTION("""COMPUTED_VALUE"""),"N/A")</f>
        <v>N/A</v>
      </c>
      <c r="K1587" s="98">
        <f ca="1">IFERROR(__xludf.DUMMYFUNCTION("""COMPUTED_VALUE"""),82)</f>
        <v>82</v>
      </c>
      <c r="L1587" s="42" t="str">
        <f ca="1">IFERROR(__xludf.DUMMYFUNCTION("""COMPUTED_VALUE"""),"TRIMESTRE 1")</f>
        <v>TRIMESTRE 1</v>
      </c>
      <c r="M1587" s="42" t="str">
        <f ca="1">IFERROR(__xludf.DUMMYFUNCTION("""COMPUTED_VALUE"""),"SERVICIOS")</f>
        <v>SERVICIOS</v>
      </c>
    </row>
    <row r="1588" spans="1:13">
      <c r="A1588" s="42" t="str">
        <f ca="1">IFERROR(__xludf.DUMMYFUNCTION("""COMPUTED_VALUE"""),"2.1.4.0")</f>
        <v>2.1.4.0</v>
      </c>
      <c r="B1588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588" s="42" t="str">
        <f ca="1">IFERROR(__xludf.DUMMYFUNCTION("""COMPUTED_VALUE"""),"4. Programas")</f>
        <v>4. Programas</v>
      </c>
      <c r="D1588" s="42" t="str">
        <f ca="1">IFERROR(__xludf.DUMMYFUNCTION("""COMPUTED_VALUE"""),"Guadalajara en Paz")</f>
        <v>Guadalajara en Paz</v>
      </c>
      <c r="E1588" s="42" t="str">
        <f ca="1">IFERROR(__xludf.DUMMYFUNCTION("""COMPUTED_VALUE"""),"Acompañar las Ausencias")</f>
        <v>Acompañar las Ausencias</v>
      </c>
      <c r="F1588" s="42" t="str">
        <f ca="1">IFERROR(__xludf.DUMMYFUNCTION("""COMPUTED_VALUE"""),"C4. Implementación de sesiones grupales de acompañamiento psicosocial y psicoeducativo para las personas usuarias del Programa de Acompañar las Ausencias")</f>
        <v>C4. Implementación de sesiones grupales de acompañamiento psicosocial y psicoeducativo para las personas usuarias del Programa de Acompañar las Ausencias</v>
      </c>
      <c r="G1588" s="42" t="str">
        <f ca="1">IFERROR(__xludf.DUMMYFUNCTION("""COMPUTED_VALUE"""),"Porcentaje de sesiones grupales realizadas en 2023")</f>
        <v>Porcentaje de sesiones grupales realizadas en 2023</v>
      </c>
      <c r="H1588" s="42" t="str">
        <f ca="1">IFERROR(__xludf.DUMMYFUNCTION("""COMPUTED_VALUE"""),"Servicio")</f>
        <v>Servicio</v>
      </c>
      <c r="I1588" s="42" t="str">
        <f ca="1">IFERROR(__xludf.DUMMYFUNCTION("""COMPUTED_VALUE"""),"Febrero")</f>
        <v>Febrero</v>
      </c>
      <c r="J1588" s="42" t="str">
        <f ca="1">IFERROR(__xludf.DUMMYFUNCTION("""COMPUTED_VALUE"""),"N/A")</f>
        <v>N/A</v>
      </c>
      <c r="K1588" s="98">
        <f ca="1">IFERROR(__xludf.DUMMYFUNCTION("""COMPUTED_VALUE"""),1)</f>
        <v>1</v>
      </c>
      <c r="L1588" s="42" t="str">
        <f ca="1">IFERROR(__xludf.DUMMYFUNCTION("""COMPUTED_VALUE"""),"TRIMESTRE 1")</f>
        <v>TRIMESTRE 1</v>
      </c>
      <c r="M1588" s="42" t="str">
        <f ca="1">IFERROR(__xludf.DUMMYFUNCTION("""COMPUTED_VALUE"""),"SERVICIOS")</f>
        <v>SERVICIOS</v>
      </c>
    </row>
    <row r="1589" spans="1:13">
      <c r="A1589" s="42" t="str">
        <f ca="1">IFERROR(__xludf.DUMMYFUNCTION("""COMPUTED_VALUE"""),"2.1.4.1")</f>
        <v>2.1.4.1</v>
      </c>
      <c r="B1589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589" s="42" t="str">
        <f ca="1">IFERROR(__xludf.DUMMYFUNCTION("""COMPUTED_VALUE"""),"4. Programas")</f>
        <v>4. Programas</v>
      </c>
      <c r="D1589" s="42" t="str">
        <f ca="1">IFERROR(__xludf.DUMMYFUNCTION("""COMPUTED_VALUE"""),"Guadalajara en Paz")</f>
        <v>Guadalajara en Paz</v>
      </c>
      <c r="E1589" s="42" t="str">
        <f ca="1">IFERROR(__xludf.DUMMYFUNCTION("""COMPUTED_VALUE"""),"Acompañar las Ausencias")</f>
        <v>Acompañar las Ausencias</v>
      </c>
      <c r="F1589" s="42" t="str">
        <f ca="1">IFERROR(__xludf.DUMMYFUNCTION("""COMPUTED_VALUE"""),"A1C4. Acompañamientos psicosociales para familiares de víctimas indirectas de desaparición brindadas")</f>
        <v>A1C4. Acompañamientos psicosociales para familiares de víctimas indirectas de desaparición brindadas</v>
      </c>
      <c r="G1589" s="42" t="str">
        <f ca="1">IFERROR(__xludf.DUMMYFUNCTION("""COMPUTED_VALUE"""),"Promedio de familias que recibieron acompañamientos por parte del Programa de Acompañar las Ausencias, en 2023")</f>
        <v>Promedio de familias que recibieron acompañamientos por parte del Programa de Acompañar las Ausencias, en 2023</v>
      </c>
      <c r="H1589" s="42" t="str">
        <f ca="1">IFERROR(__xludf.DUMMYFUNCTION("""COMPUTED_VALUE"""),"Servicio")</f>
        <v>Servicio</v>
      </c>
      <c r="I1589" s="42" t="str">
        <f ca="1">IFERROR(__xludf.DUMMYFUNCTION("""COMPUTED_VALUE"""),"Febrero")</f>
        <v>Febrero</v>
      </c>
      <c r="J1589" s="42" t="str">
        <f ca="1">IFERROR(__xludf.DUMMYFUNCTION("""COMPUTED_VALUE"""),"N/A")</f>
        <v>N/A</v>
      </c>
      <c r="K1589" s="98">
        <f ca="1">IFERROR(__xludf.DUMMYFUNCTION("""COMPUTED_VALUE"""),84)</f>
        <v>84</v>
      </c>
      <c r="L1589" s="42" t="str">
        <f ca="1">IFERROR(__xludf.DUMMYFUNCTION("""COMPUTED_VALUE"""),"TRIMESTRE 1")</f>
        <v>TRIMESTRE 1</v>
      </c>
      <c r="M1589" s="42" t="str">
        <f ca="1">IFERROR(__xludf.DUMMYFUNCTION("""COMPUTED_VALUE"""),"SERVICIOS")</f>
        <v>SERVICIOS</v>
      </c>
    </row>
    <row r="1590" spans="1:13">
      <c r="A1590" s="42" t="str">
        <f ca="1">IFERROR(__xludf.DUMMYFUNCTION("""COMPUTED_VALUE"""),"2.1.4.0")</f>
        <v>2.1.4.0</v>
      </c>
      <c r="B1590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590" s="42" t="str">
        <f ca="1">IFERROR(__xludf.DUMMYFUNCTION("""COMPUTED_VALUE"""),"4. Programas")</f>
        <v>4. Programas</v>
      </c>
      <c r="D1590" s="42" t="str">
        <f ca="1">IFERROR(__xludf.DUMMYFUNCTION("""COMPUTED_VALUE"""),"Guadalajara en Paz")</f>
        <v>Guadalajara en Paz</v>
      </c>
      <c r="E1590" s="42" t="str">
        <f ca="1">IFERROR(__xludf.DUMMYFUNCTION("""COMPUTED_VALUE"""),"Acompañar las Ausencias")</f>
        <v>Acompañar las Ausencias</v>
      </c>
      <c r="F1590" s="42" t="str">
        <f ca="1">IFERROR(__xludf.DUMMYFUNCTION("""COMPUTED_VALUE"""),"C4. Implementación de sesiones grupales de acompañamiento psicosocial y psicoeducativo para las personas usuarias del Programa de Acompañar las Ausencias")</f>
        <v>C4. Implementación de sesiones grupales de acompañamiento psicosocial y psicoeducativo para las personas usuarias del Programa de Acompañar las Ausencias</v>
      </c>
      <c r="G1590" s="42" t="str">
        <f ca="1">IFERROR(__xludf.DUMMYFUNCTION("""COMPUTED_VALUE"""),"Porcentaje de sesiones grupales realizadas en 2023")</f>
        <v>Porcentaje de sesiones grupales realizadas en 2023</v>
      </c>
      <c r="H1590" s="42" t="str">
        <f ca="1">IFERROR(__xludf.DUMMYFUNCTION("""COMPUTED_VALUE"""),"Servicio")</f>
        <v>Servicio</v>
      </c>
      <c r="I1590" s="42" t="str">
        <f ca="1">IFERROR(__xludf.DUMMYFUNCTION("""COMPUTED_VALUE"""),"Marzo")</f>
        <v>Marzo</v>
      </c>
      <c r="J1590" s="42" t="str">
        <f ca="1">IFERROR(__xludf.DUMMYFUNCTION("""COMPUTED_VALUE"""),"N/A")</f>
        <v>N/A</v>
      </c>
      <c r="K1590" s="98">
        <f ca="1">IFERROR(__xludf.DUMMYFUNCTION("""COMPUTED_VALUE"""),1)</f>
        <v>1</v>
      </c>
      <c r="L1590" s="42" t="str">
        <f ca="1">IFERROR(__xludf.DUMMYFUNCTION("""COMPUTED_VALUE"""),"TRIMESTRE 1")</f>
        <v>TRIMESTRE 1</v>
      </c>
      <c r="M1590" s="42" t="str">
        <f ca="1">IFERROR(__xludf.DUMMYFUNCTION("""COMPUTED_VALUE"""),"SERVICIOS")</f>
        <v>SERVICIOS</v>
      </c>
    </row>
    <row r="1591" spans="1:13">
      <c r="A1591" s="42" t="str">
        <f ca="1">IFERROR(__xludf.DUMMYFUNCTION("""COMPUTED_VALUE"""),"2.1.4.1")</f>
        <v>2.1.4.1</v>
      </c>
      <c r="B1591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591" s="42" t="str">
        <f ca="1">IFERROR(__xludf.DUMMYFUNCTION("""COMPUTED_VALUE"""),"4. Programas")</f>
        <v>4. Programas</v>
      </c>
      <c r="D1591" s="42" t="str">
        <f ca="1">IFERROR(__xludf.DUMMYFUNCTION("""COMPUTED_VALUE"""),"Guadalajara en Paz")</f>
        <v>Guadalajara en Paz</v>
      </c>
      <c r="E1591" s="42" t="str">
        <f ca="1">IFERROR(__xludf.DUMMYFUNCTION("""COMPUTED_VALUE"""),"Acompañar las Ausencias")</f>
        <v>Acompañar las Ausencias</v>
      </c>
      <c r="F1591" s="42" t="str">
        <f ca="1">IFERROR(__xludf.DUMMYFUNCTION("""COMPUTED_VALUE"""),"A1C4. Acompañamientos psicosociales para familiares de víctimas indirectas de desaparición brindadas")</f>
        <v>A1C4. Acompañamientos psicosociales para familiares de víctimas indirectas de desaparición brindadas</v>
      </c>
      <c r="G1591" s="42" t="str">
        <f ca="1">IFERROR(__xludf.DUMMYFUNCTION("""COMPUTED_VALUE"""),"Promedio de familias que recibieron acompañamientos por parte del Programa de Acompañar las Ausencias, en 2023")</f>
        <v>Promedio de familias que recibieron acompañamientos por parte del Programa de Acompañar las Ausencias, en 2023</v>
      </c>
      <c r="H1591" s="42" t="str">
        <f ca="1">IFERROR(__xludf.DUMMYFUNCTION("""COMPUTED_VALUE"""),"Servicio")</f>
        <v>Servicio</v>
      </c>
      <c r="I1591" s="42" t="str">
        <f ca="1">IFERROR(__xludf.DUMMYFUNCTION("""COMPUTED_VALUE"""),"Marzo")</f>
        <v>Marzo</v>
      </c>
      <c r="J1591" s="42" t="str">
        <f ca="1">IFERROR(__xludf.DUMMYFUNCTION("""COMPUTED_VALUE"""),"N/A")</f>
        <v>N/A</v>
      </c>
      <c r="K1591" s="98">
        <f ca="1">IFERROR(__xludf.DUMMYFUNCTION("""COMPUTED_VALUE"""),77)</f>
        <v>77</v>
      </c>
      <c r="L1591" s="42" t="str">
        <f ca="1">IFERROR(__xludf.DUMMYFUNCTION("""COMPUTED_VALUE"""),"TRIMESTRE 1")</f>
        <v>TRIMESTRE 1</v>
      </c>
      <c r="M1591" s="42" t="str">
        <f ca="1">IFERROR(__xludf.DUMMYFUNCTION("""COMPUTED_VALUE"""),"SERVICIOS")</f>
        <v>SERVICIOS</v>
      </c>
    </row>
    <row r="1592" spans="1:13">
      <c r="A1592" s="42" t="str">
        <f ca="1">IFERROR(__xludf.DUMMYFUNCTION("""COMPUTED_VALUE"""),"2.1.4.0")</f>
        <v>2.1.4.0</v>
      </c>
      <c r="B1592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592" s="42" t="str">
        <f ca="1">IFERROR(__xludf.DUMMYFUNCTION("""COMPUTED_VALUE"""),"4. Programas")</f>
        <v>4. Programas</v>
      </c>
      <c r="D1592" s="42" t="str">
        <f ca="1">IFERROR(__xludf.DUMMYFUNCTION("""COMPUTED_VALUE"""),"Guadalajara en Paz")</f>
        <v>Guadalajara en Paz</v>
      </c>
      <c r="E1592" s="42" t="str">
        <f ca="1">IFERROR(__xludf.DUMMYFUNCTION("""COMPUTED_VALUE"""),"Acompañar las Ausencias")</f>
        <v>Acompañar las Ausencias</v>
      </c>
      <c r="F1592" s="42" t="str">
        <f ca="1">IFERROR(__xludf.DUMMYFUNCTION("""COMPUTED_VALUE"""),"C4. Implementación de sesiones grupales de acompañamiento psicosocial y psicoeducativo para las personas usuarias del Programa de Acompañar las Ausencias")</f>
        <v>C4. Implementación de sesiones grupales de acompañamiento psicosocial y psicoeducativo para las personas usuarias del Programa de Acompañar las Ausencias</v>
      </c>
      <c r="G1592" s="42" t="str">
        <f ca="1">IFERROR(__xludf.DUMMYFUNCTION("""COMPUTED_VALUE"""),"Porcentaje de sesiones grupales realizadas en 2023")</f>
        <v>Porcentaje de sesiones grupales realizadas en 2023</v>
      </c>
      <c r="H1592" s="42" t="str">
        <f ca="1">IFERROR(__xludf.DUMMYFUNCTION("""COMPUTED_VALUE"""),"Servicio")</f>
        <v>Servicio</v>
      </c>
      <c r="I1592" s="42" t="str">
        <f ca="1">IFERROR(__xludf.DUMMYFUNCTION("""COMPUTED_VALUE"""),"Abril")</f>
        <v>Abril</v>
      </c>
      <c r="J1592" s="42" t="str">
        <f ca="1">IFERROR(__xludf.DUMMYFUNCTION("""COMPUTED_VALUE"""),"N/A")</f>
        <v>N/A</v>
      </c>
      <c r="K1592" s="98">
        <f ca="1">IFERROR(__xludf.DUMMYFUNCTION("""COMPUTED_VALUE"""),0)</f>
        <v>0</v>
      </c>
      <c r="L1592" s="42" t="str">
        <f ca="1">IFERROR(__xludf.DUMMYFUNCTION("""COMPUTED_VALUE"""),"TRIMESTRE 2")</f>
        <v>TRIMESTRE 2</v>
      </c>
      <c r="M1592" s="42" t="str">
        <f ca="1">IFERROR(__xludf.DUMMYFUNCTION("""COMPUTED_VALUE"""),"SERVICIOS")</f>
        <v>SERVICIOS</v>
      </c>
    </row>
    <row r="1593" spans="1:13">
      <c r="A1593" s="42" t="str">
        <f ca="1">IFERROR(__xludf.DUMMYFUNCTION("""COMPUTED_VALUE"""),"2.1.4.1")</f>
        <v>2.1.4.1</v>
      </c>
      <c r="B1593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593" s="42" t="str">
        <f ca="1">IFERROR(__xludf.DUMMYFUNCTION("""COMPUTED_VALUE"""),"4. Programas")</f>
        <v>4. Programas</v>
      </c>
      <c r="D1593" s="42" t="str">
        <f ca="1">IFERROR(__xludf.DUMMYFUNCTION("""COMPUTED_VALUE"""),"Guadalajara en Paz")</f>
        <v>Guadalajara en Paz</v>
      </c>
      <c r="E1593" s="42" t="str">
        <f ca="1">IFERROR(__xludf.DUMMYFUNCTION("""COMPUTED_VALUE"""),"Acompañar las Ausencias")</f>
        <v>Acompañar las Ausencias</v>
      </c>
      <c r="F1593" s="42" t="str">
        <f ca="1">IFERROR(__xludf.DUMMYFUNCTION("""COMPUTED_VALUE"""),"A1C4. Acompañamientos psicosociales para familiares de víctimas indirectas de desaparición brindadas")</f>
        <v>A1C4. Acompañamientos psicosociales para familiares de víctimas indirectas de desaparición brindadas</v>
      </c>
      <c r="G1593" s="42" t="str">
        <f ca="1">IFERROR(__xludf.DUMMYFUNCTION("""COMPUTED_VALUE"""),"Promedio de familias que recibieron acompañamientos por parte del Programa de Acompañar las Ausencias, en 2023")</f>
        <v>Promedio de familias que recibieron acompañamientos por parte del Programa de Acompañar las Ausencias, en 2023</v>
      </c>
      <c r="H1593" s="42" t="str">
        <f ca="1">IFERROR(__xludf.DUMMYFUNCTION("""COMPUTED_VALUE"""),"Servicio")</f>
        <v>Servicio</v>
      </c>
      <c r="I1593" s="42" t="str">
        <f ca="1">IFERROR(__xludf.DUMMYFUNCTION("""COMPUTED_VALUE"""),"Abril")</f>
        <v>Abril</v>
      </c>
      <c r="J1593" s="42" t="str">
        <f ca="1">IFERROR(__xludf.DUMMYFUNCTION("""COMPUTED_VALUE"""),"N/A")</f>
        <v>N/A</v>
      </c>
      <c r="K1593" s="98">
        <f ca="1">IFERROR(__xludf.DUMMYFUNCTION("""COMPUTED_VALUE"""),109)</f>
        <v>109</v>
      </c>
      <c r="L1593" s="42" t="str">
        <f ca="1">IFERROR(__xludf.DUMMYFUNCTION("""COMPUTED_VALUE"""),"TRIMESTRE 2")</f>
        <v>TRIMESTRE 2</v>
      </c>
      <c r="M1593" s="42" t="str">
        <f ca="1">IFERROR(__xludf.DUMMYFUNCTION("""COMPUTED_VALUE"""),"SERVICIOS")</f>
        <v>SERVICIOS</v>
      </c>
    </row>
    <row r="1594" spans="1:13">
      <c r="A1594" s="42" t="str">
        <f ca="1">IFERROR(__xludf.DUMMYFUNCTION("""COMPUTED_VALUE"""),"2.1.4.0")</f>
        <v>2.1.4.0</v>
      </c>
      <c r="B1594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594" s="42" t="str">
        <f ca="1">IFERROR(__xludf.DUMMYFUNCTION("""COMPUTED_VALUE"""),"4. Programas")</f>
        <v>4. Programas</v>
      </c>
      <c r="D1594" s="42" t="str">
        <f ca="1">IFERROR(__xludf.DUMMYFUNCTION("""COMPUTED_VALUE"""),"Guadalajara en Paz")</f>
        <v>Guadalajara en Paz</v>
      </c>
      <c r="E1594" s="42" t="str">
        <f ca="1">IFERROR(__xludf.DUMMYFUNCTION("""COMPUTED_VALUE"""),"Acompañar las Ausencias")</f>
        <v>Acompañar las Ausencias</v>
      </c>
      <c r="F1594" s="42" t="str">
        <f ca="1">IFERROR(__xludf.DUMMYFUNCTION("""COMPUTED_VALUE"""),"C4. Implementación de sesiones grupales de acompañamiento psicosocial y psicoeducativo para las personas usuarias del Programa de Acompañar las Ausencias")</f>
        <v>C4. Implementación de sesiones grupales de acompañamiento psicosocial y psicoeducativo para las personas usuarias del Programa de Acompañar las Ausencias</v>
      </c>
      <c r="G1594" s="42" t="str">
        <f ca="1">IFERROR(__xludf.DUMMYFUNCTION("""COMPUTED_VALUE"""),"Porcentaje de sesiones grupales realizadas en 2023")</f>
        <v>Porcentaje de sesiones grupales realizadas en 2023</v>
      </c>
      <c r="H1594" s="42" t="str">
        <f ca="1">IFERROR(__xludf.DUMMYFUNCTION("""COMPUTED_VALUE"""),"Servicio")</f>
        <v>Servicio</v>
      </c>
      <c r="I1594" s="42" t="str">
        <f ca="1">IFERROR(__xludf.DUMMYFUNCTION("""COMPUTED_VALUE"""),"Mayo")</f>
        <v>Mayo</v>
      </c>
      <c r="J1594" s="42" t="str">
        <f ca="1">IFERROR(__xludf.DUMMYFUNCTION("""COMPUTED_VALUE"""),"N/A")</f>
        <v>N/A</v>
      </c>
      <c r="K1594" s="98">
        <f ca="1">IFERROR(__xludf.DUMMYFUNCTION("""COMPUTED_VALUE"""),1)</f>
        <v>1</v>
      </c>
      <c r="L1594" s="42" t="str">
        <f ca="1">IFERROR(__xludf.DUMMYFUNCTION("""COMPUTED_VALUE"""),"TRIMESTRE 2")</f>
        <v>TRIMESTRE 2</v>
      </c>
      <c r="M1594" s="42" t="str">
        <f ca="1">IFERROR(__xludf.DUMMYFUNCTION("""COMPUTED_VALUE"""),"SERVICIOS")</f>
        <v>SERVICIOS</v>
      </c>
    </row>
    <row r="1595" spans="1:13">
      <c r="A1595" s="42" t="str">
        <f ca="1">IFERROR(__xludf.DUMMYFUNCTION("""COMPUTED_VALUE"""),"2.1.4.1")</f>
        <v>2.1.4.1</v>
      </c>
      <c r="B1595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595" s="42" t="str">
        <f ca="1">IFERROR(__xludf.DUMMYFUNCTION("""COMPUTED_VALUE"""),"4. Programas")</f>
        <v>4. Programas</v>
      </c>
      <c r="D1595" s="42" t="str">
        <f ca="1">IFERROR(__xludf.DUMMYFUNCTION("""COMPUTED_VALUE"""),"Guadalajara en Paz")</f>
        <v>Guadalajara en Paz</v>
      </c>
      <c r="E1595" s="42" t="str">
        <f ca="1">IFERROR(__xludf.DUMMYFUNCTION("""COMPUTED_VALUE"""),"Acompañar las Ausencias")</f>
        <v>Acompañar las Ausencias</v>
      </c>
      <c r="F1595" s="42" t="str">
        <f ca="1">IFERROR(__xludf.DUMMYFUNCTION("""COMPUTED_VALUE"""),"A1C4. Acompañamientos psicosociales para familiares de víctimas indirectas de desaparición brindadas")</f>
        <v>A1C4. Acompañamientos psicosociales para familiares de víctimas indirectas de desaparición brindadas</v>
      </c>
      <c r="G1595" s="42" t="str">
        <f ca="1">IFERROR(__xludf.DUMMYFUNCTION("""COMPUTED_VALUE"""),"Promedio de familias que recibieron acompañamientos por parte del Programa de Acompañar las Ausencias, en 2023")</f>
        <v>Promedio de familias que recibieron acompañamientos por parte del Programa de Acompañar las Ausencias, en 2023</v>
      </c>
      <c r="H1595" s="42" t="str">
        <f ca="1">IFERROR(__xludf.DUMMYFUNCTION("""COMPUTED_VALUE"""),"Servicio")</f>
        <v>Servicio</v>
      </c>
      <c r="I1595" s="42" t="str">
        <f ca="1">IFERROR(__xludf.DUMMYFUNCTION("""COMPUTED_VALUE"""),"Mayo")</f>
        <v>Mayo</v>
      </c>
      <c r="J1595" s="42" t="str">
        <f ca="1">IFERROR(__xludf.DUMMYFUNCTION("""COMPUTED_VALUE"""),"N/A")</f>
        <v>N/A</v>
      </c>
      <c r="K1595" s="98">
        <f ca="1">IFERROR(__xludf.DUMMYFUNCTION("""COMPUTED_VALUE"""),112)</f>
        <v>112</v>
      </c>
      <c r="L1595" s="42" t="str">
        <f ca="1">IFERROR(__xludf.DUMMYFUNCTION("""COMPUTED_VALUE"""),"TRIMESTRE 2")</f>
        <v>TRIMESTRE 2</v>
      </c>
      <c r="M1595" s="42" t="str">
        <f ca="1">IFERROR(__xludf.DUMMYFUNCTION("""COMPUTED_VALUE"""),"SERVICIOS")</f>
        <v>SERVICIOS</v>
      </c>
    </row>
    <row r="1596" spans="1:13">
      <c r="A1596" s="42" t="str">
        <f ca="1">IFERROR(__xludf.DUMMYFUNCTION("""COMPUTED_VALUE"""),"2.1.4.0")</f>
        <v>2.1.4.0</v>
      </c>
      <c r="B1596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596" s="42" t="str">
        <f ca="1">IFERROR(__xludf.DUMMYFUNCTION("""COMPUTED_VALUE"""),"4. Programas")</f>
        <v>4. Programas</v>
      </c>
      <c r="D1596" s="42" t="str">
        <f ca="1">IFERROR(__xludf.DUMMYFUNCTION("""COMPUTED_VALUE"""),"Guadalajara en Paz")</f>
        <v>Guadalajara en Paz</v>
      </c>
      <c r="E1596" s="42" t="str">
        <f ca="1">IFERROR(__xludf.DUMMYFUNCTION("""COMPUTED_VALUE"""),"Acompañar las Ausencias")</f>
        <v>Acompañar las Ausencias</v>
      </c>
      <c r="F1596" s="42" t="str">
        <f ca="1">IFERROR(__xludf.DUMMYFUNCTION("""COMPUTED_VALUE"""),"C4. Implementación de sesiones grupales de acompañamiento psicosocial y psicoeducativo para las personas usuarias del Programa de Acompañar las Ausencias")</f>
        <v>C4. Implementación de sesiones grupales de acompañamiento psicosocial y psicoeducativo para las personas usuarias del Programa de Acompañar las Ausencias</v>
      </c>
      <c r="G1596" s="42" t="str">
        <f ca="1">IFERROR(__xludf.DUMMYFUNCTION("""COMPUTED_VALUE"""),"Porcentaje de sesiones grupales realizadas en 2023")</f>
        <v>Porcentaje de sesiones grupales realizadas en 2023</v>
      </c>
      <c r="H1596" s="42" t="str">
        <f ca="1">IFERROR(__xludf.DUMMYFUNCTION("""COMPUTED_VALUE"""),"Servicio")</f>
        <v>Servicio</v>
      </c>
      <c r="I1596" s="42" t="str">
        <f ca="1">IFERROR(__xludf.DUMMYFUNCTION("""COMPUTED_VALUE"""),"Junio")</f>
        <v>Junio</v>
      </c>
      <c r="J1596" s="42" t="str">
        <f ca="1">IFERROR(__xludf.DUMMYFUNCTION("""COMPUTED_VALUE"""),"N/A")</f>
        <v>N/A</v>
      </c>
      <c r="K1596" s="98">
        <f ca="1">IFERROR(__xludf.DUMMYFUNCTION("""COMPUTED_VALUE"""),1)</f>
        <v>1</v>
      </c>
      <c r="L1596" s="42" t="str">
        <f ca="1">IFERROR(__xludf.DUMMYFUNCTION("""COMPUTED_VALUE"""),"TRIMESTRE 2")</f>
        <v>TRIMESTRE 2</v>
      </c>
      <c r="M1596" s="42" t="str">
        <f ca="1">IFERROR(__xludf.DUMMYFUNCTION("""COMPUTED_VALUE"""),"SERVICIOS")</f>
        <v>SERVICIOS</v>
      </c>
    </row>
    <row r="1597" spans="1:13">
      <c r="A1597" s="42" t="str">
        <f ca="1">IFERROR(__xludf.DUMMYFUNCTION("""COMPUTED_VALUE"""),"2.1.4.1")</f>
        <v>2.1.4.1</v>
      </c>
      <c r="B1597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597" s="42" t="str">
        <f ca="1">IFERROR(__xludf.DUMMYFUNCTION("""COMPUTED_VALUE"""),"4. Programas")</f>
        <v>4. Programas</v>
      </c>
      <c r="D1597" s="42" t="str">
        <f ca="1">IFERROR(__xludf.DUMMYFUNCTION("""COMPUTED_VALUE"""),"Guadalajara en Paz")</f>
        <v>Guadalajara en Paz</v>
      </c>
      <c r="E1597" s="42" t="str">
        <f ca="1">IFERROR(__xludf.DUMMYFUNCTION("""COMPUTED_VALUE"""),"Acompañar las Ausencias")</f>
        <v>Acompañar las Ausencias</v>
      </c>
      <c r="F1597" s="42" t="str">
        <f ca="1">IFERROR(__xludf.DUMMYFUNCTION("""COMPUTED_VALUE"""),"A1C4. Acompañamientos psicosociales para familiares de víctimas indirectas de desaparición brindadas")</f>
        <v>A1C4. Acompañamientos psicosociales para familiares de víctimas indirectas de desaparición brindadas</v>
      </c>
      <c r="G1597" s="42" t="str">
        <f ca="1">IFERROR(__xludf.DUMMYFUNCTION("""COMPUTED_VALUE"""),"Promedio de familias que recibieron acompañamientos por parte del Programa de Acompañar las Ausencias, en 2023")</f>
        <v>Promedio de familias que recibieron acompañamientos por parte del Programa de Acompañar las Ausencias, en 2023</v>
      </c>
      <c r="H1597" s="42" t="str">
        <f ca="1">IFERROR(__xludf.DUMMYFUNCTION("""COMPUTED_VALUE"""),"Servicio")</f>
        <v>Servicio</v>
      </c>
      <c r="I1597" s="42" t="str">
        <f ca="1">IFERROR(__xludf.DUMMYFUNCTION("""COMPUTED_VALUE"""),"Junio")</f>
        <v>Junio</v>
      </c>
      <c r="J1597" s="42" t="str">
        <f ca="1">IFERROR(__xludf.DUMMYFUNCTION("""COMPUTED_VALUE"""),"N/A")</f>
        <v>N/A</v>
      </c>
      <c r="K1597" s="98">
        <f ca="1">IFERROR(__xludf.DUMMYFUNCTION("""COMPUTED_VALUE"""),114)</f>
        <v>114</v>
      </c>
      <c r="L1597" s="42" t="str">
        <f ca="1">IFERROR(__xludf.DUMMYFUNCTION("""COMPUTED_VALUE"""),"TRIMESTRE 2")</f>
        <v>TRIMESTRE 2</v>
      </c>
      <c r="M1597" s="42" t="str">
        <f ca="1">IFERROR(__xludf.DUMMYFUNCTION("""COMPUTED_VALUE"""),"SERVICIOS")</f>
        <v>SERVICIOS</v>
      </c>
    </row>
    <row r="1598" spans="1:13">
      <c r="A1598" s="42" t="str">
        <f ca="1">IFERROR(__xludf.DUMMYFUNCTION("""COMPUTED_VALUE"""),"2.1.4.0")</f>
        <v>2.1.4.0</v>
      </c>
      <c r="B1598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598" s="42" t="str">
        <f ca="1">IFERROR(__xludf.DUMMYFUNCTION("""COMPUTED_VALUE"""),"4. Programas")</f>
        <v>4. Programas</v>
      </c>
      <c r="D1598" s="42" t="str">
        <f ca="1">IFERROR(__xludf.DUMMYFUNCTION("""COMPUTED_VALUE"""),"Guadalajara en Paz")</f>
        <v>Guadalajara en Paz</v>
      </c>
      <c r="E1598" s="42" t="str">
        <f ca="1">IFERROR(__xludf.DUMMYFUNCTION("""COMPUTED_VALUE"""),"Acompañar las Ausencias")</f>
        <v>Acompañar las Ausencias</v>
      </c>
      <c r="F1598" s="42" t="str">
        <f ca="1">IFERROR(__xludf.DUMMYFUNCTION("""COMPUTED_VALUE"""),"C4. Implementación de sesiones grupales de acompañamiento psicosocial y psicoeducativo para las personas usuarias del Programa de Acompañar las Ausencias")</f>
        <v>C4. Implementación de sesiones grupales de acompañamiento psicosocial y psicoeducativo para las personas usuarias del Programa de Acompañar las Ausencias</v>
      </c>
      <c r="G1598" s="42" t="str">
        <f ca="1">IFERROR(__xludf.DUMMYFUNCTION("""COMPUTED_VALUE"""),"Porcentaje de sesiones grupales realizadas en 2023")</f>
        <v>Porcentaje de sesiones grupales realizadas en 2023</v>
      </c>
      <c r="H1598" s="42" t="str">
        <f ca="1">IFERROR(__xludf.DUMMYFUNCTION("""COMPUTED_VALUE"""),"Servicio")</f>
        <v>Servicio</v>
      </c>
      <c r="I1598" s="42" t="str">
        <f ca="1">IFERROR(__xludf.DUMMYFUNCTION("""COMPUTED_VALUE"""),"Julio")</f>
        <v>Julio</v>
      </c>
      <c r="J1598" s="42" t="str">
        <f ca="1">IFERROR(__xludf.DUMMYFUNCTION("""COMPUTED_VALUE"""),"N/A")</f>
        <v>N/A</v>
      </c>
      <c r="K1598" s="98">
        <f ca="1">IFERROR(__xludf.DUMMYFUNCTION("""COMPUTED_VALUE"""),1)</f>
        <v>1</v>
      </c>
      <c r="L1598" s="42" t="str">
        <f ca="1">IFERROR(__xludf.DUMMYFUNCTION("""COMPUTED_VALUE"""),"TRIMESTRE 3")</f>
        <v>TRIMESTRE 3</v>
      </c>
      <c r="M1598" s="42" t="str">
        <f ca="1">IFERROR(__xludf.DUMMYFUNCTION("""COMPUTED_VALUE"""),"SERVICIOS")</f>
        <v>SERVICIOS</v>
      </c>
    </row>
    <row r="1599" spans="1:13">
      <c r="A1599" s="42" t="str">
        <f ca="1">IFERROR(__xludf.DUMMYFUNCTION("""COMPUTED_VALUE"""),"2.1.4.1")</f>
        <v>2.1.4.1</v>
      </c>
      <c r="B1599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599" s="42" t="str">
        <f ca="1">IFERROR(__xludf.DUMMYFUNCTION("""COMPUTED_VALUE"""),"4. Programas")</f>
        <v>4. Programas</v>
      </c>
      <c r="D1599" s="42" t="str">
        <f ca="1">IFERROR(__xludf.DUMMYFUNCTION("""COMPUTED_VALUE"""),"Guadalajara en Paz")</f>
        <v>Guadalajara en Paz</v>
      </c>
      <c r="E1599" s="42" t="str">
        <f ca="1">IFERROR(__xludf.DUMMYFUNCTION("""COMPUTED_VALUE"""),"Acompañar las Ausencias")</f>
        <v>Acompañar las Ausencias</v>
      </c>
      <c r="F1599" s="42" t="str">
        <f ca="1">IFERROR(__xludf.DUMMYFUNCTION("""COMPUTED_VALUE"""),"A1C4. Acompañamientos psicosociales para familiares de víctimas indirectas de desaparición brindadas")</f>
        <v>A1C4. Acompañamientos psicosociales para familiares de víctimas indirectas de desaparición brindadas</v>
      </c>
      <c r="G1599" s="42" t="str">
        <f ca="1">IFERROR(__xludf.DUMMYFUNCTION("""COMPUTED_VALUE"""),"Promedio de familias que recibieron acompañamientos por parte del Programa de Acompañar las Ausencias, en 2023")</f>
        <v>Promedio de familias que recibieron acompañamientos por parte del Programa de Acompañar las Ausencias, en 2023</v>
      </c>
      <c r="H1599" s="42" t="str">
        <f ca="1">IFERROR(__xludf.DUMMYFUNCTION("""COMPUTED_VALUE"""),"Servicio")</f>
        <v>Servicio</v>
      </c>
      <c r="I1599" s="42" t="str">
        <f ca="1">IFERROR(__xludf.DUMMYFUNCTION("""COMPUTED_VALUE"""),"Julio")</f>
        <v>Julio</v>
      </c>
      <c r="J1599" s="42" t="str">
        <f ca="1">IFERROR(__xludf.DUMMYFUNCTION("""COMPUTED_VALUE"""),"N/A")</f>
        <v>N/A</v>
      </c>
      <c r="K1599" s="98">
        <f ca="1">IFERROR(__xludf.DUMMYFUNCTION("""COMPUTED_VALUE"""),108)</f>
        <v>108</v>
      </c>
      <c r="L1599" s="42" t="str">
        <f ca="1">IFERROR(__xludf.DUMMYFUNCTION("""COMPUTED_VALUE"""),"TRIMESTRE 3")</f>
        <v>TRIMESTRE 3</v>
      </c>
      <c r="M1599" s="42" t="str">
        <f ca="1">IFERROR(__xludf.DUMMYFUNCTION("""COMPUTED_VALUE"""),"SERVICIOS")</f>
        <v>SERVICIOS</v>
      </c>
    </row>
    <row r="1600" spans="1:13">
      <c r="A1600" s="42" t="str">
        <f ca="1">IFERROR(__xludf.DUMMYFUNCTION("""COMPUTED_VALUE"""),"2.1.4.0")</f>
        <v>2.1.4.0</v>
      </c>
      <c r="B1600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600" s="42" t="str">
        <f ca="1">IFERROR(__xludf.DUMMYFUNCTION("""COMPUTED_VALUE"""),"4. Programas")</f>
        <v>4. Programas</v>
      </c>
      <c r="D1600" s="42" t="str">
        <f ca="1">IFERROR(__xludf.DUMMYFUNCTION("""COMPUTED_VALUE"""),"Guadalajara en Paz")</f>
        <v>Guadalajara en Paz</v>
      </c>
      <c r="E1600" s="42" t="str">
        <f ca="1">IFERROR(__xludf.DUMMYFUNCTION("""COMPUTED_VALUE"""),"Acompañar las Ausencias")</f>
        <v>Acompañar las Ausencias</v>
      </c>
      <c r="F1600" s="42" t="str">
        <f ca="1">IFERROR(__xludf.DUMMYFUNCTION("""COMPUTED_VALUE"""),"C4. Implementación de sesiones grupales de acompañamiento psicosocial y psicoeducativo para las personas usuarias del Programa de Acompañar las Ausencias")</f>
        <v>C4. Implementación de sesiones grupales de acompañamiento psicosocial y psicoeducativo para las personas usuarias del Programa de Acompañar las Ausencias</v>
      </c>
      <c r="G1600" s="42" t="str">
        <f ca="1">IFERROR(__xludf.DUMMYFUNCTION("""COMPUTED_VALUE"""),"Porcentaje de sesiones grupales realizadas en 2023")</f>
        <v>Porcentaje de sesiones grupales realizadas en 2023</v>
      </c>
      <c r="H1600" s="42" t="str">
        <f ca="1">IFERROR(__xludf.DUMMYFUNCTION("""COMPUTED_VALUE"""),"Servicio")</f>
        <v>Servicio</v>
      </c>
      <c r="I1600" s="42" t="str">
        <f ca="1">IFERROR(__xludf.DUMMYFUNCTION("""COMPUTED_VALUE"""),"Agosto")</f>
        <v>Agosto</v>
      </c>
      <c r="J1600" s="42" t="str">
        <f ca="1">IFERROR(__xludf.DUMMYFUNCTION("""COMPUTED_VALUE"""),"N/A")</f>
        <v>N/A</v>
      </c>
      <c r="K1600" s="98">
        <f ca="1">IFERROR(__xludf.DUMMYFUNCTION("""COMPUTED_VALUE"""),1)</f>
        <v>1</v>
      </c>
      <c r="L1600" s="42" t="str">
        <f ca="1">IFERROR(__xludf.DUMMYFUNCTION("""COMPUTED_VALUE"""),"TRIMESTRE 3")</f>
        <v>TRIMESTRE 3</v>
      </c>
      <c r="M1600" s="42" t="str">
        <f ca="1">IFERROR(__xludf.DUMMYFUNCTION("""COMPUTED_VALUE"""),"SERVICIOS")</f>
        <v>SERVICIOS</v>
      </c>
    </row>
    <row r="1601" spans="1:13">
      <c r="A1601" s="42" t="str">
        <f ca="1">IFERROR(__xludf.DUMMYFUNCTION("""COMPUTED_VALUE"""),"2.1.4.1")</f>
        <v>2.1.4.1</v>
      </c>
      <c r="B1601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601" s="42" t="str">
        <f ca="1">IFERROR(__xludf.DUMMYFUNCTION("""COMPUTED_VALUE"""),"4. Programas")</f>
        <v>4. Programas</v>
      </c>
      <c r="D1601" s="42" t="str">
        <f ca="1">IFERROR(__xludf.DUMMYFUNCTION("""COMPUTED_VALUE"""),"Guadalajara en Paz")</f>
        <v>Guadalajara en Paz</v>
      </c>
      <c r="E1601" s="42" t="str">
        <f ca="1">IFERROR(__xludf.DUMMYFUNCTION("""COMPUTED_VALUE"""),"Acompañar las Ausencias")</f>
        <v>Acompañar las Ausencias</v>
      </c>
      <c r="F1601" s="42" t="str">
        <f ca="1">IFERROR(__xludf.DUMMYFUNCTION("""COMPUTED_VALUE"""),"A1C4. Acompañamientos psicosociales para familiares de víctimas indirectas de desaparición brindadas")</f>
        <v>A1C4. Acompañamientos psicosociales para familiares de víctimas indirectas de desaparición brindadas</v>
      </c>
      <c r="G1601" s="42" t="str">
        <f ca="1">IFERROR(__xludf.DUMMYFUNCTION("""COMPUTED_VALUE"""),"Promedio de familias que recibieron acompañamientos por parte del Programa de Acompañar las Ausencias, en 2023")</f>
        <v>Promedio de familias que recibieron acompañamientos por parte del Programa de Acompañar las Ausencias, en 2023</v>
      </c>
      <c r="H1601" s="42" t="str">
        <f ca="1">IFERROR(__xludf.DUMMYFUNCTION("""COMPUTED_VALUE"""),"Servicio")</f>
        <v>Servicio</v>
      </c>
      <c r="I1601" s="42" t="str">
        <f ca="1">IFERROR(__xludf.DUMMYFUNCTION("""COMPUTED_VALUE"""),"Agosto")</f>
        <v>Agosto</v>
      </c>
      <c r="J1601" s="42" t="str">
        <f ca="1">IFERROR(__xludf.DUMMYFUNCTION("""COMPUTED_VALUE"""),"N/A")</f>
        <v>N/A</v>
      </c>
      <c r="K1601" s="98">
        <f ca="1">IFERROR(__xludf.DUMMYFUNCTION("""COMPUTED_VALUE"""),106)</f>
        <v>106</v>
      </c>
      <c r="L1601" s="42" t="str">
        <f ca="1">IFERROR(__xludf.DUMMYFUNCTION("""COMPUTED_VALUE"""),"TRIMESTRE 3")</f>
        <v>TRIMESTRE 3</v>
      </c>
      <c r="M1601" s="42" t="str">
        <f ca="1">IFERROR(__xludf.DUMMYFUNCTION("""COMPUTED_VALUE"""),"SERVICIOS")</f>
        <v>SERVICIOS</v>
      </c>
    </row>
    <row r="1602" spans="1:13">
      <c r="A1602" s="42" t="str">
        <f ca="1">IFERROR(__xludf.DUMMYFUNCTION("""COMPUTED_VALUE"""),"2.1.4.0")</f>
        <v>2.1.4.0</v>
      </c>
      <c r="B1602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602" s="42" t="str">
        <f ca="1">IFERROR(__xludf.DUMMYFUNCTION("""COMPUTED_VALUE"""),"4. Programas")</f>
        <v>4. Programas</v>
      </c>
      <c r="D1602" s="42" t="str">
        <f ca="1">IFERROR(__xludf.DUMMYFUNCTION("""COMPUTED_VALUE"""),"Guadalajara en Paz")</f>
        <v>Guadalajara en Paz</v>
      </c>
      <c r="E1602" s="42" t="str">
        <f ca="1">IFERROR(__xludf.DUMMYFUNCTION("""COMPUTED_VALUE"""),"Acompañar las Ausencias")</f>
        <v>Acompañar las Ausencias</v>
      </c>
      <c r="F1602" s="42" t="str">
        <f ca="1">IFERROR(__xludf.DUMMYFUNCTION("""COMPUTED_VALUE"""),"C4. Implementación de sesiones grupales de acompañamiento psicosocial y psicoeducativo para las personas usuarias del Programa de Acompañar las Ausencias")</f>
        <v>C4. Implementación de sesiones grupales de acompañamiento psicosocial y psicoeducativo para las personas usuarias del Programa de Acompañar las Ausencias</v>
      </c>
      <c r="G1602" s="42" t="str">
        <f ca="1">IFERROR(__xludf.DUMMYFUNCTION("""COMPUTED_VALUE"""),"Porcentaje de sesiones grupales realizadas en 2023")</f>
        <v>Porcentaje de sesiones grupales realizadas en 2023</v>
      </c>
      <c r="H1602" s="42" t="str">
        <f ca="1">IFERROR(__xludf.DUMMYFUNCTION("""COMPUTED_VALUE"""),"Servicio")</f>
        <v>Servicio</v>
      </c>
      <c r="I1602" s="42" t="str">
        <f ca="1">IFERROR(__xludf.DUMMYFUNCTION("""COMPUTED_VALUE"""),"Septiembre")</f>
        <v>Septiembre</v>
      </c>
      <c r="J1602" s="42" t="str">
        <f ca="1">IFERROR(__xludf.DUMMYFUNCTION("""COMPUTED_VALUE"""),"N/A")</f>
        <v>N/A</v>
      </c>
      <c r="K1602" s="98">
        <f ca="1">IFERROR(__xludf.DUMMYFUNCTION("""COMPUTED_VALUE"""),1)</f>
        <v>1</v>
      </c>
      <c r="L1602" s="42" t="str">
        <f ca="1">IFERROR(__xludf.DUMMYFUNCTION("""COMPUTED_VALUE"""),"TRIMESTRE 3")</f>
        <v>TRIMESTRE 3</v>
      </c>
      <c r="M1602" s="42" t="str">
        <f ca="1">IFERROR(__xludf.DUMMYFUNCTION("""COMPUTED_VALUE"""),"SERVICIOS")</f>
        <v>SERVICIOS</v>
      </c>
    </row>
    <row r="1603" spans="1:13">
      <c r="A1603" s="42" t="str">
        <f ca="1">IFERROR(__xludf.DUMMYFUNCTION("""COMPUTED_VALUE"""),"2.1.4.1")</f>
        <v>2.1.4.1</v>
      </c>
      <c r="B1603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603" s="42" t="str">
        <f ca="1">IFERROR(__xludf.DUMMYFUNCTION("""COMPUTED_VALUE"""),"4. Programas")</f>
        <v>4. Programas</v>
      </c>
      <c r="D1603" s="42" t="str">
        <f ca="1">IFERROR(__xludf.DUMMYFUNCTION("""COMPUTED_VALUE"""),"Guadalajara en Paz")</f>
        <v>Guadalajara en Paz</v>
      </c>
      <c r="E1603" s="42" t="str">
        <f ca="1">IFERROR(__xludf.DUMMYFUNCTION("""COMPUTED_VALUE"""),"Acompañar las Ausencias")</f>
        <v>Acompañar las Ausencias</v>
      </c>
      <c r="F1603" s="42" t="str">
        <f ca="1">IFERROR(__xludf.DUMMYFUNCTION("""COMPUTED_VALUE"""),"A1C4. Acompañamientos psicosociales para familiares de víctimas indirectas de desaparición brindadas")</f>
        <v>A1C4. Acompañamientos psicosociales para familiares de víctimas indirectas de desaparición brindadas</v>
      </c>
      <c r="G1603" s="42" t="str">
        <f ca="1">IFERROR(__xludf.DUMMYFUNCTION("""COMPUTED_VALUE"""),"Promedio de familias que recibieron acompañamientos por parte del Programa de Acompañar las Ausencias, en 2023")</f>
        <v>Promedio de familias que recibieron acompañamientos por parte del Programa de Acompañar las Ausencias, en 2023</v>
      </c>
      <c r="H1603" s="42" t="str">
        <f ca="1">IFERROR(__xludf.DUMMYFUNCTION("""COMPUTED_VALUE"""),"Servicio")</f>
        <v>Servicio</v>
      </c>
      <c r="I1603" s="42" t="str">
        <f ca="1">IFERROR(__xludf.DUMMYFUNCTION("""COMPUTED_VALUE"""),"Septiembre")</f>
        <v>Septiembre</v>
      </c>
      <c r="J1603" s="42" t="str">
        <f ca="1">IFERROR(__xludf.DUMMYFUNCTION("""COMPUTED_VALUE"""),"N/A")</f>
        <v>N/A</v>
      </c>
      <c r="K1603" s="98">
        <f ca="1">IFERROR(__xludf.DUMMYFUNCTION("""COMPUTED_VALUE"""),206)</f>
        <v>206</v>
      </c>
      <c r="L1603" s="42" t="str">
        <f ca="1">IFERROR(__xludf.DUMMYFUNCTION("""COMPUTED_VALUE"""),"TRIMESTRE 3")</f>
        <v>TRIMESTRE 3</v>
      </c>
      <c r="M1603" s="42" t="str">
        <f ca="1">IFERROR(__xludf.DUMMYFUNCTION("""COMPUTED_VALUE"""),"SERVICIOS")</f>
        <v>SERVICIOS</v>
      </c>
    </row>
    <row r="1604" spans="1:13">
      <c r="A1604" s="42" t="str">
        <f ca="1">IFERROR(__xludf.DUMMYFUNCTION("""COMPUTED_VALUE"""),"2.1.4.0")</f>
        <v>2.1.4.0</v>
      </c>
      <c r="B1604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604" s="42" t="str">
        <f ca="1">IFERROR(__xludf.DUMMYFUNCTION("""COMPUTED_VALUE"""),"4. Programas")</f>
        <v>4. Programas</v>
      </c>
      <c r="D1604" s="42" t="str">
        <f ca="1">IFERROR(__xludf.DUMMYFUNCTION("""COMPUTED_VALUE"""),"Guadalajara en Paz")</f>
        <v>Guadalajara en Paz</v>
      </c>
      <c r="E1604" s="42" t="str">
        <f ca="1">IFERROR(__xludf.DUMMYFUNCTION("""COMPUTED_VALUE"""),"Acompañar las Ausencias")</f>
        <v>Acompañar las Ausencias</v>
      </c>
      <c r="F1604" s="42" t="str">
        <f ca="1">IFERROR(__xludf.DUMMYFUNCTION("""COMPUTED_VALUE"""),"C4. Implementación de sesiones grupales de acompañamiento psicosocial y psicoeducativo para las personas usuarias del Programa de Acompañar las Ausencias")</f>
        <v>C4. Implementación de sesiones grupales de acompañamiento psicosocial y psicoeducativo para las personas usuarias del Programa de Acompañar las Ausencias</v>
      </c>
      <c r="G1604" s="42" t="str">
        <f ca="1">IFERROR(__xludf.DUMMYFUNCTION("""COMPUTED_VALUE"""),"Porcentaje de sesiones grupales realizadas en 2023")</f>
        <v>Porcentaje de sesiones grupales realizadas en 2023</v>
      </c>
      <c r="H1604" s="42" t="str">
        <f ca="1">IFERROR(__xludf.DUMMYFUNCTION("""COMPUTED_VALUE"""),"Servicio")</f>
        <v>Servicio</v>
      </c>
      <c r="I1604" s="42" t="str">
        <f ca="1">IFERROR(__xludf.DUMMYFUNCTION("""COMPUTED_VALUE"""),"Octubre")</f>
        <v>Octubre</v>
      </c>
      <c r="J1604" s="42" t="str">
        <f ca="1">IFERROR(__xludf.DUMMYFUNCTION("""COMPUTED_VALUE"""),"N/A")</f>
        <v>N/A</v>
      </c>
      <c r="K1604" s="98">
        <f ca="1">IFERROR(__xludf.DUMMYFUNCTION("""COMPUTED_VALUE"""),0)</f>
        <v>0</v>
      </c>
      <c r="L1604" s="42" t="str">
        <f ca="1">IFERROR(__xludf.DUMMYFUNCTION("""COMPUTED_VALUE"""),"TRIMESTRE 4")</f>
        <v>TRIMESTRE 4</v>
      </c>
      <c r="M1604" s="42" t="str">
        <f ca="1">IFERROR(__xludf.DUMMYFUNCTION("""COMPUTED_VALUE"""),"SERVICIOS")</f>
        <v>SERVICIOS</v>
      </c>
    </row>
    <row r="1605" spans="1:13">
      <c r="A1605" s="42" t="str">
        <f ca="1">IFERROR(__xludf.DUMMYFUNCTION("""COMPUTED_VALUE"""),"2.1.4.1")</f>
        <v>2.1.4.1</v>
      </c>
      <c r="B1605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605" s="42" t="str">
        <f ca="1">IFERROR(__xludf.DUMMYFUNCTION("""COMPUTED_VALUE"""),"4. Programas")</f>
        <v>4. Programas</v>
      </c>
      <c r="D1605" s="42" t="str">
        <f ca="1">IFERROR(__xludf.DUMMYFUNCTION("""COMPUTED_VALUE"""),"Guadalajara en Paz")</f>
        <v>Guadalajara en Paz</v>
      </c>
      <c r="E1605" s="42" t="str">
        <f ca="1">IFERROR(__xludf.DUMMYFUNCTION("""COMPUTED_VALUE"""),"Acompañar las Ausencias")</f>
        <v>Acompañar las Ausencias</v>
      </c>
      <c r="F1605" s="42" t="str">
        <f ca="1">IFERROR(__xludf.DUMMYFUNCTION("""COMPUTED_VALUE"""),"A1C4. Acompañamientos psicosociales para familiares de víctimas indirectas de desaparición brindadas")</f>
        <v>A1C4. Acompañamientos psicosociales para familiares de víctimas indirectas de desaparición brindadas</v>
      </c>
      <c r="G1605" s="42" t="str">
        <f ca="1">IFERROR(__xludf.DUMMYFUNCTION("""COMPUTED_VALUE"""),"Promedio de familias que recibieron acompañamientos por parte del Programa de Acompañar las Ausencias, en 2023")</f>
        <v>Promedio de familias que recibieron acompañamientos por parte del Programa de Acompañar las Ausencias, en 2023</v>
      </c>
      <c r="H1605" s="42" t="str">
        <f ca="1">IFERROR(__xludf.DUMMYFUNCTION("""COMPUTED_VALUE"""),"Servicio")</f>
        <v>Servicio</v>
      </c>
      <c r="I1605" s="42" t="str">
        <f ca="1">IFERROR(__xludf.DUMMYFUNCTION("""COMPUTED_VALUE"""),"Octubre")</f>
        <v>Octubre</v>
      </c>
      <c r="J1605" s="42" t="str">
        <f ca="1">IFERROR(__xludf.DUMMYFUNCTION("""COMPUTED_VALUE"""),"N/A")</f>
        <v>N/A</v>
      </c>
      <c r="K1605" s="98">
        <f ca="1">IFERROR(__xludf.DUMMYFUNCTION("""COMPUTED_VALUE"""),0)</f>
        <v>0</v>
      </c>
      <c r="L1605" s="42" t="str">
        <f ca="1">IFERROR(__xludf.DUMMYFUNCTION("""COMPUTED_VALUE"""),"TRIMESTRE 4")</f>
        <v>TRIMESTRE 4</v>
      </c>
      <c r="M1605" s="42" t="str">
        <f ca="1">IFERROR(__xludf.DUMMYFUNCTION("""COMPUTED_VALUE"""),"SERVICIOS")</f>
        <v>SERVICIOS</v>
      </c>
    </row>
    <row r="1606" spans="1:13">
      <c r="A1606" s="42" t="str">
        <f ca="1">IFERROR(__xludf.DUMMYFUNCTION("""COMPUTED_VALUE"""),"2.1.4.0")</f>
        <v>2.1.4.0</v>
      </c>
      <c r="B1606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606" s="42" t="str">
        <f ca="1">IFERROR(__xludf.DUMMYFUNCTION("""COMPUTED_VALUE"""),"4. Programas")</f>
        <v>4. Programas</v>
      </c>
      <c r="D1606" s="42" t="str">
        <f ca="1">IFERROR(__xludf.DUMMYFUNCTION("""COMPUTED_VALUE"""),"Guadalajara en Paz")</f>
        <v>Guadalajara en Paz</v>
      </c>
      <c r="E1606" s="42" t="str">
        <f ca="1">IFERROR(__xludf.DUMMYFUNCTION("""COMPUTED_VALUE"""),"Acompañar las Ausencias")</f>
        <v>Acompañar las Ausencias</v>
      </c>
      <c r="F1606" s="42" t="str">
        <f ca="1">IFERROR(__xludf.DUMMYFUNCTION("""COMPUTED_VALUE"""),"C4. Implementación de sesiones grupales de acompañamiento psicosocial y psicoeducativo para las personas usuarias del Programa de Acompañar las Ausencias")</f>
        <v>C4. Implementación de sesiones grupales de acompañamiento psicosocial y psicoeducativo para las personas usuarias del Programa de Acompañar las Ausencias</v>
      </c>
      <c r="G1606" s="42" t="str">
        <f ca="1">IFERROR(__xludf.DUMMYFUNCTION("""COMPUTED_VALUE"""),"Porcentaje de sesiones grupales realizadas en 2023")</f>
        <v>Porcentaje de sesiones grupales realizadas en 2023</v>
      </c>
      <c r="H1606" s="42" t="str">
        <f ca="1">IFERROR(__xludf.DUMMYFUNCTION("""COMPUTED_VALUE"""),"Servicio")</f>
        <v>Servicio</v>
      </c>
      <c r="I1606" s="42" t="str">
        <f ca="1">IFERROR(__xludf.DUMMYFUNCTION("""COMPUTED_VALUE"""),"Noviembre")</f>
        <v>Noviembre</v>
      </c>
      <c r="J1606" s="42" t="str">
        <f ca="1">IFERROR(__xludf.DUMMYFUNCTION("""COMPUTED_VALUE"""),"N/A")</f>
        <v>N/A</v>
      </c>
      <c r="K1606" s="98">
        <f ca="1">IFERROR(__xludf.DUMMYFUNCTION("""COMPUTED_VALUE"""),0)</f>
        <v>0</v>
      </c>
      <c r="L1606" s="42" t="str">
        <f ca="1">IFERROR(__xludf.DUMMYFUNCTION("""COMPUTED_VALUE"""),"TRIMESTRE 4")</f>
        <v>TRIMESTRE 4</v>
      </c>
      <c r="M1606" s="42" t="str">
        <f ca="1">IFERROR(__xludf.DUMMYFUNCTION("""COMPUTED_VALUE"""),"SERVICIOS")</f>
        <v>SERVICIOS</v>
      </c>
    </row>
    <row r="1607" spans="1:13">
      <c r="A1607" s="42" t="str">
        <f ca="1">IFERROR(__xludf.DUMMYFUNCTION("""COMPUTED_VALUE"""),"2.1.4.1")</f>
        <v>2.1.4.1</v>
      </c>
      <c r="B1607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607" s="42" t="str">
        <f ca="1">IFERROR(__xludf.DUMMYFUNCTION("""COMPUTED_VALUE"""),"4. Programas")</f>
        <v>4. Programas</v>
      </c>
      <c r="D1607" s="42" t="str">
        <f ca="1">IFERROR(__xludf.DUMMYFUNCTION("""COMPUTED_VALUE"""),"Guadalajara en Paz")</f>
        <v>Guadalajara en Paz</v>
      </c>
      <c r="E1607" s="42" t="str">
        <f ca="1">IFERROR(__xludf.DUMMYFUNCTION("""COMPUTED_VALUE"""),"Acompañar las Ausencias")</f>
        <v>Acompañar las Ausencias</v>
      </c>
      <c r="F1607" s="42" t="str">
        <f ca="1">IFERROR(__xludf.DUMMYFUNCTION("""COMPUTED_VALUE"""),"A1C4. Acompañamientos psicosociales para familiares de víctimas indirectas de desaparición brindadas")</f>
        <v>A1C4. Acompañamientos psicosociales para familiares de víctimas indirectas de desaparición brindadas</v>
      </c>
      <c r="G1607" s="42" t="str">
        <f ca="1">IFERROR(__xludf.DUMMYFUNCTION("""COMPUTED_VALUE"""),"Promedio de familias que recibieron acompañamientos por parte del Programa de Acompañar las Ausencias, en 2023")</f>
        <v>Promedio de familias que recibieron acompañamientos por parte del Programa de Acompañar las Ausencias, en 2023</v>
      </c>
      <c r="H1607" s="42" t="str">
        <f ca="1">IFERROR(__xludf.DUMMYFUNCTION("""COMPUTED_VALUE"""),"Servicio")</f>
        <v>Servicio</v>
      </c>
      <c r="I1607" s="42" t="str">
        <f ca="1">IFERROR(__xludf.DUMMYFUNCTION("""COMPUTED_VALUE"""),"Noviembre")</f>
        <v>Noviembre</v>
      </c>
      <c r="J1607" s="42" t="str">
        <f ca="1">IFERROR(__xludf.DUMMYFUNCTION("""COMPUTED_VALUE"""),"N/A")</f>
        <v>N/A</v>
      </c>
      <c r="K1607" s="98">
        <f ca="1">IFERROR(__xludf.DUMMYFUNCTION("""COMPUTED_VALUE"""),0)</f>
        <v>0</v>
      </c>
      <c r="L1607" s="42" t="str">
        <f ca="1">IFERROR(__xludf.DUMMYFUNCTION("""COMPUTED_VALUE"""),"TRIMESTRE 4")</f>
        <v>TRIMESTRE 4</v>
      </c>
      <c r="M1607" s="42" t="str">
        <f ca="1">IFERROR(__xludf.DUMMYFUNCTION("""COMPUTED_VALUE"""),"SERVICIOS")</f>
        <v>SERVICIOS</v>
      </c>
    </row>
    <row r="1608" spans="1:13">
      <c r="A1608" s="42" t="str">
        <f ca="1">IFERROR(__xludf.DUMMYFUNCTION("""COMPUTED_VALUE"""),"2.1.4.0")</f>
        <v>2.1.4.0</v>
      </c>
      <c r="B1608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608" s="42" t="str">
        <f ca="1">IFERROR(__xludf.DUMMYFUNCTION("""COMPUTED_VALUE"""),"4. Programas")</f>
        <v>4. Programas</v>
      </c>
      <c r="D1608" s="42" t="str">
        <f ca="1">IFERROR(__xludf.DUMMYFUNCTION("""COMPUTED_VALUE"""),"Guadalajara en Paz")</f>
        <v>Guadalajara en Paz</v>
      </c>
      <c r="E1608" s="42" t="str">
        <f ca="1">IFERROR(__xludf.DUMMYFUNCTION("""COMPUTED_VALUE"""),"Acompañar las Ausencias")</f>
        <v>Acompañar las Ausencias</v>
      </c>
      <c r="F1608" s="42" t="str">
        <f ca="1">IFERROR(__xludf.DUMMYFUNCTION("""COMPUTED_VALUE"""),"C4. Implementación de sesiones grupales de acompañamiento psicosocial y psicoeducativo para las personas usuarias del Programa de Acompañar las Ausencias")</f>
        <v>C4. Implementación de sesiones grupales de acompañamiento psicosocial y psicoeducativo para las personas usuarias del Programa de Acompañar las Ausencias</v>
      </c>
      <c r="G1608" s="42" t="str">
        <f ca="1">IFERROR(__xludf.DUMMYFUNCTION("""COMPUTED_VALUE"""),"Porcentaje de sesiones grupales realizadas en 2023")</f>
        <v>Porcentaje de sesiones grupales realizadas en 2023</v>
      </c>
      <c r="H1608" s="42" t="str">
        <f ca="1">IFERROR(__xludf.DUMMYFUNCTION("""COMPUTED_VALUE"""),"Servicio")</f>
        <v>Servicio</v>
      </c>
      <c r="I1608" s="42" t="str">
        <f ca="1">IFERROR(__xludf.DUMMYFUNCTION("""COMPUTED_VALUE"""),"Diciembre")</f>
        <v>Diciembre</v>
      </c>
      <c r="J1608" s="42" t="str">
        <f ca="1">IFERROR(__xludf.DUMMYFUNCTION("""COMPUTED_VALUE"""),"N/A")</f>
        <v>N/A</v>
      </c>
      <c r="K1608" s="98">
        <f ca="1">IFERROR(__xludf.DUMMYFUNCTION("""COMPUTED_VALUE"""),0)</f>
        <v>0</v>
      </c>
      <c r="L1608" s="42" t="str">
        <f ca="1">IFERROR(__xludf.DUMMYFUNCTION("""COMPUTED_VALUE"""),"TRIMESTRE 4")</f>
        <v>TRIMESTRE 4</v>
      </c>
      <c r="M1608" s="42" t="str">
        <f ca="1">IFERROR(__xludf.DUMMYFUNCTION("""COMPUTED_VALUE"""),"SERVICIOS")</f>
        <v>SERVICIOS</v>
      </c>
    </row>
    <row r="1609" spans="1:13">
      <c r="A1609" s="42" t="str">
        <f ca="1">IFERROR(__xludf.DUMMYFUNCTION("""COMPUTED_VALUE"""),"2.1.4.1")</f>
        <v>2.1.4.1</v>
      </c>
      <c r="B1609" s="42" t="str">
        <f ca="1">IFERROR(__xludf.DUMMYFUNCTION("""COMPUTED_VALUE"""),"Acompañar las Ausencias/Coordinación de Proyecto de Acompañar las Ausencias/Dirección del Área de Atención Humanitaria/Coord.4. Programas")</f>
        <v>Acompañar las Ausencias/Coordinación de Proyecto de Acompañar las Ausencias/Dirección del Área de Atención Humanitaria/Coord.4. Programas</v>
      </c>
      <c r="C1609" s="42" t="str">
        <f ca="1">IFERROR(__xludf.DUMMYFUNCTION("""COMPUTED_VALUE"""),"4. Programas")</f>
        <v>4. Programas</v>
      </c>
      <c r="D1609" s="42" t="str">
        <f ca="1">IFERROR(__xludf.DUMMYFUNCTION("""COMPUTED_VALUE"""),"Guadalajara en Paz")</f>
        <v>Guadalajara en Paz</v>
      </c>
      <c r="E1609" s="42" t="str">
        <f ca="1">IFERROR(__xludf.DUMMYFUNCTION("""COMPUTED_VALUE"""),"Acompañar las Ausencias")</f>
        <v>Acompañar las Ausencias</v>
      </c>
      <c r="F1609" s="42" t="str">
        <f ca="1">IFERROR(__xludf.DUMMYFUNCTION("""COMPUTED_VALUE"""),"A1C4. Acompañamientos psicosociales para familiares de víctimas indirectas de desaparición brindadas")</f>
        <v>A1C4. Acompañamientos psicosociales para familiares de víctimas indirectas de desaparición brindadas</v>
      </c>
      <c r="G1609" s="42" t="str">
        <f ca="1">IFERROR(__xludf.DUMMYFUNCTION("""COMPUTED_VALUE"""),"Promedio de familias que recibieron acompañamientos por parte del Programa de Acompañar las Ausencias, en 2023")</f>
        <v>Promedio de familias que recibieron acompañamientos por parte del Programa de Acompañar las Ausencias, en 2023</v>
      </c>
      <c r="H1609" s="42" t="str">
        <f ca="1">IFERROR(__xludf.DUMMYFUNCTION("""COMPUTED_VALUE"""),"Servicio")</f>
        <v>Servicio</v>
      </c>
      <c r="I1609" s="42" t="str">
        <f ca="1">IFERROR(__xludf.DUMMYFUNCTION("""COMPUTED_VALUE"""),"Diciembre")</f>
        <v>Diciembre</v>
      </c>
      <c r="J1609" s="42" t="str">
        <f ca="1">IFERROR(__xludf.DUMMYFUNCTION("""COMPUTED_VALUE"""),"N/A")</f>
        <v>N/A</v>
      </c>
      <c r="K1609" s="98">
        <f ca="1">IFERROR(__xludf.DUMMYFUNCTION("""COMPUTED_VALUE"""),0)</f>
        <v>0</v>
      </c>
      <c r="L1609" s="42" t="str">
        <f ca="1">IFERROR(__xludf.DUMMYFUNCTION("""COMPUTED_VALUE"""),"TRIMESTRE 4")</f>
        <v>TRIMESTRE 4</v>
      </c>
      <c r="M1609" s="42" t="str">
        <f ca="1">IFERROR(__xludf.DUMMYFUNCTION("""COMPUTED_VALUE"""),"SERVICIOS")</f>
        <v>SERVICIOS</v>
      </c>
    </row>
    <row r="1610" spans="1:13">
      <c r="A1610" s="42" t="str">
        <f ca="1">IFERROR(__xludf.DUMMYFUNCTION("""COMPUTED_VALUE"""),"2.1.3.0")</f>
        <v>2.1.3.0</v>
      </c>
      <c r="B1610" s="42" t="str">
        <f ca="1">IFERROR(__xludf.DUMMYFUNCTION("""COMPUTED_VALUE"""),"Unidades de Atención a la Violencia Familiar/Jefatura del Departamento de Unidades de Atención a la Violencia Familiar (UAVIFAM)/Delegación Institucional de la Procuraduría de Protección de  Niñas, Niños y Adolescentes /Coord.4. Programas")</f>
        <v>Unidades de Atención a la Violencia Familiar/Jefatura del Departamento de Unidades de Atención a la Violencia Familiar (UAVIFAM)/Delegación Institucional de la Procuraduría de Protección de  Niñas, Niños y Adolescentes /Coord.4. Programas</v>
      </c>
      <c r="C1610" s="42" t="str">
        <f ca="1">IFERROR(__xludf.DUMMYFUNCTION("""COMPUTED_VALUE"""),"4. Programas")</f>
        <v>4. Programas</v>
      </c>
      <c r="D1610" s="42" t="str">
        <f ca="1">IFERROR(__xludf.DUMMYFUNCTION("""COMPUTED_VALUE"""),"Guadalajara en Paz")</f>
        <v>Guadalajara en Paz</v>
      </c>
      <c r="E1610" s="42" t="str">
        <f ca="1">IFERROR(__xludf.DUMMYFUNCTION("""COMPUTED_VALUE"""),"Unidades de Atención a la Violencia Familiar")</f>
        <v>Unidades de Atención a la Violencia Familiar</v>
      </c>
      <c r="F1610" s="42" t="str">
        <f ca="1">IFERROR(__xludf.DUMMYFUNCTION("""COMPUTED_VALUE"""),"C3. Atenciones multidisciplinarias realizadas a las personas que viven y/o ejercer violencia familiar en el municipio de Guadalajara. ")</f>
        <v xml:space="preserve">C3. Atenciones multidisciplinarias realizadas a las personas que viven y/o ejercer violencia familiar en el municipio de Guadalajara. </v>
      </c>
      <c r="G1610" s="42" t="str">
        <f ca="1">IFERROR(__xludf.DUMMYFUNCTION("""COMPUTED_VALUE"""),"Porcentaje de atenciones por expediente abierto realizadas en la UAVIFAM Guadalajara en 2023. ")</f>
        <v xml:space="preserve">Porcentaje de atenciones por expediente abierto realizadas en la UAVIFAM Guadalajara en 2023. </v>
      </c>
      <c r="H1610" s="42" t="str">
        <f ca="1">IFERROR(__xludf.DUMMYFUNCTION("""COMPUTED_VALUE"""),"Servicio")</f>
        <v>Servicio</v>
      </c>
      <c r="I1610" s="42" t="str">
        <f ca="1">IFERROR(__xludf.DUMMYFUNCTION("""COMPUTED_VALUE"""),"Enero")</f>
        <v>Enero</v>
      </c>
      <c r="J1610" s="42" t="str">
        <f ca="1">IFERROR(__xludf.DUMMYFUNCTION("""COMPUTED_VALUE"""),"N/A")</f>
        <v>N/A</v>
      </c>
      <c r="K1610" s="98">
        <f ca="1">IFERROR(__xludf.DUMMYFUNCTION("""COMPUTED_VALUE"""),89)</f>
        <v>89</v>
      </c>
      <c r="L1610" s="42" t="str">
        <f ca="1">IFERROR(__xludf.DUMMYFUNCTION("""COMPUTED_VALUE"""),"TRIMESTRE 1")</f>
        <v>TRIMESTRE 1</v>
      </c>
      <c r="M1610" s="42" t="str">
        <f ca="1">IFERROR(__xludf.DUMMYFUNCTION("""COMPUTED_VALUE"""),"SERVICIOS")</f>
        <v>SERVICIOS</v>
      </c>
    </row>
    <row r="1611" spans="1:13">
      <c r="A1611" s="42" t="str">
        <f ca="1">IFERROR(__xludf.DUMMYFUNCTION("""COMPUTED_VALUE"""),"2.1.3.1")</f>
        <v>2.1.3.1</v>
      </c>
      <c r="B1611" s="42" t="str">
        <f ca="1">IFERROR(__xludf.DUMMYFUNCTION("""COMPUTED_VALUE"""),"Unidades de Atención a la Violencia Familiar/Jefatura del Departamento de Unidades de Atención a la Violencia Familiar (UAVIFAM)/Delegación Institucional de la Procuraduría de Protección de  Niñas, Niños y Adolescentes /Coord.4. Programas")</f>
        <v>Unidades de Atención a la Violencia Familiar/Jefatura del Departamento de Unidades de Atención a la Violencia Familiar (UAVIFAM)/Delegación Institucional de la Procuraduría de Protección de  Niñas, Niños y Adolescentes /Coord.4. Programas</v>
      </c>
      <c r="C1611" s="42" t="str">
        <f ca="1">IFERROR(__xludf.DUMMYFUNCTION("""COMPUTED_VALUE"""),"4. Programas")</f>
        <v>4. Programas</v>
      </c>
      <c r="D1611" s="42" t="str">
        <f ca="1">IFERROR(__xludf.DUMMYFUNCTION("""COMPUTED_VALUE"""),"Guadalajara en Paz")</f>
        <v>Guadalajara en Paz</v>
      </c>
      <c r="E1611" s="42" t="str">
        <f ca="1">IFERROR(__xludf.DUMMYFUNCTION("""COMPUTED_VALUE"""),"Unidades de Atención a la Violencia Familiar")</f>
        <v>Unidades de Atención a la Violencia Familiar</v>
      </c>
      <c r="F1611" s="42" t="str">
        <f ca="1">IFERROR(__xludf.DUMMYFUNCTION("""COMPUTED_VALUE"""),"A1C3. Aperturas de expedientes para la atención multidisciplinaria primaria realizadas a las personas que viven y/o ejercen violencia familiar en el Municipio de Guadalajara")</f>
        <v>A1C3. Aperturas de expedientes para la atención multidisciplinaria primaria realizadas a las personas que viven y/o ejercen violencia familiar en el Municipio de Guadalajara</v>
      </c>
      <c r="G1611" s="42" t="str">
        <f ca="1">IFERROR(__xludf.DUMMYFUNCTION("""COMPUTED_VALUE"""),"Porcentaje de aperturas de expedientes de atenciones multidisciplinarias primarias en UAVIFAM Guadalajara en 2023")</f>
        <v>Porcentaje de aperturas de expedientes de atenciones multidisciplinarias primarias en UAVIFAM Guadalajara en 2023</v>
      </c>
      <c r="H1611" s="42" t="str">
        <f ca="1">IFERROR(__xludf.DUMMYFUNCTION("""COMPUTED_VALUE"""),"Servicio")</f>
        <v>Servicio</v>
      </c>
      <c r="I1611" s="42" t="str">
        <f ca="1">IFERROR(__xludf.DUMMYFUNCTION("""COMPUTED_VALUE"""),"Enero")</f>
        <v>Enero</v>
      </c>
      <c r="J1611" s="42" t="str">
        <f ca="1">IFERROR(__xludf.DUMMYFUNCTION("""COMPUTED_VALUE"""),"N/A")</f>
        <v>N/A</v>
      </c>
      <c r="K1611" s="98">
        <f ca="1">IFERROR(__xludf.DUMMYFUNCTION("""COMPUTED_VALUE"""),46)</f>
        <v>46</v>
      </c>
      <c r="L1611" s="42" t="str">
        <f ca="1">IFERROR(__xludf.DUMMYFUNCTION("""COMPUTED_VALUE"""),"TRIMESTRE 1")</f>
        <v>TRIMESTRE 1</v>
      </c>
      <c r="M1611" s="42" t="str">
        <f ca="1">IFERROR(__xludf.DUMMYFUNCTION("""COMPUTED_VALUE"""),"SERVICIOS")</f>
        <v>SERVICIOS</v>
      </c>
    </row>
    <row r="1612" spans="1:13">
      <c r="A1612" s="42" t="str">
        <f ca="1">IFERROR(__xludf.DUMMYFUNCTION("""COMPUTED_VALUE"""),"2.1.3.2")</f>
        <v>2.1.3.2</v>
      </c>
      <c r="B1612" s="42" t="str">
        <f ca="1">IFERROR(__xludf.DUMMYFUNCTION("""COMPUTED_VALUE"""),"Unidades de Atención a la Violencia Familiar/Jefatura del Departamento de Unidades de Atención a la Violencia Familiar (UAVIFAM)/Delegación Institucional de la Procuraduría de Protección de  Niñas, Niños y Adolescentes /Coord.4. Programas")</f>
        <v>Unidades de Atención a la Violencia Familiar/Jefatura del Departamento de Unidades de Atención a la Violencia Familiar (UAVIFAM)/Delegación Institucional de la Procuraduría de Protección de  Niñas, Niños y Adolescentes /Coord.4. Programas</v>
      </c>
      <c r="C1612" s="42" t="str">
        <f ca="1">IFERROR(__xludf.DUMMYFUNCTION("""COMPUTED_VALUE"""),"4. Programas")</f>
        <v>4. Programas</v>
      </c>
      <c r="D1612" s="42" t="str">
        <f ca="1">IFERROR(__xludf.DUMMYFUNCTION("""COMPUTED_VALUE"""),"Guadalajara en Paz")</f>
        <v>Guadalajara en Paz</v>
      </c>
      <c r="E1612" s="42" t="str">
        <f ca="1">IFERROR(__xludf.DUMMYFUNCTION("""COMPUTED_VALUE"""),"Unidades de Atención a la Violencia Familiar")</f>
        <v>Unidades de Atención a la Violencia Familiar</v>
      </c>
      <c r="F1612" s="42" t="str">
        <f ca="1">IFERROR(__xludf.DUMMYFUNCTION("""COMPUTED_VALUE"""),"A2C3. Intervención multidisciplinaria de seguimiento a expedientes activos")</f>
        <v>A2C3. Intervención multidisciplinaria de seguimiento a expedientes activos</v>
      </c>
      <c r="G1612" s="42" t="str">
        <f ca="1">IFERROR(__xludf.DUMMYFUNCTION("""COMPUTED_VALUE"""),"Porcentaje de atenciones de seguimiento por expediente en UAVIFAM Guadalajara en 2023")</f>
        <v>Porcentaje de atenciones de seguimiento por expediente en UAVIFAM Guadalajara en 2023</v>
      </c>
      <c r="H1612" s="42" t="str">
        <f ca="1">IFERROR(__xludf.DUMMYFUNCTION("""COMPUTED_VALUE"""),"Servicio")</f>
        <v>Servicio</v>
      </c>
      <c r="I1612" s="42" t="str">
        <f ca="1">IFERROR(__xludf.DUMMYFUNCTION("""COMPUTED_VALUE"""),"Enero")</f>
        <v>Enero</v>
      </c>
      <c r="J1612" s="42" t="str">
        <f ca="1">IFERROR(__xludf.DUMMYFUNCTION("""COMPUTED_VALUE"""),"N/A")</f>
        <v>N/A</v>
      </c>
      <c r="K1612" s="98">
        <f ca="1">IFERROR(__xludf.DUMMYFUNCTION("""COMPUTED_VALUE"""),36)</f>
        <v>36</v>
      </c>
      <c r="L1612" s="42" t="str">
        <f ca="1">IFERROR(__xludf.DUMMYFUNCTION("""COMPUTED_VALUE"""),"TRIMESTRE 1")</f>
        <v>TRIMESTRE 1</v>
      </c>
      <c r="M1612" s="42" t="str">
        <f ca="1">IFERROR(__xludf.DUMMYFUNCTION("""COMPUTED_VALUE"""),"SERVICIOS")</f>
        <v>SERVICIOS</v>
      </c>
    </row>
    <row r="1613" spans="1:13">
      <c r="A1613" s="42" t="str">
        <f ca="1">IFERROR(__xludf.DUMMYFUNCTION("""COMPUTED_VALUE"""),"2.1.3.0")</f>
        <v>2.1.3.0</v>
      </c>
      <c r="B1613" s="42" t="str">
        <f ca="1">IFERROR(__xludf.DUMMYFUNCTION("""COMPUTED_VALUE"""),"Unidades de Atención a la Violencia Familiar/Jefatura del Departamento de Unidades de Atención a la Violencia Familiar (UAVIFAM)/Delegación Institucional de la Procuraduría de Protección de  Niñas, Niños y Adolescentes /Coord.4. Programas")</f>
        <v>Unidades de Atención a la Violencia Familiar/Jefatura del Departamento de Unidades de Atención a la Violencia Familiar (UAVIFAM)/Delegación Institucional de la Procuraduría de Protección de  Niñas, Niños y Adolescentes /Coord.4. Programas</v>
      </c>
      <c r="C1613" s="42" t="str">
        <f ca="1">IFERROR(__xludf.DUMMYFUNCTION("""COMPUTED_VALUE"""),"4. Programas")</f>
        <v>4. Programas</v>
      </c>
      <c r="D1613" s="42" t="str">
        <f ca="1">IFERROR(__xludf.DUMMYFUNCTION("""COMPUTED_VALUE"""),"Guadalajara en Paz")</f>
        <v>Guadalajara en Paz</v>
      </c>
      <c r="E1613" s="42" t="str">
        <f ca="1">IFERROR(__xludf.DUMMYFUNCTION("""COMPUTED_VALUE"""),"Unidades de Atención a la Violencia Familiar")</f>
        <v>Unidades de Atención a la Violencia Familiar</v>
      </c>
      <c r="F1613" s="42" t="str">
        <f ca="1">IFERROR(__xludf.DUMMYFUNCTION("""COMPUTED_VALUE"""),"C3. Atenciones multidisciplinarias realizadas a las personas que viven y/o ejercer violencia familiar en el municipio de Guadalajara. ")</f>
        <v xml:space="preserve">C3. Atenciones multidisciplinarias realizadas a las personas que viven y/o ejercer violencia familiar en el municipio de Guadalajara. </v>
      </c>
      <c r="G1613" s="42" t="str">
        <f ca="1">IFERROR(__xludf.DUMMYFUNCTION("""COMPUTED_VALUE"""),"Porcentaje de atenciones por expediente abierto realizadas en la UAVIFAM Guadalajara en 2023. ")</f>
        <v xml:space="preserve">Porcentaje de atenciones por expediente abierto realizadas en la UAVIFAM Guadalajara en 2023. </v>
      </c>
      <c r="H1613" s="42" t="str">
        <f ca="1">IFERROR(__xludf.DUMMYFUNCTION("""COMPUTED_VALUE"""),"Servicio")</f>
        <v>Servicio</v>
      </c>
      <c r="I1613" s="42" t="str">
        <f ca="1">IFERROR(__xludf.DUMMYFUNCTION("""COMPUTED_VALUE"""),"Febrero")</f>
        <v>Febrero</v>
      </c>
      <c r="J1613" s="42" t="str">
        <f ca="1">IFERROR(__xludf.DUMMYFUNCTION("""COMPUTED_VALUE"""),"N/A")</f>
        <v>N/A</v>
      </c>
      <c r="K1613" s="98">
        <f ca="1">IFERROR(__xludf.DUMMYFUNCTION("""COMPUTED_VALUE"""),101)</f>
        <v>101</v>
      </c>
      <c r="L1613" s="42" t="str">
        <f ca="1">IFERROR(__xludf.DUMMYFUNCTION("""COMPUTED_VALUE"""),"TRIMESTRE 1")</f>
        <v>TRIMESTRE 1</v>
      </c>
      <c r="M1613" s="42" t="str">
        <f ca="1">IFERROR(__xludf.DUMMYFUNCTION("""COMPUTED_VALUE"""),"SERVICIOS")</f>
        <v>SERVICIOS</v>
      </c>
    </row>
    <row r="1614" spans="1:13">
      <c r="A1614" s="42" t="str">
        <f ca="1">IFERROR(__xludf.DUMMYFUNCTION("""COMPUTED_VALUE"""),"2.1.3.1")</f>
        <v>2.1.3.1</v>
      </c>
      <c r="B1614" s="42" t="str">
        <f ca="1">IFERROR(__xludf.DUMMYFUNCTION("""COMPUTED_VALUE"""),"Unidades de Atención a la Violencia Familiar/Jefatura del Departamento de Unidades de Atención a la Violencia Familiar (UAVIFAM)/Delegación Institucional de la Procuraduría de Protección de  Niñas, Niños y Adolescentes /Coord.4. Programas")</f>
        <v>Unidades de Atención a la Violencia Familiar/Jefatura del Departamento de Unidades de Atención a la Violencia Familiar (UAVIFAM)/Delegación Institucional de la Procuraduría de Protección de  Niñas, Niños y Adolescentes /Coord.4. Programas</v>
      </c>
      <c r="C1614" s="42" t="str">
        <f ca="1">IFERROR(__xludf.DUMMYFUNCTION("""COMPUTED_VALUE"""),"4. Programas")</f>
        <v>4. Programas</v>
      </c>
      <c r="D1614" s="42" t="str">
        <f ca="1">IFERROR(__xludf.DUMMYFUNCTION("""COMPUTED_VALUE"""),"Guadalajara en Paz")</f>
        <v>Guadalajara en Paz</v>
      </c>
      <c r="E1614" s="42" t="str">
        <f ca="1">IFERROR(__xludf.DUMMYFUNCTION("""COMPUTED_VALUE"""),"Unidades de Atención a la Violencia Familiar")</f>
        <v>Unidades de Atención a la Violencia Familiar</v>
      </c>
      <c r="F1614" s="42" t="str">
        <f ca="1">IFERROR(__xludf.DUMMYFUNCTION("""COMPUTED_VALUE"""),"A1C3. Aperturas de expedientes para la atención multidisciplinaria primaria realizadas a las personas que viven y/o ejercen violencia familiar en el Municipio de Guadalajara")</f>
        <v>A1C3. Aperturas de expedientes para la atención multidisciplinaria primaria realizadas a las personas que viven y/o ejercen violencia familiar en el Municipio de Guadalajara</v>
      </c>
      <c r="G1614" s="42" t="str">
        <f ca="1">IFERROR(__xludf.DUMMYFUNCTION("""COMPUTED_VALUE"""),"Porcentaje de aperturas de expedientes de atenciones multidisciplinarias primarias en UAVIFAM Guadalajara en 2023")</f>
        <v>Porcentaje de aperturas de expedientes de atenciones multidisciplinarias primarias en UAVIFAM Guadalajara en 2023</v>
      </c>
      <c r="H1614" s="42" t="str">
        <f ca="1">IFERROR(__xludf.DUMMYFUNCTION("""COMPUTED_VALUE"""),"Servicio")</f>
        <v>Servicio</v>
      </c>
      <c r="I1614" s="42" t="str">
        <f ca="1">IFERROR(__xludf.DUMMYFUNCTION("""COMPUTED_VALUE"""),"Febrero")</f>
        <v>Febrero</v>
      </c>
      <c r="J1614" s="42" t="str">
        <f ca="1">IFERROR(__xludf.DUMMYFUNCTION("""COMPUTED_VALUE"""),"N/A")</f>
        <v>N/A</v>
      </c>
      <c r="K1614" s="98">
        <f ca="1">IFERROR(__xludf.DUMMYFUNCTION("""COMPUTED_VALUE"""),61)</f>
        <v>61</v>
      </c>
      <c r="L1614" s="42" t="str">
        <f ca="1">IFERROR(__xludf.DUMMYFUNCTION("""COMPUTED_VALUE"""),"TRIMESTRE 1")</f>
        <v>TRIMESTRE 1</v>
      </c>
      <c r="M1614" s="42" t="str">
        <f ca="1">IFERROR(__xludf.DUMMYFUNCTION("""COMPUTED_VALUE"""),"SERVICIOS")</f>
        <v>SERVICIOS</v>
      </c>
    </row>
    <row r="1615" spans="1:13">
      <c r="A1615" s="42" t="str">
        <f ca="1">IFERROR(__xludf.DUMMYFUNCTION("""COMPUTED_VALUE"""),"2.1.3.2")</f>
        <v>2.1.3.2</v>
      </c>
      <c r="B1615" s="42" t="str">
        <f ca="1">IFERROR(__xludf.DUMMYFUNCTION("""COMPUTED_VALUE"""),"Unidades de Atención a la Violencia Familiar/Jefatura del Departamento de Unidades de Atención a la Violencia Familiar (UAVIFAM)/Delegación Institucional de la Procuraduría de Protección de  Niñas, Niños y Adolescentes /Coord.4. Programas")</f>
        <v>Unidades de Atención a la Violencia Familiar/Jefatura del Departamento de Unidades de Atención a la Violencia Familiar (UAVIFAM)/Delegación Institucional de la Procuraduría de Protección de  Niñas, Niños y Adolescentes /Coord.4. Programas</v>
      </c>
      <c r="C1615" s="42" t="str">
        <f ca="1">IFERROR(__xludf.DUMMYFUNCTION("""COMPUTED_VALUE"""),"4. Programas")</f>
        <v>4. Programas</v>
      </c>
      <c r="D1615" s="42" t="str">
        <f ca="1">IFERROR(__xludf.DUMMYFUNCTION("""COMPUTED_VALUE"""),"Guadalajara en Paz")</f>
        <v>Guadalajara en Paz</v>
      </c>
      <c r="E1615" s="42" t="str">
        <f ca="1">IFERROR(__xludf.DUMMYFUNCTION("""COMPUTED_VALUE"""),"Unidades de Atención a la Violencia Familiar")</f>
        <v>Unidades de Atención a la Violencia Familiar</v>
      </c>
      <c r="F1615" s="42" t="str">
        <f ca="1">IFERROR(__xludf.DUMMYFUNCTION("""COMPUTED_VALUE"""),"A2C3. Intervención multidisciplinaria de seguimiento a expedientes activos")</f>
        <v>A2C3. Intervención multidisciplinaria de seguimiento a expedientes activos</v>
      </c>
      <c r="G1615" s="42" t="str">
        <f ca="1">IFERROR(__xludf.DUMMYFUNCTION("""COMPUTED_VALUE"""),"Porcentaje de atenciones de seguimiento por expediente en UAVIFAM Guadalajara en 2023")</f>
        <v>Porcentaje de atenciones de seguimiento por expediente en UAVIFAM Guadalajara en 2023</v>
      </c>
      <c r="H1615" s="42" t="str">
        <f ca="1">IFERROR(__xludf.DUMMYFUNCTION("""COMPUTED_VALUE"""),"Servicio")</f>
        <v>Servicio</v>
      </c>
      <c r="I1615" s="42" t="str">
        <f ca="1">IFERROR(__xludf.DUMMYFUNCTION("""COMPUTED_VALUE"""),"Febrero")</f>
        <v>Febrero</v>
      </c>
      <c r="J1615" s="42" t="str">
        <f ca="1">IFERROR(__xludf.DUMMYFUNCTION("""COMPUTED_VALUE"""),"N/A")</f>
        <v>N/A</v>
      </c>
      <c r="K1615" s="98">
        <f ca="1">IFERROR(__xludf.DUMMYFUNCTION("""COMPUTED_VALUE"""),29)</f>
        <v>29</v>
      </c>
      <c r="L1615" s="42" t="str">
        <f ca="1">IFERROR(__xludf.DUMMYFUNCTION("""COMPUTED_VALUE"""),"TRIMESTRE 1")</f>
        <v>TRIMESTRE 1</v>
      </c>
      <c r="M1615" s="42" t="str">
        <f ca="1">IFERROR(__xludf.DUMMYFUNCTION("""COMPUTED_VALUE"""),"SERVICIOS")</f>
        <v>SERVICIOS</v>
      </c>
    </row>
    <row r="1616" spans="1:13">
      <c r="A1616" s="42" t="str">
        <f ca="1">IFERROR(__xludf.DUMMYFUNCTION("""COMPUTED_VALUE"""),"2.1.3.0")</f>
        <v>2.1.3.0</v>
      </c>
      <c r="B1616" s="42" t="str">
        <f ca="1">IFERROR(__xludf.DUMMYFUNCTION("""COMPUTED_VALUE"""),"Unidades de Atención a la Violencia Familiar/Jefatura del Departamento de Unidades de Atención a la Violencia Familiar (UAVIFAM)/Delegación Institucional de la Procuraduría de Protección de  Niñas, Niños y Adolescentes /Coord.4. Programas")</f>
        <v>Unidades de Atención a la Violencia Familiar/Jefatura del Departamento de Unidades de Atención a la Violencia Familiar (UAVIFAM)/Delegación Institucional de la Procuraduría de Protección de  Niñas, Niños y Adolescentes /Coord.4. Programas</v>
      </c>
      <c r="C1616" s="42" t="str">
        <f ca="1">IFERROR(__xludf.DUMMYFUNCTION("""COMPUTED_VALUE"""),"4. Programas")</f>
        <v>4. Programas</v>
      </c>
      <c r="D1616" s="42" t="str">
        <f ca="1">IFERROR(__xludf.DUMMYFUNCTION("""COMPUTED_VALUE"""),"Guadalajara en Paz")</f>
        <v>Guadalajara en Paz</v>
      </c>
      <c r="E1616" s="42" t="str">
        <f ca="1">IFERROR(__xludf.DUMMYFUNCTION("""COMPUTED_VALUE"""),"Unidades de Atención a la Violencia Familiar")</f>
        <v>Unidades de Atención a la Violencia Familiar</v>
      </c>
      <c r="F1616" s="42" t="str">
        <f ca="1">IFERROR(__xludf.DUMMYFUNCTION("""COMPUTED_VALUE"""),"C3. Atenciones multidisciplinarias realizadas a las personas que viven y/o ejercer violencia familiar en el municipio de Guadalajara. ")</f>
        <v xml:space="preserve">C3. Atenciones multidisciplinarias realizadas a las personas que viven y/o ejercer violencia familiar en el municipio de Guadalajara. </v>
      </c>
      <c r="G1616" s="42" t="str">
        <f ca="1">IFERROR(__xludf.DUMMYFUNCTION("""COMPUTED_VALUE"""),"Porcentaje de atenciones por expediente abierto realizadas en la UAVIFAM Guadalajara en 2023. ")</f>
        <v xml:space="preserve">Porcentaje de atenciones por expediente abierto realizadas en la UAVIFAM Guadalajara en 2023. </v>
      </c>
      <c r="H1616" s="42" t="str">
        <f ca="1">IFERROR(__xludf.DUMMYFUNCTION("""COMPUTED_VALUE"""),"Servicio")</f>
        <v>Servicio</v>
      </c>
      <c r="I1616" s="42" t="str">
        <f ca="1">IFERROR(__xludf.DUMMYFUNCTION("""COMPUTED_VALUE"""),"Marzo")</f>
        <v>Marzo</v>
      </c>
      <c r="J1616" s="42" t="str">
        <f ca="1">IFERROR(__xludf.DUMMYFUNCTION("""COMPUTED_VALUE"""),"N/A")</f>
        <v>N/A</v>
      </c>
      <c r="K1616" s="98">
        <f ca="1">IFERROR(__xludf.DUMMYFUNCTION("""COMPUTED_VALUE"""),90)</f>
        <v>90</v>
      </c>
      <c r="L1616" s="42" t="str">
        <f ca="1">IFERROR(__xludf.DUMMYFUNCTION("""COMPUTED_VALUE"""),"TRIMESTRE 1")</f>
        <v>TRIMESTRE 1</v>
      </c>
      <c r="M1616" s="42" t="str">
        <f ca="1">IFERROR(__xludf.DUMMYFUNCTION("""COMPUTED_VALUE"""),"SERVICIOS")</f>
        <v>SERVICIOS</v>
      </c>
    </row>
    <row r="1617" spans="1:13">
      <c r="A1617" s="42" t="str">
        <f ca="1">IFERROR(__xludf.DUMMYFUNCTION("""COMPUTED_VALUE"""),"2.1.3.1")</f>
        <v>2.1.3.1</v>
      </c>
      <c r="B1617" s="42" t="str">
        <f ca="1">IFERROR(__xludf.DUMMYFUNCTION("""COMPUTED_VALUE"""),"Unidades de Atención a la Violencia Familiar/Jefatura del Departamento de Unidades de Atención a la Violencia Familiar (UAVIFAM)/Delegación Institucional de la Procuraduría de Protección de  Niñas, Niños y Adolescentes /Coord.4. Programas")</f>
        <v>Unidades de Atención a la Violencia Familiar/Jefatura del Departamento de Unidades de Atención a la Violencia Familiar (UAVIFAM)/Delegación Institucional de la Procuraduría de Protección de  Niñas, Niños y Adolescentes /Coord.4. Programas</v>
      </c>
      <c r="C1617" s="42" t="str">
        <f ca="1">IFERROR(__xludf.DUMMYFUNCTION("""COMPUTED_VALUE"""),"4. Programas")</f>
        <v>4. Programas</v>
      </c>
      <c r="D1617" s="42" t="str">
        <f ca="1">IFERROR(__xludf.DUMMYFUNCTION("""COMPUTED_VALUE"""),"Guadalajara en Paz")</f>
        <v>Guadalajara en Paz</v>
      </c>
      <c r="E1617" s="42" t="str">
        <f ca="1">IFERROR(__xludf.DUMMYFUNCTION("""COMPUTED_VALUE"""),"Unidades de Atención a la Violencia Familiar")</f>
        <v>Unidades de Atención a la Violencia Familiar</v>
      </c>
      <c r="F1617" s="42" t="str">
        <f ca="1">IFERROR(__xludf.DUMMYFUNCTION("""COMPUTED_VALUE"""),"A1C3. Aperturas de expedientes para la atención multidisciplinaria primaria realizadas a las personas que viven y/o ejercen violencia familiar en el Municipio de Guadalajara")</f>
        <v>A1C3. Aperturas de expedientes para la atención multidisciplinaria primaria realizadas a las personas que viven y/o ejercen violencia familiar en el Municipio de Guadalajara</v>
      </c>
      <c r="G1617" s="42" t="str">
        <f ca="1">IFERROR(__xludf.DUMMYFUNCTION("""COMPUTED_VALUE"""),"Porcentaje de aperturas de expedientes de atenciones multidisciplinarias primarias en UAVIFAM Guadalajara en 2023")</f>
        <v>Porcentaje de aperturas de expedientes de atenciones multidisciplinarias primarias en UAVIFAM Guadalajara en 2023</v>
      </c>
      <c r="H1617" s="42" t="str">
        <f ca="1">IFERROR(__xludf.DUMMYFUNCTION("""COMPUTED_VALUE"""),"Servicio")</f>
        <v>Servicio</v>
      </c>
      <c r="I1617" s="42" t="str">
        <f ca="1">IFERROR(__xludf.DUMMYFUNCTION("""COMPUTED_VALUE"""),"Marzo")</f>
        <v>Marzo</v>
      </c>
      <c r="J1617" s="42" t="str">
        <f ca="1">IFERROR(__xludf.DUMMYFUNCTION("""COMPUTED_VALUE"""),"N/A")</f>
        <v>N/A</v>
      </c>
      <c r="K1617" s="98">
        <f ca="1">IFERROR(__xludf.DUMMYFUNCTION("""COMPUTED_VALUE"""),71)</f>
        <v>71</v>
      </c>
      <c r="L1617" s="42" t="str">
        <f ca="1">IFERROR(__xludf.DUMMYFUNCTION("""COMPUTED_VALUE"""),"TRIMESTRE 1")</f>
        <v>TRIMESTRE 1</v>
      </c>
      <c r="M1617" s="42" t="str">
        <f ca="1">IFERROR(__xludf.DUMMYFUNCTION("""COMPUTED_VALUE"""),"SERVICIOS")</f>
        <v>SERVICIOS</v>
      </c>
    </row>
    <row r="1618" spans="1:13">
      <c r="A1618" s="42" t="str">
        <f ca="1">IFERROR(__xludf.DUMMYFUNCTION("""COMPUTED_VALUE"""),"2.1.3.2")</f>
        <v>2.1.3.2</v>
      </c>
      <c r="B1618" s="42" t="str">
        <f ca="1">IFERROR(__xludf.DUMMYFUNCTION("""COMPUTED_VALUE"""),"Unidades de Atención a la Violencia Familiar/Jefatura del Departamento de Unidades de Atención a la Violencia Familiar (UAVIFAM)/Delegación Institucional de la Procuraduría de Protección de  Niñas, Niños y Adolescentes /Coord.4. Programas")</f>
        <v>Unidades de Atención a la Violencia Familiar/Jefatura del Departamento de Unidades de Atención a la Violencia Familiar (UAVIFAM)/Delegación Institucional de la Procuraduría de Protección de  Niñas, Niños y Adolescentes /Coord.4. Programas</v>
      </c>
      <c r="C1618" s="42" t="str">
        <f ca="1">IFERROR(__xludf.DUMMYFUNCTION("""COMPUTED_VALUE"""),"4. Programas")</f>
        <v>4. Programas</v>
      </c>
      <c r="D1618" s="42" t="str">
        <f ca="1">IFERROR(__xludf.DUMMYFUNCTION("""COMPUTED_VALUE"""),"Guadalajara en Paz")</f>
        <v>Guadalajara en Paz</v>
      </c>
      <c r="E1618" s="42" t="str">
        <f ca="1">IFERROR(__xludf.DUMMYFUNCTION("""COMPUTED_VALUE"""),"Unidades de Atención a la Violencia Familiar")</f>
        <v>Unidades de Atención a la Violencia Familiar</v>
      </c>
      <c r="F1618" s="42" t="str">
        <f ca="1">IFERROR(__xludf.DUMMYFUNCTION("""COMPUTED_VALUE"""),"A2C3. Intervención multidisciplinaria de seguimiento a expedientes activos")</f>
        <v>A2C3. Intervención multidisciplinaria de seguimiento a expedientes activos</v>
      </c>
      <c r="G1618" s="42" t="str">
        <f ca="1">IFERROR(__xludf.DUMMYFUNCTION("""COMPUTED_VALUE"""),"Porcentaje de atenciones de seguimiento por expediente en UAVIFAM Guadalajara en 2023")</f>
        <v>Porcentaje de atenciones de seguimiento por expediente en UAVIFAM Guadalajara en 2023</v>
      </c>
      <c r="H1618" s="42" t="str">
        <f ca="1">IFERROR(__xludf.DUMMYFUNCTION("""COMPUTED_VALUE"""),"Servicio")</f>
        <v>Servicio</v>
      </c>
      <c r="I1618" s="42" t="str">
        <f ca="1">IFERROR(__xludf.DUMMYFUNCTION("""COMPUTED_VALUE"""),"Marzo")</f>
        <v>Marzo</v>
      </c>
      <c r="J1618" s="42" t="str">
        <f ca="1">IFERROR(__xludf.DUMMYFUNCTION("""COMPUTED_VALUE"""),"N/A")</f>
        <v>N/A</v>
      </c>
      <c r="K1618" s="98">
        <f ca="1">IFERROR(__xludf.DUMMYFUNCTION("""COMPUTED_VALUE"""),31)</f>
        <v>31</v>
      </c>
      <c r="L1618" s="42" t="str">
        <f ca="1">IFERROR(__xludf.DUMMYFUNCTION("""COMPUTED_VALUE"""),"TRIMESTRE 1")</f>
        <v>TRIMESTRE 1</v>
      </c>
      <c r="M1618" s="42" t="str">
        <f ca="1">IFERROR(__xludf.DUMMYFUNCTION("""COMPUTED_VALUE"""),"SERVICIOS")</f>
        <v>SERVICIOS</v>
      </c>
    </row>
    <row r="1619" spans="1:13">
      <c r="A1619" s="42" t="str">
        <f ca="1">IFERROR(__xludf.DUMMYFUNCTION("""COMPUTED_VALUE"""),"2.1.3.0")</f>
        <v>2.1.3.0</v>
      </c>
      <c r="B1619" s="42" t="str">
        <f ca="1">IFERROR(__xludf.DUMMYFUNCTION("""COMPUTED_VALUE"""),"Unidades de Atención a la Violencia Familiar/Jefatura del Departamento de Unidades de Atención a la Violencia Familiar (UAVIFAM)/Delegación Institucional de la Procuraduría de Protección de  Niñas, Niños y Adolescentes /Coord.4. Programas")</f>
        <v>Unidades de Atención a la Violencia Familiar/Jefatura del Departamento de Unidades de Atención a la Violencia Familiar (UAVIFAM)/Delegación Institucional de la Procuraduría de Protección de  Niñas, Niños y Adolescentes /Coord.4. Programas</v>
      </c>
      <c r="C1619" s="42" t="str">
        <f ca="1">IFERROR(__xludf.DUMMYFUNCTION("""COMPUTED_VALUE"""),"4. Programas")</f>
        <v>4. Programas</v>
      </c>
      <c r="D1619" s="42" t="str">
        <f ca="1">IFERROR(__xludf.DUMMYFUNCTION("""COMPUTED_VALUE"""),"Guadalajara en Paz")</f>
        <v>Guadalajara en Paz</v>
      </c>
      <c r="E1619" s="42" t="str">
        <f ca="1">IFERROR(__xludf.DUMMYFUNCTION("""COMPUTED_VALUE"""),"Unidades de Atención a la Violencia Familiar")</f>
        <v>Unidades de Atención a la Violencia Familiar</v>
      </c>
      <c r="F1619" s="42" t="str">
        <f ca="1">IFERROR(__xludf.DUMMYFUNCTION("""COMPUTED_VALUE"""),"C3. Atenciones multidisciplinarias realizadas a las personas que viven y/o ejercer violencia familiar en el municipio de Guadalajara. ")</f>
        <v xml:space="preserve">C3. Atenciones multidisciplinarias realizadas a las personas que viven y/o ejercer violencia familiar en el municipio de Guadalajara. </v>
      </c>
      <c r="G1619" s="42" t="str">
        <f ca="1">IFERROR(__xludf.DUMMYFUNCTION("""COMPUTED_VALUE"""),"Porcentaje de atenciones por expediente abierto realizadas en la UAVIFAM Guadalajara en 2023. ")</f>
        <v xml:space="preserve">Porcentaje de atenciones por expediente abierto realizadas en la UAVIFAM Guadalajara en 2023. </v>
      </c>
      <c r="H1619" s="42" t="str">
        <f ca="1">IFERROR(__xludf.DUMMYFUNCTION("""COMPUTED_VALUE"""),"Servicio")</f>
        <v>Servicio</v>
      </c>
      <c r="I1619" s="42" t="str">
        <f ca="1">IFERROR(__xludf.DUMMYFUNCTION("""COMPUTED_VALUE"""),"Abril")</f>
        <v>Abril</v>
      </c>
      <c r="J1619" s="42" t="str">
        <f ca="1">IFERROR(__xludf.DUMMYFUNCTION("""COMPUTED_VALUE"""),"N/A")</f>
        <v>N/A</v>
      </c>
      <c r="K1619" s="98">
        <f ca="1">IFERROR(__xludf.DUMMYFUNCTION("""COMPUTED_VALUE"""),49)</f>
        <v>49</v>
      </c>
      <c r="L1619" s="42" t="str">
        <f ca="1">IFERROR(__xludf.DUMMYFUNCTION("""COMPUTED_VALUE"""),"TRIMESTRE 2")</f>
        <v>TRIMESTRE 2</v>
      </c>
      <c r="M1619" s="42" t="str">
        <f ca="1">IFERROR(__xludf.DUMMYFUNCTION("""COMPUTED_VALUE"""),"SERVICIOS")</f>
        <v>SERVICIOS</v>
      </c>
    </row>
    <row r="1620" spans="1:13">
      <c r="A1620" s="42" t="str">
        <f ca="1">IFERROR(__xludf.DUMMYFUNCTION("""COMPUTED_VALUE"""),"2.1.3.1")</f>
        <v>2.1.3.1</v>
      </c>
      <c r="B1620" s="42" t="str">
        <f ca="1">IFERROR(__xludf.DUMMYFUNCTION("""COMPUTED_VALUE"""),"Unidades de Atención a la Violencia Familiar/Jefatura del Departamento de Unidades de Atención a la Violencia Familiar (UAVIFAM)/Delegación Institucional de la Procuraduría de Protección de  Niñas, Niños y Adolescentes /Coord.4. Programas")</f>
        <v>Unidades de Atención a la Violencia Familiar/Jefatura del Departamento de Unidades de Atención a la Violencia Familiar (UAVIFAM)/Delegación Institucional de la Procuraduría de Protección de  Niñas, Niños y Adolescentes /Coord.4. Programas</v>
      </c>
      <c r="C1620" s="42" t="str">
        <f ca="1">IFERROR(__xludf.DUMMYFUNCTION("""COMPUTED_VALUE"""),"4. Programas")</f>
        <v>4. Programas</v>
      </c>
      <c r="D1620" s="42" t="str">
        <f ca="1">IFERROR(__xludf.DUMMYFUNCTION("""COMPUTED_VALUE"""),"Guadalajara en Paz")</f>
        <v>Guadalajara en Paz</v>
      </c>
      <c r="E1620" s="42" t="str">
        <f ca="1">IFERROR(__xludf.DUMMYFUNCTION("""COMPUTED_VALUE"""),"Unidades de Atención a la Violencia Familiar")</f>
        <v>Unidades de Atención a la Violencia Familiar</v>
      </c>
      <c r="F1620" s="42" t="str">
        <f ca="1">IFERROR(__xludf.DUMMYFUNCTION("""COMPUTED_VALUE"""),"A1C3. Aperturas de expedientes para la atención multidisciplinaria primaria realizadas a las personas que viven y/o ejercen violencia familiar en el Municipio de Guadalajara")</f>
        <v>A1C3. Aperturas de expedientes para la atención multidisciplinaria primaria realizadas a las personas que viven y/o ejercen violencia familiar en el Municipio de Guadalajara</v>
      </c>
      <c r="G1620" s="42" t="str">
        <f ca="1">IFERROR(__xludf.DUMMYFUNCTION("""COMPUTED_VALUE"""),"Porcentaje de aperturas de expedientes de atenciones multidisciplinarias primarias en UAVIFAM Guadalajara en 2023")</f>
        <v>Porcentaje de aperturas de expedientes de atenciones multidisciplinarias primarias en UAVIFAM Guadalajara en 2023</v>
      </c>
      <c r="H1620" s="42" t="str">
        <f ca="1">IFERROR(__xludf.DUMMYFUNCTION("""COMPUTED_VALUE"""),"Servicio")</f>
        <v>Servicio</v>
      </c>
      <c r="I1620" s="42" t="str">
        <f ca="1">IFERROR(__xludf.DUMMYFUNCTION("""COMPUTED_VALUE"""),"Abril")</f>
        <v>Abril</v>
      </c>
      <c r="J1620" s="42" t="str">
        <f ca="1">IFERROR(__xludf.DUMMYFUNCTION("""COMPUTED_VALUE"""),"N/A")</f>
        <v>N/A</v>
      </c>
      <c r="K1620" s="98">
        <f ca="1">IFERROR(__xludf.DUMMYFUNCTION("""COMPUTED_VALUE"""),30)</f>
        <v>30</v>
      </c>
      <c r="L1620" s="42" t="str">
        <f ca="1">IFERROR(__xludf.DUMMYFUNCTION("""COMPUTED_VALUE"""),"TRIMESTRE 2")</f>
        <v>TRIMESTRE 2</v>
      </c>
      <c r="M1620" s="42" t="str">
        <f ca="1">IFERROR(__xludf.DUMMYFUNCTION("""COMPUTED_VALUE"""),"SERVICIOS")</f>
        <v>SERVICIOS</v>
      </c>
    </row>
    <row r="1621" spans="1:13">
      <c r="A1621" s="42" t="str">
        <f ca="1">IFERROR(__xludf.DUMMYFUNCTION("""COMPUTED_VALUE"""),"2.1.3.2")</f>
        <v>2.1.3.2</v>
      </c>
      <c r="B1621" s="42" t="str">
        <f ca="1">IFERROR(__xludf.DUMMYFUNCTION("""COMPUTED_VALUE"""),"Unidades de Atención a la Violencia Familiar/Jefatura del Departamento de Unidades de Atención a la Violencia Familiar (UAVIFAM)/Delegación Institucional de la Procuraduría de Protección de  Niñas, Niños y Adolescentes /Coord.4. Programas")</f>
        <v>Unidades de Atención a la Violencia Familiar/Jefatura del Departamento de Unidades de Atención a la Violencia Familiar (UAVIFAM)/Delegación Institucional de la Procuraduría de Protección de  Niñas, Niños y Adolescentes /Coord.4. Programas</v>
      </c>
      <c r="C1621" s="42" t="str">
        <f ca="1">IFERROR(__xludf.DUMMYFUNCTION("""COMPUTED_VALUE"""),"4. Programas")</f>
        <v>4. Programas</v>
      </c>
      <c r="D1621" s="42" t="str">
        <f ca="1">IFERROR(__xludf.DUMMYFUNCTION("""COMPUTED_VALUE"""),"Guadalajara en Paz")</f>
        <v>Guadalajara en Paz</v>
      </c>
      <c r="E1621" s="42" t="str">
        <f ca="1">IFERROR(__xludf.DUMMYFUNCTION("""COMPUTED_VALUE"""),"Unidades de Atención a la Violencia Familiar")</f>
        <v>Unidades de Atención a la Violencia Familiar</v>
      </c>
      <c r="F1621" s="42" t="str">
        <f ca="1">IFERROR(__xludf.DUMMYFUNCTION("""COMPUTED_VALUE"""),"A2C3. Intervención multidisciplinaria de seguimiento a expedientes activos")</f>
        <v>A2C3. Intervención multidisciplinaria de seguimiento a expedientes activos</v>
      </c>
      <c r="G1621" s="42" t="str">
        <f ca="1">IFERROR(__xludf.DUMMYFUNCTION("""COMPUTED_VALUE"""),"Porcentaje de atenciones de seguimiento por expediente en UAVIFAM Guadalajara en 2023")</f>
        <v>Porcentaje de atenciones de seguimiento por expediente en UAVIFAM Guadalajara en 2023</v>
      </c>
      <c r="H1621" s="42" t="str">
        <f ca="1">IFERROR(__xludf.DUMMYFUNCTION("""COMPUTED_VALUE"""),"Servicio")</f>
        <v>Servicio</v>
      </c>
      <c r="I1621" s="42" t="str">
        <f ca="1">IFERROR(__xludf.DUMMYFUNCTION("""COMPUTED_VALUE"""),"Abril")</f>
        <v>Abril</v>
      </c>
      <c r="J1621" s="42" t="str">
        <f ca="1">IFERROR(__xludf.DUMMYFUNCTION("""COMPUTED_VALUE"""),"N/A")</f>
        <v>N/A</v>
      </c>
      <c r="K1621" s="98">
        <f ca="1">IFERROR(__xludf.DUMMYFUNCTION("""COMPUTED_VALUE"""),19)</f>
        <v>19</v>
      </c>
      <c r="L1621" s="42" t="str">
        <f ca="1">IFERROR(__xludf.DUMMYFUNCTION("""COMPUTED_VALUE"""),"TRIMESTRE 2")</f>
        <v>TRIMESTRE 2</v>
      </c>
      <c r="M1621" s="42" t="str">
        <f ca="1">IFERROR(__xludf.DUMMYFUNCTION("""COMPUTED_VALUE"""),"SERVICIOS")</f>
        <v>SERVICIOS</v>
      </c>
    </row>
    <row r="1622" spans="1:13">
      <c r="A1622" s="42" t="str">
        <f ca="1">IFERROR(__xludf.DUMMYFUNCTION("""COMPUTED_VALUE"""),"2.1.3.0")</f>
        <v>2.1.3.0</v>
      </c>
      <c r="B1622" s="42" t="str">
        <f ca="1">IFERROR(__xludf.DUMMYFUNCTION("""COMPUTED_VALUE"""),"Unidades de Atención a la Violencia Familiar/Jefatura del Departamento de Unidades de Atención a la Violencia Familiar (UAVIFAM)/Delegación Institucional de la Procuraduría de Protección de  Niñas, Niños y Adolescentes /Coord.4. Programas")</f>
        <v>Unidades de Atención a la Violencia Familiar/Jefatura del Departamento de Unidades de Atención a la Violencia Familiar (UAVIFAM)/Delegación Institucional de la Procuraduría de Protección de  Niñas, Niños y Adolescentes /Coord.4. Programas</v>
      </c>
      <c r="C1622" s="42" t="str">
        <f ca="1">IFERROR(__xludf.DUMMYFUNCTION("""COMPUTED_VALUE"""),"4. Programas")</f>
        <v>4. Programas</v>
      </c>
      <c r="D1622" s="42" t="str">
        <f ca="1">IFERROR(__xludf.DUMMYFUNCTION("""COMPUTED_VALUE"""),"Guadalajara en Paz")</f>
        <v>Guadalajara en Paz</v>
      </c>
      <c r="E1622" s="42" t="str">
        <f ca="1">IFERROR(__xludf.DUMMYFUNCTION("""COMPUTED_VALUE"""),"Unidades de Atención a la Violencia Familiar")</f>
        <v>Unidades de Atención a la Violencia Familiar</v>
      </c>
      <c r="F1622" s="42" t="str">
        <f ca="1">IFERROR(__xludf.DUMMYFUNCTION("""COMPUTED_VALUE"""),"C3. Atenciones multidisciplinarias realizadas a las personas que viven y/o ejercer violencia familiar en el municipio de Guadalajara. ")</f>
        <v xml:space="preserve">C3. Atenciones multidisciplinarias realizadas a las personas que viven y/o ejercer violencia familiar en el municipio de Guadalajara. </v>
      </c>
      <c r="G1622" s="42" t="str">
        <f ca="1">IFERROR(__xludf.DUMMYFUNCTION("""COMPUTED_VALUE"""),"Porcentaje de atenciones por expediente abierto realizadas en la UAVIFAM Guadalajara en 2023. ")</f>
        <v xml:space="preserve">Porcentaje de atenciones por expediente abierto realizadas en la UAVIFAM Guadalajara en 2023. </v>
      </c>
      <c r="H1622" s="42" t="str">
        <f ca="1">IFERROR(__xludf.DUMMYFUNCTION("""COMPUTED_VALUE"""),"Servicio")</f>
        <v>Servicio</v>
      </c>
      <c r="I1622" s="42" t="str">
        <f ca="1">IFERROR(__xludf.DUMMYFUNCTION("""COMPUTED_VALUE"""),"Mayo")</f>
        <v>Mayo</v>
      </c>
      <c r="J1622" s="42" t="str">
        <f ca="1">IFERROR(__xludf.DUMMYFUNCTION("""COMPUTED_VALUE"""),"N/A")</f>
        <v>N/A</v>
      </c>
      <c r="K1622" s="98">
        <f ca="1">IFERROR(__xludf.DUMMYFUNCTION("""COMPUTED_VALUE"""),113)</f>
        <v>113</v>
      </c>
      <c r="L1622" s="42" t="str">
        <f ca="1">IFERROR(__xludf.DUMMYFUNCTION("""COMPUTED_VALUE"""),"TRIMESTRE 2")</f>
        <v>TRIMESTRE 2</v>
      </c>
      <c r="M1622" s="42" t="str">
        <f ca="1">IFERROR(__xludf.DUMMYFUNCTION("""COMPUTED_VALUE"""),"SERVICIOS")</f>
        <v>SERVICIOS</v>
      </c>
    </row>
    <row r="1623" spans="1:13">
      <c r="A1623" s="42" t="str">
        <f ca="1">IFERROR(__xludf.DUMMYFUNCTION("""COMPUTED_VALUE"""),"2.1.3.1")</f>
        <v>2.1.3.1</v>
      </c>
      <c r="B1623" s="42" t="str">
        <f ca="1">IFERROR(__xludf.DUMMYFUNCTION("""COMPUTED_VALUE"""),"Unidades de Atención a la Violencia Familiar/Jefatura del Departamento de Unidades de Atención a la Violencia Familiar (UAVIFAM)/Delegación Institucional de la Procuraduría de Protección de  Niñas, Niños y Adolescentes /Coord.4. Programas")</f>
        <v>Unidades de Atención a la Violencia Familiar/Jefatura del Departamento de Unidades de Atención a la Violencia Familiar (UAVIFAM)/Delegación Institucional de la Procuraduría de Protección de  Niñas, Niños y Adolescentes /Coord.4. Programas</v>
      </c>
      <c r="C1623" s="42" t="str">
        <f ca="1">IFERROR(__xludf.DUMMYFUNCTION("""COMPUTED_VALUE"""),"4. Programas")</f>
        <v>4. Programas</v>
      </c>
      <c r="D1623" s="42" t="str">
        <f ca="1">IFERROR(__xludf.DUMMYFUNCTION("""COMPUTED_VALUE"""),"Guadalajara en Paz")</f>
        <v>Guadalajara en Paz</v>
      </c>
      <c r="E1623" s="42" t="str">
        <f ca="1">IFERROR(__xludf.DUMMYFUNCTION("""COMPUTED_VALUE"""),"Unidades de Atención a la Violencia Familiar")</f>
        <v>Unidades de Atención a la Violencia Familiar</v>
      </c>
      <c r="F1623" s="42" t="str">
        <f ca="1">IFERROR(__xludf.DUMMYFUNCTION("""COMPUTED_VALUE"""),"A1C3. Aperturas de expedientes para la atención multidisciplinaria primaria realizadas a las personas que viven y/o ejercen violencia familiar en el Municipio de Guadalajara")</f>
        <v>A1C3. Aperturas de expedientes para la atención multidisciplinaria primaria realizadas a las personas que viven y/o ejercen violencia familiar en el Municipio de Guadalajara</v>
      </c>
      <c r="G1623" s="42" t="str">
        <f ca="1">IFERROR(__xludf.DUMMYFUNCTION("""COMPUTED_VALUE"""),"Porcentaje de aperturas de expedientes de atenciones multidisciplinarias primarias en UAVIFAM Guadalajara en 2023")</f>
        <v>Porcentaje de aperturas de expedientes de atenciones multidisciplinarias primarias en UAVIFAM Guadalajara en 2023</v>
      </c>
      <c r="H1623" s="42" t="str">
        <f ca="1">IFERROR(__xludf.DUMMYFUNCTION("""COMPUTED_VALUE"""),"Servicio")</f>
        <v>Servicio</v>
      </c>
      <c r="I1623" s="42" t="str">
        <f ca="1">IFERROR(__xludf.DUMMYFUNCTION("""COMPUTED_VALUE"""),"Mayo")</f>
        <v>Mayo</v>
      </c>
      <c r="J1623" s="42" t="str">
        <f ca="1">IFERROR(__xludf.DUMMYFUNCTION("""COMPUTED_VALUE"""),"N/A")</f>
        <v>N/A</v>
      </c>
      <c r="K1623" s="98">
        <f ca="1">IFERROR(__xludf.DUMMYFUNCTION("""COMPUTED_VALUE"""),85)</f>
        <v>85</v>
      </c>
      <c r="L1623" s="42" t="str">
        <f ca="1">IFERROR(__xludf.DUMMYFUNCTION("""COMPUTED_VALUE"""),"TRIMESTRE 2")</f>
        <v>TRIMESTRE 2</v>
      </c>
      <c r="M1623" s="42" t="str">
        <f ca="1">IFERROR(__xludf.DUMMYFUNCTION("""COMPUTED_VALUE"""),"SERVICIOS")</f>
        <v>SERVICIOS</v>
      </c>
    </row>
    <row r="1624" spans="1:13">
      <c r="A1624" s="42" t="str">
        <f ca="1">IFERROR(__xludf.DUMMYFUNCTION("""COMPUTED_VALUE"""),"2.1.3.2")</f>
        <v>2.1.3.2</v>
      </c>
      <c r="B1624" s="42" t="str">
        <f ca="1">IFERROR(__xludf.DUMMYFUNCTION("""COMPUTED_VALUE"""),"Unidades de Atención a la Violencia Familiar/Jefatura del Departamento de Unidades de Atención a la Violencia Familiar (UAVIFAM)/Delegación Institucional de la Procuraduría de Protección de  Niñas, Niños y Adolescentes /Coord.4. Programas")</f>
        <v>Unidades de Atención a la Violencia Familiar/Jefatura del Departamento de Unidades de Atención a la Violencia Familiar (UAVIFAM)/Delegación Institucional de la Procuraduría de Protección de  Niñas, Niños y Adolescentes /Coord.4. Programas</v>
      </c>
      <c r="C1624" s="42" t="str">
        <f ca="1">IFERROR(__xludf.DUMMYFUNCTION("""COMPUTED_VALUE"""),"4. Programas")</f>
        <v>4. Programas</v>
      </c>
      <c r="D1624" s="42" t="str">
        <f ca="1">IFERROR(__xludf.DUMMYFUNCTION("""COMPUTED_VALUE"""),"Guadalajara en Paz")</f>
        <v>Guadalajara en Paz</v>
      </c>
      <c r="E1624" s="42" t="str">
        <f ca="1">IFERROR(__xludf.DUMMYFUNCTION("""COMPUTED_VALUE"""),"Unidades de Atención a la Violencia Familiar")</f>
        <v>Unidades de Atención a la Violencia Familiar</v>
      </c>
      <c r="F1624" s="42" t="str">
        <f ca="1">IFERROR(__xludf.DUMMYFUNCTION("""COMPUTED_VALUE"""),"A2C3. Intervención multidisciplinaria de seguimiento a expedientes activos")</f>
        <v>A2C3. Intervención multidisciplinaria de seguimiento a expedientes activos</v>
      </c>
      <c r="G1624" s="42" t="str">
        <f ca="1">IFERROR(__xludf.DUMMYFUNCTION("""COMPUTED_VALUE"""),"Porcentaje de atenciones de seguimiento por expediente en UAVIFAM Guadalajara en 2023")</f>
        <v>Porcentaje de atenciones de seguimiento por expediente en UAVIFAM Guadalajara en 2023</v>
      </c>
      <c r="H1624" s="42" t="str">
        <f ca="1">IFERROR(__xludf.DUMMYFUNCTION("""COMPUTED_VALUE"""),"Servicio")</f>
        <v>Servicio</v>
      </c>
      <c r="I1624" s="42" t="str">
        <f ca="1">IFERROR(__xludf.DUMMYFUNCTION("""COMPUTED_VALUE"""),"Mayo")</f>
        <v>Mayo</v>
      </c>
      <c r="J1624" s="42" t="str">
        <f ca="1">IFERROR(__xludf.DUMMYFUNCTION("""COMPUTED_VALUE"""),"N/A")</f>
        <v>N/A</v>
      </c>
      <c r="K1624" s="98">
        <f ca="1">IFERROR(__xludf.DUMMYFUNCTION("""COMPUTED_VALUE"""),28)</f>
        <v>28</v>
      </c>
      <c r="L1624" s="42" t="str">
        <f ca="1">IFERROR(__xludf.DUMMYFUNCTION("""COMPUTED_VALUE"""),"TRIMESTRE 2")</f>
        <v>TRIMESTRE 2</v>
      </c>
      <c r="M1624" s="42" t="str">
        <f ca="1">IFERROR(__xludf.DUMMYFUNCTION("""COMPUTED_VALUE"""),"SERVICIOS")</f>
        <v>SERVICIOS</v>
      </c>
    </row>
    <row r="1625" spans="1:13">
      <c r="A1625" s="42" t="str">
        <f ca="1">IFERROR(__xludf.DUMMYFUNCTION("""COMPUTED_VALUE"""),"2.1.3.0")</f>
        <v>2.1.3.0</v>
      </c>
      <c r="B1625" s="42" t="str">
        <f ca="1">IFERROR(__xludf.DUMMYFUNCTION("""COMPUTED_VALUE"""),"Unidades de Atención a la Violencia Familiar/Jefatura del Departamento de Unidades de Atención a la Violencia Familiar (UAVIFAM)/Delegación Institucional de la Procuraduría de Protección de  Niñas, Niños y Adolescentes /Coord.4. Programas")</f>
        <v>Unidades de Atención a la Violencia Familiar/Jefatura del Departamento de Unidades de Atención a la Violencia Familiar (UAVIFAM)/Delegación Institucional de la Procuraduría de Protección de  Niñas, Niños y Adolescentes /Coord.4. Programas</v>
      </c>
      <c r="C1625" s="42" t="str">
        <f ca="1">IFERROR(__xludf.DUMMYFUNCTION("""COMPUTED_VALUE"""),"4. Programas")</f>
        <v>4. Programas</v>
      </c>
      <c r="D1625" s="42" t="str">
        <f ca="1">IFERROR(__xludf.DUMMYFUNCTION("""COMPUTED_VALUE"""),"Guadalajara en Paz")</f>
        <v>Guadalajara en Paz</v>
      </c>
      <c r="E1625" s="42" t="str">
        <f ca="1">IFERROR(__xludf.DUMMYFUNCTION("""COMPUTED_VALUE"""),"Unidades de Atención a la Violencia Familiar")</f>
        <v>Unidades de Atención a la Violencia Familiar</v>
      </c>
      <c r="F1625" s="42" t="str">
        <f ca="1">IFERROR(__xludf.DUMMYFUNCTION("""COMPUTED_VALUE"""),"C3. Atenciones multidisciplinarias realizadas a las personas que viven y/o ejercer violencia familiar en el municipio de Guadalajara. ")</f>
        <v xml:space="preserve">C3. Atenciones multidisciplinarias realizadas a las personas que viven y/o ejercer violencia familiar en el municipio de Guadalajara. </v>
      </c>
      <c r="G1625" s="42" t="str">
        <f ca="1">IFERROR(__xludf.DUMMYFUNCTION("""COMPUTED_VALUE"""),"Porcentaje de atenciones por expediente abierto realizadas en la UAVIFAM Guadalajara en 2023. ")</f>
        <v xml:space="preserve">Porcentaje de atenciones por expediente abierto realizadas en la UAVIFAM Guadalajara en 2023. </v>
      </c>
      <c r="H1625" s="42" t="str">
        <f ca="1">IFERROR(__xludf.DUMMYFUNCTION("""COMPUTED_VALUE"""),"Servicio")</f>
        <v>Servicio</v>
      </c>
      <c r="I1625" s="42" t="str">
        <f ca="1">IFERROR(__xludf.DUMMYFUNCTION("""COMPUTED_VALUE"""),"Junio")</f>
        <v>Junio</v>
      </c>
      <c r="J1625" s="42" t="str">
        <f ca="1">IFERROR(__xludf.DUMMYFUNCTION("""COMPUTED_VALUE"""),"N/A")</f>
        <v>N/A</v>
      </c>
      <c r="K1625" s="98">
        <f ca="1">IFERROR(__xludf.DUMMYFUNCTION("""COMPUTED_VALUE"""),107)</f>
        <v>107</v>
      </c>
      <c r="L1625" s="42" t="str">
        <f ca="1">IFERROR(__xludf.DUMMYFUNCTION("""COMPUTED_VALUE"""),"TRIMESTRE 2")</f>
        <v>TRIMESTRE 2</v>
      </c>
      <c r="M1625" s="42" t="str">
        <f ca="1">IFERROR(__xludf.DUMMYFUNCTION("""COMPUTED_VALUE"""),"SERVICIOS")</f>
        <v>SERVICIOS</v>
      </c>
    </row>
    <row r="1626" spans="1:13">
      <c r="A1626" s="42" t="str">
        <f ca="1">IFERROR(__xludf.DUMMYFUNCTION("""COMPUTED_VALUE"""),"2.1.3.1")</f>
        <v>2.1.3.1</v>
      </c>
      <c r="B1626" s="42" t="str">
        <f ca="1">IFERROR(__xludf.DUMMYFUNCTION("""COMPUTED_VALUE"""),"Unidades de Atención a la Violencia Familiar/Jefatura del Departamento de Unidades de Atención a la Violencia Familiar (UAVIFAM)/Delegación Institucional de la Procuraduría de Protección de  Niñas, Niños y Adolescentes /Coord.4. Programas")</f>
        <v>Unidades de Atención a la Violencia Familiar/Jefatura del Departamento de Unidades de Atención a la Violencia Familiar (UAVIFAM)/Delegación Institucional de la Procuraduría de Protección de  Niñas, Niños y Adolescentes /Coord.4. Programas</v>
      </c>
      <c r="C1626" s="42" t="str">
        <f ca="1">IFERROR(__xludf.DUMMYFUNCTION("""COMPUTED_VALUE"""),"4. Programas")</f>
        <v>4. Programas</v>
      </c>
      <c r="D1626" s="42" t="str">
        <f ca="1">IFERROR(__xludf.DUMMYFUNCTION("""COMPUTED_VALUE"""),"Guadalajara en Paz")</f>
        <v>Guadalajara en Paz</v>
      </c>
      <c r="E1626" s="42" t="str">
        <f ca="1">IFERROR(__xludf.DUMMYFUNCTION("""COMPUTED_VALUE"""),"Unidades de Atención a la Violencia Familiar")</f>
        <v>Unidades de Atención a la Violencia Familiar</v>
      </c>
      <c r="F1626" s="42" t="str">
        <f ca="1">IFERROR(__xludf.DUMMYFUNCTION("""COMPUTED_VALUE"""),"A1C3. Aperturas de expedientes para la atención multidisciplinaria primaria realizadas a las personas que viven y/o ejercen violencia familiar en el Municipio de Guadalajara")</f>
        <v>A1C3. Aperturas de expedientes para la atención multidisciplinaria primaria realizadas a las personas que viven y/o ejercen violencia familiar en el Municipio de Guadalajara</v>
      </c>
      <c r="G1626" s="42" t="str">
        <f ca="1">IFERROR(__xludf.DUMMYFUNCTION("""COMPUTED_VALUE"""),"Porcentaje de aperturas de expedientes de atenciones multidisciplinarias primarias en UAVIFAM Guadalajara en 2023")</f>
        <v>Porcentaje de aperturas de expedientes de atenciones multidisciplinarias primarias en UAVIFAM Guadalajara en 2023</v>
      </c>
      <c r="H1626" s="42" t="str">
        <f ca="1">IFERROR(__xludf.DUMMYFUNCTION("""COMPUTED_VALUE"""),"Servicio")</f>
        <v>Servicio</v>
      </c>
      <c r="I1626" s="42" t="str">
        <f ca="1">IFERROR(__xludf.DUMMYFUNCTION("""COMPUTED_VALUE"""),"Junio")</f>
        <v>Junio</v>
      </c>
      <c r="J1626" s="42" t="str">
        <f ca="1">IFERROR(__xludf.DUMMYFUNCTION("""COMPUTED_VALUE"""),"N/A")</f>
        <v>N/A</v>
      </c>
      <c r="K1626" s="98">
        <f ca="1">IFERROR(__xludf.DUMMYFUNCTION("""COMPUTED_VALUE"""),68)</f>
        <v>68</v>
      </c>
      <c r="L1626" s="42" t="str">
        <f ca="1">IFERROR(__xludf.DUMMYFUNCTION("""COMPUTED_VALUE"""),"TRIMESTRE 2")</f>
        <v>TRIMESTRE 2</v>
      </c>
      <c r="M1626" s="42" t="str">
        <f ca="1">IFERROR(__xludf.DUMMYFUNCTION("""COMPUTED_VALUE"""),"SERVICIOS")</f>
        <v>SERVICIOS</v>
      </c>
    </row>
    <row r="1627" spans="1:13">
      <c r="A1627" s="42" t="str">
        <f ca="1">IFERROR(__xludf.DUMMYFUNCTION("""COMPUTED_VALUE"""),"2.1.3.2")</f>
        <v>2.1.3.2</v>
      </c>
      <c r="B1627" s="42" t="str">
        <f ca="1">IFERROR(__xludf.DUMMYFUNCTION("""COMPUTED_VALUE"""),"Unidades de Atención a la Violencia Familiar/Jefatura del Departamento de Unidades de Atención a la Violencia Familiar (UAVIFAM)/Delegación Institucional de la Procuraduría de Protección de  Niñas, Niños y Adolescentes /Coord.4. Programas")</f>
        <v>Unidades de Atención a la Violencia Familiar/Jefatura del Departamento de Unidades de Atención a la Violencia Familiar (UAVIFAM)/Delegación Institucional de la Procuraduría de Protección de  Niñas, Niños y Adolescentes /Coord.4. Programas</v>
      </c>
      <c r="C1627" s="42" t="str">
        <f ca="1">IFERROR(__xludf.DUMMYFUNCTION("""COMPUTED_VALUE"""),"4. Programas")</f>
        <v>4. Programas</v>
      </c>
      <c r="D1627" s="42" t="str">
        <f ca="1">IFERROR(__xludf.DUMMYFUNCTION("""COMPUTED_VALUE"""),"Guadalajara en Paz")</f>
        <v>Guadalajara en Paz</v>
      </c>
      <c r="E1627" s="42" t="str">
        <f ca="1">IFERROR(__xludf.DUMMYFUNCTION("""COMPUTED_VALUE"""),"Unidades de Atención a la Violencia Familiar")</f>
        <v>Unidades de Atención a la Violencia Familiar</v>
      </c>
      <c r="F1627" s="42" t="str">
        <f ca="1">IFERROR(__xludf.DUMMYFUNCTION("""COMPUTED_VALUE"""),"A2C3. Intervención multidisciplinaria de seguimiento a expedientes activos")</f>
        <v>A2C3. Intervención multidisciplinaria de seguimiento a expedientes activos</v>
      </c>
      <c r="G1627" s="42" t="str">
        <f ca="1">IFERROR(__xludf.DUMMYFUNCTION("""COMPUTED_VALUE"""),"Porcentaje de atenciones de seguimiento por expediente en UAVIFAM Guadalajara en 2023")</f>
        <v>Porcentaje de atenciones de seguimiento por expediente en UAVIFAM Guadalajara en 2023</v>
      </c>
      <c r="H1627" s="42" t="str">
        <f ca="1">IFERROR(__xludf.DUMMYFUNCTION("""COMPUTED_VALUE"""),"Servicio")</f>
        <v>Servicio</v>
      </c>
      <c r="I1627" s="42" t="str">
        <f ca="1">IFERROR(__xludf.DUMMYFUNCTION("""COMPUTED_VALUE"""),"Junio")</f>
        <v>Junio</v>
      </c>
      <c r="J1627" s="42" t="str">
        <f ca="1">IFERROR(__xludf.DUMMYFUNCTION("""COMPUTED_VALUE"""),"N/A")</f>
        <v>N/A</v>
      </c>
      <c r="K1627" s="98">
        <f ca="1">IFERROR(__xludf.DUMMYFUNCTION("""COMPUTED_VALUE"""),39)</f>
        <v>39</v>
      </c>
      <c r="L1627" s="42" t="str">
        <f ca="1">IFERROR(__xludf.DUMMYFUNCTION("""COMPUTED_VALUE"""),"TRIMESTRE 2")</f>
        <v>TRIMESTRE 2</v>
      </c>
      <c r="M1627" s="42" t="str">
        <f ca="1">IFERROR(__xludf.DUMMYFUNCTION("""COMPUTED_VALUE"""),"SERVICIOS")</f>
        <v>SERVICIOS</v>
      </c>
    </row>
    <row r="1628" spans="1:13">
      <c r="A1628" s="42" t="str">
        <f ca="1">IFERROR(__xludf.DUMMYFUNCTION("""COMPUTED_VALUE"""),"2.1.3.0")</f>
        <v>2.1.3.0</v>
      </c>
      <c r="B1628" s="42" t="str">
        <f ca="1">IFERROR(__xludf.DUMMYFUNCTION("""COMPUTED_VALUE"""),"Unidades de Atención a la Violencia Familiar/Jefatura del Departamento de Unidades de Atención a la Violencia Familiar (UAVIFAM)/Delegación Institucional de la Procuraduría de Protección de  Niñas, Niños y Adolescentes /Coord.4. Programas")</f>
        <v>Unidades de Atención a la Violencia Familiar/Jefatura del Departamento de Unidades de Atención a la Violencia Familiar (UAVIFAM)/Delegación Institucional de la Procuraduría de Protección de  Niñas, Niños y Adolescentes /Coord.4. Programas</v>
      </c>
      <c r="C1628" s="42" t="str">
        <f ca="1">IFERROR(__xludf.DUMMYFUNCTION("""COMPUTED_VALUE"""),"4. Programas")</f>
        <v>4. Programas</v>
      </c>
      <c r="D1628" s="42" t="str">
        <f ca="1">IFERROR(__xludf.DUMMYFUNCTION("""COMPUTED_VALUE"""),"Guadalajara en Paz")</f>
        <v>Guadalajara en Paz</v>
      </c>
      <c r="E1628" s="42" t="str">
        <f ca="1">IFERROR(__xludf.DUMMYFUNCTION("""COMPUTED_VALUE"""),"Unidades de Atención a la Violencia Familiar")</f>
        <v>Unidades de Atención a la Violencia Familiar</v>
      </c>
      <c r="F1628" s="42" t="str">
        <f ca="1">IFERROR(__xludf.DUMMYFUNCTION("""COMPUTED_VALUE"""),"C3. Atenciones multidisciplinarias realizadas a las personas que viven y/o ejercer violencia familiar en el municipio de Guadalajara. ")</f>
        <v xml:space="preserve">C3. Atenciones multidisciplinarias realizadas a las personas que viven y/o ejercer violencia familiar en el municipio de Guadalajara. </v>
      </c>
      <c r="G1628" s="42" t="str">
        <f ca="1">IFERROR(__xludf.DUMMYFUNCTION("""COMPUTED_VALUE"""),"Porcentaje de atenciones por expediente abierto realizadas en la UAVIFAM Guadalajara en 2023. ")</f>
        <v xml:space="preserve">Porcentaje de atenciones por expediente abierto realizadas en la UAVIFAM Guadalajara en 2023. </v>
      </c>
      <c r="H1628" s="42" t="str">
        <f ca="1">IFERROR(__xludf.DUMMYFUNCTION("""COMPUTED_VALUE"""),"Servicio")</f>
        <v>Servicio</v>
      </c>
      <c r="I1628" s="42" t="str">
        <f ca="1">IFERROR(__xludf.DUMMYFUNCTION("""COMPUTED_VALUE"""),"Julio")</f>
        <v>Julio</v>
      </c>
      <c r="J1628" s="42" t="str">
        <f ca="1">IFERROR(__xludf.DUMMYFUNCTION("""COMPUTED_VALUE"""),"N/A")</f>
        <v>N/A</v>
      </c>
      <c r="K1628" s="98">
        <f ca="1">IFERROR(__xludf.DUMMYFUNCTION("""COMPUTED_VALUE"""),107)</f>
        <v>107</v>
      </c>
      <c r="L1628" s="42" t="str">
        <f ca="1">IFERROR(__xludf.DUMMYFUNCTION("""COMPUTED_VALUE"""),"TRIMESTRE 3")</f>
        <v>TRIMESTRE 3</v>
      </c>
      <c r="M1628" s="42" t="str">
        <f ca="1">IFERROR(__xludf.DUMMYFUNCTION("""COMPUTED_VALUE"""),"SERVICIOS")</f>
        <v>SERVICIOS</v>
      </c>
    </row>
    <row r="1629" spans="1:13">
      <c r="A1629" s="42" t="str">
        <f ca="1">IFERROR(__xludf.DUMMYFUNCTION("""COMPUTED_VALUE"""),"2.1.3.1")</f>
        <v>2.1.3.1</v>
      </c>
      <c r="B1629" s="42" t="str">
        <f ca="1">IFERROR(__xludf.DUMMYFUNCTION("""COMPUTED_VALUE"""),"Unidades de Atención a la Violencia Familiar/Jefatura del Departamento de Unidades de Atención a la Violencia Familiar (UAVIFAM)/Delegación Institucional de la Procuraduría de Protección de  Niñas, Niños y Adolescentes /Coord.4. Programas")</f>
        <v>Unidades de Atención a la Violencia Familiar/Jefatura del Departamento de Unidades de Atención a la Violencia Familiar (UAVIFAM)/Delegación Institucional de la Procuraduría de Protección de  Niñas, Niños y Adolescentes /Coord.4. Programas</v>
      </c>
      <c r="C1629" s="42" t="str">
        <f ca="1">IFERROR(__xludf.DUMMYFUNCTION("""COMPUTED_VALUE"""),"4. Programas")</f>
        <v>4. Programas</v>
      </c>
      <c r="D1629" s="42" t="str">
        <f ca="1">IFERROR(__xludf.DUMMYFUNCTION("""COMPUTED_VALUE"""),"Guadalajara en Paz")</f>
        <v>Guadalajara en Paz</v>
      </c>
      <c r="E1629" s="42" t="str">
        <f ca="1">IFERROR(__xludf.DUMMYFUNCTION("""COMPUTED_VALUE"""),"Unidades de Atención a la Violencia Familiar")</f>
        <v>Unidades de Atención a la Violencia Familiar</v>
      </c>
      <c r="F1629" s="42" t="str">
        <f ca="1">IFERROR(__xludf.DUMMYFUNCTION("""COMPUTED_VALUE"""),"A1C3. Aperturas de expedientes para la atención multidisciplinaria primaria realizadas a las personas que viven y/o ejercen violencia familiar en el Municipio de Guadalajara")</f>
        <v>A1C3. Aperturas de expedientes para la atención multidisciplinaria primaria realizadas a las personas que viven y/o ejercen violencia familiar en el Municipio de Guadalajara</v>
      </c>
      <c r="G1629" s="42" t="str">
        <f ca="1">IFERROR(__xludf.DUMMYFUNCTION("""COMPUTED_VALUE"""),"Porcentaje de aperturas de expedientes de atenciones multidisciplinarias primarias en UAVIFAM Guadalajara en 2023")</f>
        <v>Porcentaje de aperturas de expedientes de atenciones multidisciplinarias primarias en UAVIFAM Guadalajara en 2023</v>
      </c>
      <c r="H1629" s="42" t="str">
        <f ca="1">IFERROR(__xludf.DUMMYFUNCTION("""COMPUTED_VALUE"""),"Servicio")</f>
        <v>Servicio</v>
      </c>
      <c r="I1629" s="42" t="str">
        <f ca="1">IFERROR(__xludf.DUMMYFUNCTION("""COMPUTED_VALUE"""),"Julio")</f>
        <v>Julio</v>
      </c>
      <c r="J1629" s="42" t="str">
        <f ca="1">IFERROR(__xludf.DUMMYFUNCTION("""COMPUTED_VALUE"""),"N/A")</f>
        <v>N/A</v>
      </c>
      <c r="K1629" s="98">
        <f ca="1">IFERROR(__xludf.DUMMYFUNCTION("""COMPUTED_VALUE"""),62)</f>
        <v>62</v>
      </c>
      <c r="L1629" s="42" t="str">
        <f ca="1">IFERROR(__xludf.DUMMYFUNCTION("""COMPUTED_VALUE"""),"TRIMESTRE 3")</f>
        <v>TRIMESTRE 3</v>
      </c>
      <c r="M1629" s="42" t="str">
        <f ca="1">IFERROR(__xludf.DUMMYFUNCTION("""COMPUTED_VALUE"""),"SERVICIOS")</f>
        <v>SERVICIOS</v>
      </c>
    </row>
    <row r="1630" spans="1:13">
      <c r="A1630" s="42" t="str">
        <f ca="1">IFERROR(__xludf.DUMMYFUNCTION("""COMPUTED_VALUE"""),"2.1.3.2")</f>
        <v>2.1.3.2</v>
      </c>
      <c r="B1630" s="42" t="str">
        <f ca="1">IFERROR(__xludf.DUMMYFUNCTION("""COMPUTED_VALUE"""),"Unidades de Atención a la Violencia Familiar/Jefatura del Departamento de Unidades de Atención a la Violencia Familiar (UAVIFAM)/Delegación Institucional de la Procuraduría de Protección de  Niñas, Niños y Adolescentes /Coord.4. Programas")</f>
        <v>Unidades de Atención a la Violencia Familiar/Jefatura del Departamento de Unidades de Atención a la Violencia Familiar (UAVIFAM)/Delegación Institucional de la Procuraduría de Protección de  Niñas, Niños y Adolescentes /Coord.4. Programas</v>
      </c>
      <c r="C1630" s="42" t="str">
        <f ca="1">IFERROR(__xludf.DUMMYFUNCTION("""COMPUTED_VALUE"""),"4. Programas")</f>
        <v>4. Programas</v>
      </c>
      <c r="D1630" s="42" t="str">
        <f ca="1">IFERROR(__xludf.DUMMYFUNCTION("""COMPUTED_VALUE"""),"Guadalajara en Paz")</f>
        <v>Guadalajara en Paz</v>
      </c>
      <c r="E1630" s="42" t="str">
        <f ca="1">IFERROR(__xludf.DUMMYFUNCTION("""COMPUTED_VALUE"""),"Unidades de Atención a la Violencia Familiar")</f>
        <v>Unidades de Atención a la Violencia Familiar</v>
      </c>
      <c r="F1630" s="42" t="str">
        <f ca="1">IFERROR(__xludf.DUMMYFUNCTION("""COMPUTED_VALUE"""),"A2C3. Intervención multidisciplinaria de seguimiento a expedientes activos")</f>
        <v>A2C3. Intervención multidisciplinaria de seguimiento a expedientes activos</v>
      </c>
      <c r="G1630" s="42" t="str">
        <f ca="1">IFERROR(__xludf.DUMMYFUNCTION("""COMPUTED_VALUE"""),"Porcentaje de atenciones de seguimiento por expediente en UAVIFAM Guadalajara en 2023")</f>
        <v>Porcentaje de atenciones de seguimiento por expediente en UAVIFAM Guadalajara en 2023</v>
      </c>
      <c r="H1630" s="42" t="str">
        <f ca="1">IFERROR(__xludf.DUMMYFUNCTION("""COMPUTED_VALUE"""),"Servicio")</f>
        <v>Servicio</v>
      </c>
      <c r="I1630" s="42" t="str">
        <f ca="1">IFERROR(__xludf.DUMMYFUNCTION("""COMPUTED_VALUE"""),"Julio")</f>
        <v>Julio</v>
      </c>
      <c r="J1630" s="42" t="str">
        <f ca="1">IFERROR(__xludf.DUMMYFUNCTION("""COMPUTED_VALUE"""),"N/A")</f>
        <v>N/A</v>
      </c>
      <c r="K1630" s="98">
        <f ca="1">IFERROR(__xludf.DUMMYFUNCTION("""COMPUTED_VALUE"""),45)</f>
        <v>45</v>
      </c>
      <c r="L1630" s="42" t="str">
        <f ca="1">IFERROR(__xludf.DUMMYFUNCTION("""COMPUTED_VALUE"""),"TRIMESTRE 3")</f>
        <v>TRIMESTRE 3</v>
      </c>
      <c r="M1630" s="42" t="str">
        <f ca="1">IFERROR(__xludf.DUMMYFUNCTION("""COMPUTED_VALUE"""),"SERVICIOS")</f>
        <v>SERVICIOS</v>
      </c>
    </row>
    <row r="1631" spans="1:13">
      <c r="A1631" s="42" t="str">
        <f ca="1">IFERROR(__xludf.DUMMYFUNCTION("""COMPUTED_VALUE"""),"2.1.3.0")</f>
        <v>2.1.3.0</v>
      </c>
      <c r="B1631" s="42" t="str">
        <f ca="1">IFERROR(__xludf.DUMMYFUNCTION("""COMPUTED_VALUE"""),"Unidades de Atención a la Violencia Familiar/Jefatura del Departamento de Unidades de Atención a la Violencia Familiar (UAVIFAM)/Delegación Institucional de la Procuraduría de Protección de  Niñas, Niños y Adolescentes /Coord.4. Programas")</f>
        <v>Unidades de Atención a la Violencia Familiar/Jefatura del Departamento de Unidades de Atención a la Violencia Familiar (UAVIFAM)/Delegación Institucional de la Procuraduría de Protección de  Niñas, Niños y Adolescentes /Coord.4. Programas</v>
      </c>
      <c r="C1631" s="42" t="str">
        <f ca="1">IFERROR(__xludf.DUMMYFUNCTION("""COMPUTED_VALUE"""),"4. Programas")</f>
        <v>4. Programas</v>
      </c>
      <c r="D1631" s="42" t="str">
        <f ca="1">IFERROR(__xludf.DUMMYFUNCTION("""COMPUTED_VALUE"""),"Guadalajara en Paz")</f>
        <v>Guadalajara en Paz</v>
      </c>
      <c r="E1631" s="42" t="str">
        <f ca="1">IFERROR(__xludf.DUMMYFUNCTION("""COMPUTED_VALUE"""),"Unidades de Atención a la Violencia Familiar")</f>
        <v>Unidades de Atención a la Violencia Familiar</v>
      </c>
      <c r="F1631" s="42" t="str">
        <f ca="1">IFERROR(__xludf.DUMMYFUNCTION("""COMPUTED_VALUE"""),"C3. Atenciones multidisciplinarias realizadas a las personas que viven y/o ejercer violencia familiar en el municipio de Guadalajara. ")</f>
        <v xml:space="preserve">C3. Atenciones multidisciplinarias realizadas a las personas que viven y/o ejercer violencia familiar en el municipio de Guadalajara. </v>
      </c>
      <c r="G1631" s="42" t="str">
        <f ca="1">IFERROR(__xludf.DUMMYFUNCTION("""COMPUTED_VALUE"""),"Porcentaje de atenciones por expediente abierto realizadas en la UAVIFAM Guadalajara en 2023. ")</f>
        <v xml:space="preserve">Porcentaje de atenciones por expediente abierto realizadas en la UAVIFAM Guadalajara en 2023. </v>
      </c>
      <c r="H1631" s="42" t="str">
        <f ca="1">IFERROR(__xludf.DUMMYFUNCTION("""COMPUTED_VALUE"""),"Servicio")</f>
        <v>Servicio</v>
      </c>
      <c r="I1631" s="42" t="str">
        <f ca="1">IFERROR(__xludf.DUMMYFUNCTION("""COMPUTED_VALUE"""),"Agosto")</f>
        <v>Agosto</v>
      </c>
      <c r="J1631" s="42" t="str">
        <f ca="1">IFERROR(__xludf.DUMMYFUNCTION("""COMPUTED_VALUE"""),"N/A")</f>
        <v>N/A</v>
      </c>
      <c r="K1631" s="98">
        <f ca="1">IFERROR(__xludf.DUMMYFUNCTION("""COMPUTED_VALUE"""),99)</f>
        <v>99</v>
      </c>
      <c r="L1631" s="42" t="str">
        <f ca="1">IFERROR(__xludf.DUMMYFUNCTION("""COMPUTED_VALUE"""),"TRIMESTRE 3")</f>
        <v>TRIMESTRE 3</v>
      </c>
      <c r="M1631" s="42" t="str">
        <f ca="1">IFERROR(__xludf.DUMMYFUNCTION("""COMPUTED_VALUE"""),"SERVICIOS")</f>
        <v>SERVICIOS</v>
      </c>
    </row>
    <row r="1632" spans="1:13">
      <c r="A1632" s="42" t="str">
        <f ca="1">IFERROR(__xludf.DUMMYFUNCTION("""COMPUTED_VALUE"""),"2.1.3.1")</f>
        <v>2.1.3.1</v>
      </c>
      <c r="B1632" s="42" t="str">
        <f ca="1">IFERROR(__xludf.DUMMYFUNCTION("""COMPUTED_VALUE"""),"Unidades de Atención a la Violencia Familiar/Jefatura del Departamento de Unidades de Atención a la Violencia Familiar (UAVIFAM)/Delegación Institucional de la Procuraduría de Protección de  Niñas, Niños y Adolescentes /Coord.4. Programas")</f>
        <v>Unidades de Atención a la Violencia Familiar/Jefatura del Departamento de Unidades de Atención a la Violencia Familiar (UAVIFAM)/Delegación Institucional de la Procuraduría de Protección de  Niñas, Niños y Adolescentes /Coord.4. Programas</v>
      </c>
      <c r="C1632" s="42" t="str">
        <f ca="1">IFERROR(__xludf.DUMMYFUNCTION("""COMPUTED_VALUE"""),"4. Programas")</f>
        <v>4. Programas</v>
      </c>
      <c r="D1632" s="42" t="str">
        <f ca="1">IFERROR(__xludf.DUMMYFUNCTION("""COMPUTED_VALUE"""),"Guadalajara en Paz")</f>
        <v>Guadalajara en Paz</v>
      </c>
      <c r="E1632" s="42" t="str">
        <f ca="1">IFERROR(__xludf.DUMMYFUNCTION("""COMPUTED_VALUE"""),"Unidades de Atención a la Violencia Familiar")</f>
        <v>Unidades de Atención a la Violencia Familiar</v>
      </c>
      <c r="F1632" s="42" t="str">
        <f ca="1">IFERROR(__xludf.DUMMYFUNCTION("""COMPUTED_VALUE"""),"A1C3. Aperturas de expedientes para la atención multidisciplinaria primaria realizadas a las personas que viven y/o ejercen violencia familiar en el Municipio de Guadalajara")</f>
        <v>A1C3. Aperturas de expedientes para la atención multidisciplinaria primaria realizadas a las personas que viven y/o ejercen violencia familiar en el Municipio de Guadalajara</v>
      </c>
      <c r="G1632" s="42" t="str">
        <f ca="1">IFERROR(__xludf.DUMMYFUNCTION("""COMPUTED_VALUE"""),"Porcentaje de aperturas de expedientes de atenciones multidisciplinarias primarias en UAVIFAM Guadalajara en 2023")</f>
        <v>Porcentaje de aperturas de expedientes de atenciones multidisciplinarias primarias en UAVIFAM Guadalajara en 2023</v>
      </c>
      <c r="H1632" s="42" t="str">
        <f ca="1">IFERROR(__xludf.DUMMYFUNCTION("""COMPUTED_VALUE"""),"Servicio")</f>
        <v>Servicio</v>
      </c>
      <c r="I1632" s="42" t="str">
        <f ca="1">IFERROR(__xludf.DUMMYFUNCTION("""COMPUTED_VALUE"""),"Agosto")</f>
        <v>Agosto</v>
      </c>
      <c r="J1632" s="42" t="str">
        <f ca="1">IFERROR(__xludf.DUMMYFUNCTION("""COMPUTED_VALUE"""),"N/A")</f>
        <v>N/A</v>
      </c>
      <c r="K1632" s="98">
        <f ca="1">IFERROR(__xludf.DUMMYFUNCTION("""COMPUTED_VALUE"""),63)</f>
        <v>63</v>
      </c>
      <c r="L1632" s="42" t="str">
        <f ca="1">IFERROR(__xludf.DUMMYFUNCTION("""COMPUTED_VALUE"""),"TRIMESTRE 3")</f>
        <v>TRIMESTRE 3</v>
      </c>
      <c r="M1632" s="42" t="str">
        <f ca="1">IFERROR(__xludf.DUMMYFUNCTION("""COMPUTED_VALUE"""),"SERVICIOS")</f>
        <v>SERVICIOS</v>
      </c>
    </row>
    <row r="1633" spans="1:13">
      <c r="A1633" s="42" t="str">
        <f ca="1">IFERROR(__xludf.DUMMYFUNCTION("""COMPUTED_VALUE"""),"2.1.3.2")</f>
        <v>2.1.3.2</v>
      </c>
      <c r="B1633" s="42" t="str">
        <f ca="1">IFERROR(__xludf.DUMMYFUNCTION("""COMPUTED_VALUE"""),"Unidades de Atención a la Violencia Familiar/Jefatura del Departamento de Unidades de Atención a la Violencia Familiar (UAVIFAM)/Delegación Institucional de la Procuraduría de Protección de  Niñas, Niños y Adolescentes /Coord.4. Programas")</f>
        <v>Unidades de Atención a la Violencia Familiar/Jefatura del Departamento de Unidades de Atención a la Violencia Familiar (UAVIFAM)/Delegación Institucional de la Procuraduría de Protección de  Niñas, Niños y Adolescentes /Coord.4. Programas</v>
      </c>
      <c r="C1633" s="42" t="str">
        <f ca="1">IFERROR(__xludf.DUMMYFUNCTION("""COMPUTED_VALUE"""),"4. Programas")</f>
        <v>4. Programas</v>
      </c>
      <c r="D1633" s="42" t="str">
        <f ca="1">IFERROR(__xludf.DUMMYFUNCTION("""COMPUTED_VALUE"""),"Guadalajara en Paz")</f>
        <v>Guadalajara en Paz</v>
      </c>
      <c r="E1633" s="42" t="str">
        <f ca="1">IFERROR(__xludf.DUMMYFUNCTION("""COMPUTED_VALUE"""),"Unidades de Atención a la Violencia Familiar")</f>
        <v>Unidades de Atención a la Violencia Familiar</v>
      </c>
      <c r="F1633" s="42" t="str">
        <f ca="1">IFERROR(__xludf.DUMMYFUNCTION("""COMPUTED_VALUE"""),"A2C3. Intervención multidisciplinaria de seguimiento a expedientes activos")</f>
        <v>A2C3. Intervención multidisciplinaria de seguimiento a expedientes activos</v>
      </c>
      <c r="G1633" s="42" t="str">
        <f ca="1">IFERROR(__xludf.DUMMYFUNCTION("""COMPUTED_VALUE"""),"Porcentaje de atenciones de seguimiento por expediente en UAVIFAM Guadalajara en 2023")</f>
        <v>Porcentaje de atenciones de seguimiento por expediente en UAVIFAM Guadalajara en 2023</v>
      </c>
      <c r="H1633" s="42" t="str">
        <f ca="1">IFERROR(__xludf.DUMMYFUNCTION("""COMPUTED_VALUE"""),"Servicio")</f>
        <v>Servicio</v>
      </c>
      <c r="I1633" s="42" t="str">
        <f ca="1">IFERROR(__xludf.DUMMYFUNCTION("""COMPUTED_VALUE"""),"Agosto")</f>
        <v>Agosto</v>
      </c>
      <c r="J1633" s="42" t="str">
        <f ca="1">IFERROR(__xludf.DUMMYFUNCTION("""COMPUTED_VALUE"""),"N/A")</f>
        <v>N/A</v>
      </c>
      <c r="K1633" s="98">
        <f ca="1">IFERROR(__xludf.DUMMYFUNCTION("""COMPUTED_VALUE"""),36)</f>
        <v>36</v>
      </c>
      <c r="L1633" s="42" t="str">
        <f ca="1">IFERROR(__xludf.DUMMYFUNCTION("""COMPUTED_VALUE"""),"TRIMESTRE 3")</f>
        <v>TRIMESTRE 3</v>
      </c>
      <c r="M1633" s="42" t="str">
        <f ca="1">IFERROR(__xludf.DUMMYFUNCTION("""COMPUTED_VALUE"""),"SERVICIOS")</f>
        <v>SERVICIOS</v>
      </c>
    </row>
    <row r="1634" spans="1:13">
      <c r="A1634" s="42" t="str">
        <f ca="1">IFERROR(__xludf.DUMMYFUNCTION("""COMPUTED_VALUE"""),"2.1.3.0")</f>
        <v>2.1.3.0</v>
      </c>
      <c r="B1634" s="42" t="str">
        <f ca="1">IFERROR(__xludf.DUMMYFUNCTION("""COMPUTED_VALUE"""),"Unidades de Atención a la Violencia Familiar/Jefatura del Departamento de Unidades de Atención a la Violencia Familiar (UAVIFAM)/Delegación Institucional de la Procuraduría de Protección de  Niñas, Niños y Adolescentes /Coord.4. Programas")</f>
        <v>Unidades de Atención a la Violencia Familiar/Jefatura del Departamento de Unidades de Atención a la Violencia Familiar (UAVIFAM)/Delegación Institucional de la Procuraduría de Protección de  Niñas, Niños y Adolescentes /Coord.4. Programas</v>
      </c>
      <c r="C1634" s="42" t="str">
        <f ca="1">IFERROR(__xludf.DUMMYFUNCTION("""COMPUTED_VALUE"""),"4. Programas")</f>
        <v>4. Programas</v>
      </c>
      <c r="D1634" s="42" t="str">
        <f ca="1">IFERROR(__xludf.DUMMYFUNCTION("""COMPUTED_VALUE"""),"Guadalajara en Paz")</f>
        <v>Guadalajara en Paz</v>
      </c>
      <c r="E1634" s="42" t="str">
        <f ca="1">IFERROR(__xludf.DUMMYFUNCTION("""COMPUTED_VALUE"""),"Unidades de Atención a la Violencia Familiar")</f>
        <v>Unidades de Atención a la Violencia Familiar</v>
      </c>
      <c r="F1634" s="42" t="str">
        <f ca="1">IFERROR(__xludf.DUMMYFUNCTION("""COMPUTED_VALUE"""),"C3. Atenciones multidisciplinarias realizadas a las personas que viven y/o ejercer violencia familiar en el municipio de Guadalajara. ")</f>
        <v xml:space="preserve">C3. Atenciones multidisciplinarias realizadas a las personas que viven y/o ejercer violencia familiar en el municipio de Guadalajara. </v>
      </c>
      <c r="G1634" s="42" t="str">
        <f ca="1">IFERROR(__xludf.DUMMYFUNCTION("""COMPUTED_VALUE"""),"Porcentaje de atenciones por expediente abierto realizadas en la UAVIFAM Guadalajara en 2023. ")</f>
        <v xml:space="preserve">Porcentaje de atenciones por expediente abierto realizadas en la UAVIFAM Guadalajara en 2023. </v>
      </c>
      <c r="H1634" s="42" t="str">
        <f ca="1">IFERROR(__xludf.DUMMYFUNCTION("""COMPUTED_VALUE"""),"Servicio")</f>
        <v>Servicio</v>
      </c>
      <c r="I1634" s="42" t="str">
        <f ca="1">IFERROR(__xludf.DUMMYFUNCTION("""COMPUTED_VALUE"""),"Septiembre")</f>
        <v>Septiembre</v>
      </c>
      <c r="J1634" s="42" t="str">
        <f ca="1">IFERROR(__xludf.DUMMYFUNCTION("""COMPUTED_VALUE"""),"N/A")</f>
        <v>N/A</v>
      </c>
      <c r="K1634" s="98">
        <f ca="1">IFERROR(__xludf.DUMMYFUNCTION("""COMPUTED_VALUE"""),66)</f>
        <v>66</v>
      </c>
      <c r="L1634" s="42" t="str">
        <f ca="1">IFERROR(__xludf.DUMMYFUNCTION("""COMPUTED_VALUE"""),"TRIMESTRE 3")</f>
        <v>TRIMESTRE 3</v>
      </c>
      <c r="M1634" s="42" t="str">
        <f ca="1">IFERROR(__xludf.DUMMYFUNCTION("""COMPUTED_VALUE"""),"SERVICIOS")</f>
        <v>SERVICIOS</v>
      </c>
    </row>
    <row r="1635" spans="1:13">
      <c r="A1635" s="42" t="str">
        <f ca="1">IFERROR(__xludf.DUMMYFUNCTION("""COMPUTED_VALUE"""),"2.1.3.1")</f>
        <v>2.1.3.1</v>
      </c>
      <c r="B1635" s="42" t="str">
        <f ca="1">IFERROR(__xludf.DUMMYFUNCTION("""COMPUTED_VALUE"""),"Unidades de Atención a la Violencia Familiar/Jefatura del Departamento de Unidades de Atención a la Violencia Familiar (UAVIFAM)/Delegación Institucional de la Procuraduría de Protección de  Niñas, Niños y Adolescentes /Coord.4. Programas")</f>
        <v>Unidades de Atención a la Violencia Familiar/Jefatura del Departamento de Unidades de Atención a la Violencia Familiar (UAVIFAM)/Delegación Institucional de la Procuraduría de Protección de  Niñas, Niños y Adolescentes /Coord.4. Programas</v>
      </c>
      <c r="C1635" s="42" t="str">
        <f ca="1">IFERROR(__xludf.DUMMYFUNCTION("""COMPUTED_VALUE"""),"4. Programas")</f>
        <v>4. Programas</v>
      </c>
      <c r="D1635" s="42" t="str">
        <f ca="1">IFERROR(__xludf.DUMMYFUNCTION("""COMPUTED_VALUE"""),"Guadalajara en Paz")</f>
        <v>Guadalajara en Paz</v>
      </c>
      <c r="E1635" s="42" t="str">
        <f ca="1">IFERROR(__xludf.DUMMYFUNCTION("""COMPUTED_VALUE"""),"Unidades de Atención a la Violencia Familiar")</f>
        <v>Unidades de Atención a la Violencia Familiar</v>
      </c>
      <c r="F1635" s="42" t="str">
        <f ca="1">IFERROR(__xludf.DUMMYFUNCTION("""COMPUTED_VALUE"""),"A1C3. Aperturas de expedientes para la atención multidisciplinaria primaria realizadas a las personas que viven y/o ejercen violencia familiar en el Municipio de Guadalajara")</f>
        <v>A1C3. Aperturas de expedientes para la atención multidisciplinaria primaria realizadas a las personas que viven y/o ejercen violencia familiar en el Municipio de Guadalajara</v>
      </c>
      <c r="G1635" s="42" t="str">
        <f ca="1">IFERROR(__xludf.DUMMYFUNCTION("""COMPUTED_VALUE"""),"Porcentaje de aperturas de expedientes de atenciones multidisciplinarias primarias en UAVIFAM Guadalajara en 2023")</f>
        <v>Porcentaje de aperturas de expedientes de atenciones multidisciplinarias primarias en UAVIFAM Guadalajara en 2023</v>
      </c>
      <c r="H1635" s="42" t="str">
        <f ca="1">IFERROR(__xludf.DUMMYFUNCTION("""COMPUTED_VALUE"""),"Servicio")</f>
        <v>Servicio</v>
      </c>
      <c r="I1635" s="42" t="str">
        <f ca="1">IFERROR(__xludf.DUMMYFUNCTION("""COMPUTED_VALUE"""),"Septiembre")</f>
        <v>Septiembre</v>
      </c>
      <c r="J1635" s="42" t="str">
        <f ca="1">IFERROR(__xludf.DUMMYFUNCTION("""COMPUTED_VALUE"""),"N/A")</f>
        <v>N/A</v>
      </c>
      <c r="K1635" s="98">
        <f ca="1">IFERROR(__xludf.DUMMYFUNCTION("""COMPUTED_VALUE"""),54)</f>
        <v>54</v>
      </c>
      <c r="L1635" s="42" t="str">
        <f ca="1">IFERROR(__xludf.DUMMYFUNCTION("""COMPUTED_VALUE"""),"TRIMESTRE 3")</f>
        <v>TRIMESTRE 3</v>
      </c>
      <c r="M1635" s="42" t="str">
        <f ca="1">IFERROR(__xludf.DUMMYFUNCTION("""COMPUTED_VALUE"""),"SERVICIOS")</f>
        <v>SERVICIOS</v>
      </c>
    </row>
    <row r="1636" spans="1:13">
      <c r="A1636" s="42" t="str">
        <f ca="1">IFERROR(__xludf.DUMMYFUNCTION("""COMPUTED_VALUE"""),"2.1.3.2")</f>
        <v>2.1.3.2</v>
      </c>
      <c r="B1636" s="42" t="str">
        <f ca="1">IFERROR(__xludf.DUMMYFUNCTION("""COMPUTED_VALUE"""),"Unidades de Atención a la Violencia Familiar/Jefatura del Departamento de Unidades de Atención a la Violencia Familiar (UAVIFAM)/Delegación Institucional de la Procuraduría de Protección de  Niñas, Niños y Adolescentes /Coord.4. Programas")</f>
        <v>Unidades de Atención a la Violencia Familiar/Jefatura del Departamento de Unidades de Atención a la Violencia Familiar (UAVIFAM)/Delegación Institucional de la Procuraduría de Protección de  Niñas, Niños y Adolescentes /Coord.4. Programas</v>
      </c>
      <c r="C1636" s="42" t="str">
        <f ca="1">IFERROR(__xludf.DUMMYFUNCTION("""COMPUTED_VALUE"""),"4. Programas")</f>
        <v>4. Programas</v>
      </c>
      <c r="D1636" s="42" t="str">
        <f ca="1">IFERROR(__xludf.DUMMYFUNCTION("""COMPUTED_VALUE"""),"Guadalajara en Paz")</f>
        <v>Guadalajara en Paz</v>
      </c>
      <c r="E1636" s="42" t="str">
        <f ca="1">IFERROR(__xludf.DUMMYFUNCTION("""COMPUTED_VALUE"""),"Unidades de Atención a la Violencia Familiar")</f>
        <v>Unidades de Atención a la Violencia Familiar</v>
      </c>
      <c r="F1636" s="42" t="str">
        <f ca="1">IFERROR(__xludf.DUMMYFUNCTION("""COMPUTED_VALUE"""),"A2C3. Intervención multidisciplinaria de seguimiento a expedientes activos")</f>
        <v>A2C3. Intervención multidisciplinaria de seguimiento a expedientes activos</v>
      </c>
      <c r="G1636" s="42" t="str">
        <f ca="1">IFERROR(__xludf.DUMMYFUNCTION("""COMPUTED_VALUE"""),"Porcentaje de atenciones de seguimiento por expediente en UAVIFAM Guadalajara en 2023")</f>
        <v>Porcentaje de atenciones de seguimiento por expediente en UAVIFAM Guadalajara en 2023</v>
      </c>
      <c r="H1636" s="42" t="str">
        <f ca="1">IFERROR(__xludf.DUMMYFUNCTION("""COMPUTED_VALUE"""),"Servicio")</f>
        <v>Servicio</v>
      </c>
      <c r="I1636" s="42" t="str">
        <f ca="1">IFERROR(__xludf.DUMMYFUNCTION("""COMPUTED_VALUE"""),"Septiembre")</f>
        <v>Septiembre</v>
      </c>
      <c r="J1636" s="42" t="str">
        <f ca="1">IFERROR(__xludf.DUMMYFUNCTION("""COMPUTED_VALUE"""),"N/A")</f>
        <v>N/A</v>
      </c>
      <c r="K1636" s="98">
        <f ca="1">IFERROR(__xludf.DUMMYFUNCTION("""COMPUTED_VALUE"""),12)</f>
        <v>12</v>
      </c>
      <c r="L1636" s="42" t="str">
        <f ca="1">IFERROR(__xludf.DUMMYFUNCTION("""COMPUTED_VALUE"""),"TRIMESTRE 3")</f>
        <v>TRIMESTRE 3</v>
      </c>
      <c r="M1636" s="42" t="str">
        <f ca="1">IFERROR(__xludf.DUMMYFUNCTION("""COMPUTED_VALUE"""),"SERVICIOS")</f>
        <v>SERVICIOS</v>
      </c>
    </row>
    <row r="1637" spans="1:13">
      <c r="A1637" s="42" t="str">
        <f ca="1">IFERROR(__xludf.DUMMYFUNCTION("""COMPUTED_VALUE"""),"2.1.3.0")</f>
        <v>2.1.3.0</v>
      </c>
      <c r="B1637" s="42" t="str">
        <f ca="1">IFERROR(__xludf.DUMMYFUNCTION("""COMPUTED_VALUE"""),"Unidades de Atención a la Violencia Familiar/Jefatura del Departamento de Unidades de Atención a la Violencia Familiar (UAVIFAM)/Delegación Institucional de la Procuraduría de Protección de  Niñas, Niños y Adolescentes /Coord.4. Programas")</f>
        <v>Unidades de Atención a la Violencia Familiar/Jefatura del Departamento de Unidades de Atención a la Violencia Familiar (UAVIFAM)/Delegación Institucional de la Procuraduría de Protección de  Niñas, Niños y Adolescentes /Coord.4. Programas</v>
      </c>
      <c r="C1637" s="42" t="str">
        <f ca="1">IFERROR(__xludf.DUMMYFUNCTION("""COMPUTED_VALUE"""),"4. Programas")</f>
        <v>4. Programas</v>
      </c>
      <c r="D1637" s="42" t="str">
        <f ca="1">IFERROR(__xludf.DUMMYFUNCTION("""COMPUTED_VALUE"""),"Guadalajara en Paz")</f>
        <v>Guadalajara en Paz</v>
      </c>
      <c r="E1637" s="42" t="str">
        <f ca="1">IFERROR(__xludf.DUMMYFUNCTION("""COMPUTED_VALUE"""),"Unidades de Atención a la Violencia Familiar")</f>
        <v>Unidades de Atención a la Violencia Familiar</v>
      </c>
      <c r="F1637" s="42" t="str">
        <f ca="1">IFERROR(__xludf.DUMMYFUNCTION("""COMPUTED_VALUE"""),"C3. Atenciones multidisciplinarias realizadas a las personas que viven y/o ejercer violencia familiar en el municipio de Guadalajara. ")</f>
        <v xml:space="preserve">C3. Atenciones multidisciplinarias realizadas a las personas que viven y/o ejercer violencia familiar en el municipio de Guadalajara. </v>
      </c>
      <c r="G1637" s="42" t="str">
        <f ca="1">IFERROR(__xludf.DUMMYFUNCTION("""COMPUTED_VALUE"""),"Porcentaje de atenciones por expediente abierto realizadas en la UAVIFAM Guadalajara en 2023. ")</f>
        <v xml:space="preserve">Porcentaje de atenciones por expediente abierto realizadas en la UAVIFAM Guadalajara en 2023. </v>
      </c>
      <c r="H1637" s="42" t="str">
        <f ca="1">IFERROR(__xludf.DUMMYFUNCTION("""COMPUTED_VALUE"""),"Servicio")</f>
        <v>Servicio</v>
      </c>
      <c r="I1637" s="42" t="str">
        <f ca="1">IFERROR(__xludf.DUMMYFUNCTION("""COMPUTED_VALUE"""),"Octubre")</f>
        <v>Octubre</v>
      </c>
      <c r="J1637" s="42" t="str">
        <f ca="1">IFERROR(__xludf.DUMMYFUNCTION("""COMPUTED_VALUE"""),"N/A")</f>
        <v>N/A</v>
      </c>
      <c r="K1637" s="98"/>
      <c r="L1637" s="42" t="str">
        <f ca="1">IFERROR(__xludf.DUMMYFUNCTION("""COMPUTED_VALUE"""),"TRIMESTRE 4")</f>
        <v>TRIMESTRE 4</v>
      </c>
      <c r="M1637" s="42" t="str">
        <f ca="1">IFERROR(__xludf.DUMMYFUNCTION("""COMPUTED_VALUE"""),"SERVICIOS")</f>
        <v>SERVICIOS</v>
      </c>
    </row>
    <row r="1638" spans="1:13">
      <c r="A1638" s="42" t="str">
        <f ca="1">IFERROR(__xludf.DUMMYFUNCTION("""COMPUTED_VALUE"""),"2.1.3.1")</f>
        <v>2.1.3.1</v>
      </c>
      <c r="B1638" s="42" t="str">
        <f ca="1">IFERROR(__xludf.DUMMYFUNCTION("""COMPUTED_VALUE"""),"Unidades de Atención a la Violencia Familiar/Jefatura del Departamento de Unidades de Atención a la Violencia Familiar (UAVIFAM)/Delegación Institucional de la Procuraduría de Protección de  Niñas, Niños y Adolescentes /Coord.4. Programas")</f>
        <v>Unidades de Atención a la Violencia Familiar/Jefatura del Departamento de Unidades de Atención a la Violencia Familiar (UAVIFAM)/Delegación Institucional de la Procuraduría de Protección de  Niñas, Niños y Adolescentes /Coord.4. Programas</v>
      </c>
      <c r="C1638" s="42" t="str">
        <f ca="1">IFERROR(__xludf.DUMMYFUNCTION("""COMPUTED_VALUE"""),"4. Programas")</f>
        <v>4. Programas</v>
      </c>
      <c r="D1638" s="42" t="str">
        <f ca="1">IFERROR(__xludf.DUMMYFUNCTION("""COMPUTED_VALUE"""),"Guadalajara en Paz")</f>
        <v>Guadalajara en Paz</v>
      </c>
      <c r="E1638" s="42" t="str">
        <f ca="1">IFERROR(__xludf.DUMMYFUNCTION("""COMPUTED_VALUE"""),"Unidades de Atención a la Violencia Familiar")</f>
        <v>Unidades de Atención a la Violencia Familiar</v>
      </c>
      <c r="F1638" s="42" t="str">
        <f ca="1">IFERROR(__xludf.DUMMYFUNCTION("""COMPUTED_VALUE"""),"A1C3. Aperturas de expedientes para la atención multidisciplinaria primaria realizadas a las personas que viven y/o ejercen violencia familiar en el Municipio de Guadalajara")</f>
        <v>A1C3. Aperturas de expedientes para la atención multidisciplinaria primaria realizadas a las personas que viven y/o ejercen violencia familiar en el Municipio de Guadalajara</v>
      </c>
      <c r="G1638" s="42" t="str">
        <f ca="1">IFERROR(__xludf.DUMMYFUNCTION("""COMPUTED_VALUE"""),"Porcentaje de aperturas de expedientes de atenciones multidisciplinarias primarias en UAVIFAM Guadalajara en 2023")</f>
        <v>Porcentaje de aperturas de expedientes de atenciones multidisciplinarias primarias en UAVIFAM Guadalajara en 2023</v>
      </c>
      <c r="H1638" s="42" t="str">
        <f ca="1">IFERROR(__xludf.DUMMYFUNCTION("""COMPUTED_VALUE"""),"Servicio")</f>
        <v>Servicio</v>
      </c>
      <c r="I1638" s="42" t="str">
        <f ca="1">IFERROR(__xludf.DUMMYFUNCTION("""COMPUTED_VALUE"""),"Octubre")</f>
        <v>Octubre</v>
      </c>
      <c r="J1638" s="42" t="str">
        <f ca="1">IFERROR(__xludf.DUMMYFUNCTION("""COMPUTED_VALUE"""),"N/A")</f>
        <v>N/A</v>
      </c>
      <c r="K1638" s="98"/>
      <c r="L1638" s="42" t="str">
        <f ca="1">IFERROR(__xludf.DUMMYFUNCTION("""COMPUTED_VALUE"""),"TRIMESTRE 4")</f>
        <v>TRIMESTRE 4</v>
      </c>
      <c r="M1638" s="42" t="str">
        <f ca="1">IFERROR(__xludf.DUMMYFUNCTION("""COMPUTED_VALUE"""),"SERVICIOS")</f>
        <v>SERVICIOS</v>
      </c>
    </row>
    <row r="1639" spans="1:13">
      <c r="A1639" s="42" t="str">
        <f ca="1">IFERROR(__xludf.DUMMYFUNCTION("""COMPUTED_VALUE"""),"2.1.3.2")</f>
        <v>2.1.3.2</v>
      </c>
      <c r="B1639" s="42" t="str">
        <f ca="1">IFERROR(__xludf.DUMMYFUNCTION("""COMPUTED_VALUE"""),"Unidades de Atención a la Violencia Familiar/Jefatura del Departamento de Unidades de Atención a la Violencia Familiar (UAVIFAM)/Delegación Institucional de la Procuraduría de Protección de  Niñas, Niños y Adolescentes /Coord.4. Programas")</f>
        <v>Unidades de Atención a la Violencia Familiar/Jefatura del Departamento de Unidades de Atención a la Violencia Familiar (UAVIFAM)/Delegación Institucional de la Procuraduría de Protección de  Niñas, Niños y Adolescentes /Coord.4. Programas</v>
      </c>
      <c r="C1639" s="42" t="str">
        <f ca="1">IFERROR(__xludf.DUMMYFUNCTION("""COMPUTED_VALUE"""),"4. Programas")</f>
        <v>4. Programas</v>
      </c>
      <c r="D1639" s="42" t="str">
        <f ca="1">IFERROR(__xludf.DUMMYFUNCTION("""COMPUTED_VALUE"""),"Guadalajara en Paz")</f>
        <v>Guadalajara en Paz</v>
      </c>
      <c r="E1639" s="42" t="str">
        <f ca="1">IFERROR(__xludf.DUMMYFUNCTION("""COMPUTED_VALUE"""),"Unidades de Atención a la Violencia Familiar")</f>
        <v>Unidades de Atención a la Violencia Familiar</v>
      </c>
      <c r="F1639" s="42" t="str">
        <f ca="1">IFERROR(__xludf.DUMMYFUNCTION("""COMPUTED_VALUE"""),"A2C3. Intervención multidisciplinaria de seguimiento a expedientes activos")</f>
        <v>A2C3. Intervención multidisciplinaria de seguimiento a expedientes activos</v>
      </c>
      <c r="G1639" s="42" t="str">
        <f ca="1">IFERROR(__xludf.DUMMYFUNCTION("""COMPUTED_VALUE"""),"Porcentaje de atenciones de seguimiento por expediente en UAVIFAM Guadalajara en 2023")</f>
        <v>Porcentaje de atenciones de seguimiento por expediente en UAVIFAM Guadalajara en 2023</v>
      </c>
      <c r="H1639" s="42" t="str">
        <f ca="1">IFERROR(__xludf.DUMMYFUNCTION("""COMPUTED_VALUE"""),"Servicio")</f>
        <v>Servicio</v>
      </c>
      <c r="I1639" s="42" t="str">
        <f ca="1">IFERROR(__xludf.DUMMYFUNCTION("""COMPUTED_VALUE"""),"Octubre")</f>
        <v>Octubre</v>
      </c>
      <c r="J1639" s="42" t="str">
        <f ca="1">IFERROR(__xludf.DUMMYFUNCTION("""COMPUTED_VALUE"""),"N/A")</f>
        <v>N/A</v>
      </c>
      <c r="K1639" s="98"/>
      <c r="L1639" s="42" t="str">
        <f ca="1">IFERROR(__xludf.DUMMYFUNCTION("""COMPUTED_VALUE"""),"TRIMESTRE 4")</f>
        <v>TRIMESTRE 4</v>
      </c>
      <c r="M1639" s="42" t="str">
        <f ca="1">IFERROR(__xludf.DUMMYFUNCTION("""COMPUTED_VALUE"""),"SERVICIOS")</f>
        <v>SERVICIOS</v>
      </c>
    </row>
    <row r="1640" spans="1:13">
      <c r="A1640" s="42" t="str">
        <f ca="1">IFERROR(__xludf.DUMMYFUNCTION("""COMPUTED_VALUE"""),"2.1.3.0")</f>
        <v>2.1.3.0</v>
      </c>
      <c r="B1640" s="42" t="str">
        <f ca="1">IFERROR(__xludf.DUMMYFUNCTION("""COMPUTED_VALUE"""),"Unidades de Atención a la Violencia Familiar/Jefatura del Departamento de Unidades de Atención a la Violencia Familiar (UAVIFAM)/Delegación Institucional de la Procuraduría de Protección de  Niñas, Niños y Adolescentes /Coord.4. Programas")</f>
        <v>Unidades de Atención a la Violencia Familiar/Jefatura del Departamento de Unidades de Atención a la Violencia Familiar (UAVIFAM)/Delegación Institucional de la Procuraduría de Protección de  Niñas, Niños y Adolescentes /Coord.4. Programas</v>
      </c>
      <c r="C1640" s="42" t="str">
        <f ca="1">IFERROR(__xludf.DUMMYFUNCTION("""COMPUTED_VALUE"""),"4. Programas")</f>
        <v>4. Programas</v>
      </c>
      <c r="D1640" s="42" t="str">
        <f ca="1">IFERROR(__xludf.DUMMYFUNCTION("""COMPUTED_VALUE"""),"Guadalajara en Paz")</f>
        <v>Guadalajara en Paz</v>
      </c>
      <c r="E1640" s="42" t="str">
        <f ca="1">IFERROR(__xludf.DUMMYFUNCTION("""COMPUTED_VALUE"""),"Unidades de Atención a la Violencia Familiar")</f>
        <v>Unidades de Atención a la Violencia Familiar</v>
      </c>
      <c r="F1640" s="42" t="str">
        <f ca="1">IFERROR(__xludf.DUMMYFUNCTION("""COMPUTED_VALUE"""),"C3. Atenciones multidisciplinarias realizadas a las personas que viven y/o ejercer violencia familiar en el municipio de Guadalajara. ")</f>
        <v xml:space="preserve">C3. Atenciones multidisciplinarias realizadas a las personas que viven y/o ejercer violencia familiar en el municipio de Guadalajara. </v>
      </c>
      <c r="G1640" s="42" t="str">
        <f ca="1">IFERROR(__xludf.DUMMYFUNCTION("""COMPUTED_VALUE"""),"Porcentaje de atenciones por expediente abierto realizadas en la UAVIFAM Guadalajara en 2023. ")</f>
        <v xml:space="preserve">Porcentaje de atenciones por expediente abierto realizadas en la UAVIFAM Guadalajara en 2023. </v>
      </c>
      <c r="H1640" s="42" t="str">
        <f ca="1">IFERROR(__xludf.DUMMYFUNCTION("""COMPUTED_VALUE"""),"Servicio")</f>
        <v>Servicio</v>
      </c>
      <c r="I1640" s="42" t="str">
        <f ca="1">IFERROR(__xludf.DUMMYFUNCTION("""COMPUTED_VALUE"""),"Noviembre")</f>
        <v>Noviembre</v>
      </c>
      <c r="J1640" s="42" t="str">
        <f ca="1">IFERROR(__xludf.DUMMYFUNCTION("""COMPUTED_VALUE"""),"N/A")</f>
        <v>N/A</v>
      </c>
      <c r="K1640" s="98"/>
      <c r="L1640" s="42" t="str">
        <f ca="1">IFERROR(__xludf.DUMMYFUNCTION("""COMPUTED_VALUE"""),"TRIMESTRE 4")</f>
        <v>TRIMESTRE 4</v>
      </c>
      <c r="M1640" s="42" t="str">
        <f ca="1">IFERROR(__xludf.DUMMYFUNCTION("""COMPUTED_VALUE"""),"SERVICIOS")</f>
        <v>SERVICIOS</v>
      </c>
    </row>
    <row r="1641" spans="1:13">
      <c r="A1641" s="42" t="str">
        <f ca="1">IFERROR(__xludf.DUMMYFUNCTION("""COMPUTED_VALUE"""),"2.1.3.1")</f>
        <v>2.1.3.1</v>
      </c>
      <c r="B1641" s="42" t="str">
        <f ca="1">IFERROR(__xludf.DUMMYFUNCTION("""COMPUTED_VALUE"""),"Unidades de Atención a la Violencia Familiar/Jefatura del Departamento de Unidades de Atención a la Violencia Familiar (UAVIFAM)/Delegación Institucional de la Procuraduría de Protección de  Niñas, Niños y Adolescentes /Coord.4. Programas")</f>
        <v>Unidades de Atención a la Violencia Familiar/Jefatura del Departamento de Unidades de Atención a la Violencia Familiar (UAVIFAM)/Delegación Institucional de la Procuraduría de Protección de  Niñas, Niños y Adolescentes /Coord.4. Programas</v>
      </c>
      <c r="C1641" s="42" t="str">
        <f ca="1">IFERROR(__xludf.DUMMYFUNCTION("""COMPUTED_VALUE"""),"4. Programas")</f>
        <v>4. Programas</v>
      </c>
      <c r="D1641" s="42" t="str">
        <f ca="1">IFERROR(__xludf.DUMMYFUNCTION("""COMPUTED_VALUE"""),"Guadalajara en Paz")</f>
        <v>Guadalajara en Paz</v>
      </c>
      <c r="E1641" s="42" t="str">
        <f ca="1">IFERROR(__xludf.DUMMYFUNCTION("""COMPUTED_VALUE"""),"Unidades de Atención a la Violencia Familiar")</f>
        <v>Unidades de Atención a la Violencia Familiar</v>
      </c>
      <c r="F1641" s="42" t="str">
        <f ca="1">IFERROR(__xludf.DUMMYFUNCTION("""COMPUTED_VALUE"""),"A1C3. Aperturas de expedientes para la atención multidisciplinaria primaria realizadas a las personas que viven y/o ejercen violencia familiar en el Municipio de Guadalajara")</f>
        <v>A1C3. Aperturas de expedientes para la atención multidisciplinaria primaria realizadas a las personas que viven y/o ejercen violencia familiar en el Municipio de Guadalajara</v>
      </c>
      <c r="G1641" s="42" t="str">
        <f ca="1">IFERROR(__xludf.DUMMYFUNCTION("""COMPUTED_VALUE"""),"Porcentaje de aperturas de expedientes de atenciones multidisciplinarias primarias en UAVIFAM Guadalajara en 2023")</f>
        <v>Porcentaje de aperturas de expedientes de atenciones multidisciplinarias primarias en UAVIFAM Guadalajara en 2023</v>
      </c>
      <c r="H1641" s="42" t="str">
        <f ca="1">IFERROR(__xludf.DUMMYFUNCTION("""COMPUTED_VALUE"""),"Servicio")</f>
        <v>Servicio</v>
      </c>
      <c r="I1641" s="42" t="str">
        <f ca="1">IFERROR(__xludf.DUMMYFUNCTION("""COMPUTED_VALUE"""),"Noviembre")</f>
        <v>Noviembre</v>
      </c>
      <c r="J1641" s="42" t="str">
        <f ca="1">IFERROR(__xludf.DUMMYFUNCTION("""COMPUTED_VALUE"""),"N/A")</f>
        <v>N/A</v>
      </c>
      <c r="K1641" s="98"/>
      <c r="L1641" s="42" t="str">
        <f ca="1">IFERROR(__xludf.DUMMYFUNCTION("""COMPUTED_VALUE"""),"TRIMESTRE 4")</f>
        <v>TRIMESTRE 4</v>
      </c>
      <c r="M1641" s="42" t="str">
        <f ca="1">IFERROR(__xludf.DUMMYFUNCTION("""COMPUTED_VALUE"""),"SERVICIOS")</f>
        <v>SERVICIOS</v>
      </c>
    </row>
    <row r="1642" spans="1:13">
      <c r="A1642" s="42" t="str">
        <f ca="1">IFERROR(__xludf.DUMMYFUNCTION("""COMPUTED_VALUE"""),"2.1.3.2")</f>
        <v>2.1.3.2</v>
      </c>
      <c r="B1642" s="42" t="str">
        <f ca="1">IFERROR(__xludf.DUMMYFUNCTION("""COMPUTED_VALUE"""),"Unidades de Atención a la Violencia Familiar/Jefatura del Departamento de Unidades de Atención a la Violencia Familiar (UAVIFAM)/Delegación Institucional de la Procuraduría de Protección de  Niñas, Niños y Adolescentes /Coord.4. Programas")</f>
        <v>Unidades de Atención a la Violencia Familiar/Jefatura del Departamento de Unidades de Atención a la Violencia Familiar (UAVIFAM)/Delegación Institucional de la Procuraduría de Protección de  Niñas, Niños y Adolescentes /Coord.4. Programas</v>
      </c>
      <c r="C1642" s="42" t="str">
        <f ca="1">IFERROR(__xludf.DUMMYFUNCTION("""COMPUTED_VALUE"""),"4. Programas")</f>
        <v>4. Programas</v>
      </c>
      <c r="D1642" s="42" t="str">
        <f ca="1">IFERROR(__xludf.DUMMYFUNCTION("""COMPUTED_VALUE"""),"Guadalajara en Paz")</f>
        <v>Guadalajara en Paz</v>
      </c>
      <c r="E1642" s="42" t="str">
        <f ca="1">IFERROR(__xludf.DUMMYFUNCTION("""COMPUTED_VALUE"""),"Unidades de Atención a la Violencia Familiar")</f>
        <v>Unidades de Atención a la Violencia Familiar</v>
      </c>
      <c r="F1642" s="42" t="str">
        <f ca="1">IFERROR(__xludf.DUMMYFUNCTION("""COMPUTED_VALUE"""),"A2C3. Intervención multidisciplinaria de seguimiento a expedientes activos")</f>
        <v>A2C3. Intervención multidisciplinaria de seguimiento a expedientes activos</v>
      </c>
      <c r="G1642" s="42" t="str">
        <f ca="1">IFERROR(__xludf.DUMMYFUNCTION("""COMPUTED_VALUE"""),"Porcentaje de atenciones de seguimiento por expediente en UAVIFAM Guadalajara en 2023")</f>
        <v>Porcentaje de atenciones de seguimiento por expediente en UAVIFAM Guadalajara en 2023</v>
      </c>
      <c r="H1642" s="42" t="str">
        <f ca="1">IFERROR(__xludf.DUMMYFUNCTION("""COMPUTED_VALUE"""),"Servicio")</f>
        <v>Servicio</v>
      </c>
      <c r="I1642" s="42" t="str">
        <f ca="1">IFERROR(__xludf.DUMMYFUNCTION("""COMPUTED_VALUE"""),"Noviembre")</f>
        <v>Noviembre</v>
      </c>
      <c r="J1642" s="42" t="str">
        <f ca="1">IFERROR(__xludf.DUMMYFUNCTION("""COMPUTED_VALUE"""),"N/A")</f>
        <v>N/A</v>
      </c>
      <c r="K1642" s="98"/>
      <c r="L1642" s="42" t="str">
        <f ca="1">IFERROR(__xludf.DUMMYFUNCTION("""COMPUTED_VALUE"""),"TRIMESTRE 4")</f>
        <v>TRIMESTRE 4</v>
      </c>
      <c r="M1642" s="42" t="str">
        <f ca="1">IFERROR(__xludf.DUMMYFUNCTION("""COMPUTED_VALUE"""),"SERVICIOS")</f>
        <v>SERVICIOS</v>
      </c>
    </row>
    <row r="1643" spans="1:13">
      <c r="A1643" s="42" t="str">
        <f ca="1">IFERROR(__xludf.DUMMYFUNCTION("""COMPUTED_VALUE"""),"2.1.3.0")</f>
        <v>2.1.3.0</v>
      </c>
      <c r="B1643" s="42" t="str">
        <f ca="1">IFERROR(__xludf.DUMMYFUNCTION("""COMPUTED_VALUE"""),"Unidades de Atención a la Violencia Familiar/Jefatura del Departamento de Unidades de Atención a la Violencia Familiar (UAVIFAM)/Delegación Institucional de la Procuraduría de Protección de  Niñas, Niños y Adolescentes /Coord.4. Programas")</f>
        <v>Unidades de Atención a la Violencia Familiar/Jefatura del Departamento de Unidades de Atención a la Violencia Familiar (UAVIFAM)/Delegación Institucional de la Procuraduría de Protección de  Niñas, Niños y Adolescentes /Coord.4. Programas</v>
      </c>
      <c r="C1643" s="42" t="str">
        <f ca="1">IFERROR(__xludf.DUMMYFUNCTION("""COMPUTED_VALUE"""),"4. Programas")</f>
        <v>4. Programas</v>
      </c>
      <c r="D1643" s="42" t="str">
        <f ca="1">IFERROR(__xludf.DUMMYFUNCTION("""COMPUTED_VALUE"""),"Guadalajara en Paz")</f>
        <v>Guadalajara en Paz</v>
      </c>
      <c r="E1643" s="42" t="str">
        <f ca="1">IFERROR(__xludf.DUMMYFUNCTION("""COMPUTED_VALUE"""),"Unidades de Atención a la Violencia Familiar")</f>
        <v>Unidades de Atención a la Violencia Familiar</v>
      </c>
      <c r="F1643" s="42" t="str">
        <f ca="1">IFERROR(__xludf.DUMMYFUNCTION("""COMPUTED_VALUE"""),"C3. Atenciones multidisciplinarias realizadas a las personas que viven y/o ejercer violencia familiar en el municipio de Guadalajara. ")</f>
        <v xml:space="preserve">C3. Atenciones multidisciplinarias realizadas a las personas que viven y/o ejercer violencia familiar en el municipio de Guadalajara. </v>
      </c>
      <c r="G1643" s="42" t="str">
        <f ca="1">IFERROR(__xludf.DUMMYFUNCTION("""COMPUTED_VALUE"""),"Porcentaje de atenciones por expediente abierto realizadas en la UAVIFAM Guadalajara en 2023. ")</f>
        <v xml:space="preserve">Porcentaje de atenciones por expediente abierto realizadas en la UAVIFAM Guadalajara en 2023. </v>
      </c>
      <c r="H1643" s="42" t="str">
        <f ca="1">IFERROR(__xludf.DUMMYFUNCTION("""COMPUTED_VALUE"""),"Servicio")</f>
        <v>Servicio</v>
      </c>
      <c r="I1643" s="42" t="str">
        <f ca="1">IFERROR(__xludf.DUMMYFUNCTION("""COMPUTED_VALUE"""),"Diciembre")</f>
        <v>Diciembre</v>
      </c>
      <c r="J1643" s="42" t="str">
        <f ca="1">IFERROR(__xludf.DUMMYFUNCTION("""COMPUTED_VALUE"""),"N/A")</f>
        <v>N/A</v>
      </c>
      <c r="K1643" s="98"/>
      <c r="L1643" s="42" t="str">
        <f ca="1">IFERROR(__xludf.DUMMYFUNCTION("""COMPUTED_VALUE"""),"TRIMESTRE 4")</f>
        <v>TRIMESTRE 4</v>
      </c>
      <c r="M1643" s="42" t="str">
        <f ca="1">IFERROR(__xludf.DUMMYFUNCTION("""COMPUTED_VALUE"""),"SERVICIOS")</f>
        <v>SERVICIOS</v>
      </c>
    </row>
    <row r="1644" spans="1:13">
      <c r="A1644" s="42" t="str">
        <f ca="1">IFERROR(__xludf.DUMMYFUNCTION("""COMPUTED_VALUE"""),"2.1.3.1")</f>
        <v>2.1.3.1</v>
      </c>
      <c r="B1644" s="42" t="str">
        <f ca="1">IFERROR(__xludf.DUMMYFUNCTION("""COMPUTED_VALUE"""),"Unidades de Atención a la Violencia Familiar/Jefatura del Departamento de Unidades de Atención a la Violencia Familiar (UAVIFAM)/Delegación Institucional de la Procuraduría de Protección de  Niñas, Niños y Adolescentes /Coord.4. Programas")</f>
        <v>Unidades de Atención a la Violencia Familiar/Jefatura del Departamento de Unidades de Atención a la Violencia Familiar (UAVIFAM)/Delegación Institucional de la Procuraduría de Protección de  Niñas, Niños y Adolescentes /Coord.4. Programas</v>
      </c>
      <c r="C1644" s="42" t="str">
        <f ca="1">IFERROR(__xludf.DUMMYFUNCTION("""COMPUTED_VALUE"""),"4. Programas")</f>
        <v>4. Programas</v>
      </c>
      <c r="D1644" s="42" t="str">
        <f ca="1">IFERROR(__xludf.DUMMYFUNCTION("""COMPUTED_VALUE"""),"Guadalajara en Paz")</f>
        <v>Guadalajara en Paz</v>
      </c>
      <c r="E1644" s="42" t="str">
        <f ca="1">IFERROR(__xludf.DUMMYFUNCTION("""COMPUTED_VALUE"""),"Unidades de Atención a la Violencia Familiar")</f>
        <v>Unidades de Atención a la Violencia Familiar</v>
      </c>
      <c r="F1644" s="42" t="str">
        <f ca="1">IFERROR(__xludf.DUMMYFUNCTION("""COMPUTED_VALUE"""),"A1C3. Aperturas de expedientes para la atención multidisciplinaria primaria realizadas a las personas que viven y/o ejercen violencia familiar en el Municipio de Guadalajara")</f>
        <v>A1C3. Aperturas de expedientes para la atención multidisciplinaria primaria realizadas a las personas que viven y/o ejercen violencia familiar en el Municipio de Guadalajara</v>
      </c>
      <c r="G1644" s="42" t="str">
        <f ca="1">IFERROR(__xludf.DUMMYFUNCTION("""COMPUTED_VALUE"""),"Porcentaje de aperturas de expedientes de atenciones multidisciplinarias primarias en UAVIFAM Guadalajara en 2023")</f>
        <v>Porcentaje de aperturas de expedientes de atenciones multidisciplinarias primarias en UAVIFAM Guadalajara en 2023</v>
      </c>
      <c r="H1644" s="42" t="str">
        <f ca="1">IFERROR(__xludf.DUMMYFUNCTION("""COMPUTED_VALUE"""),"Servicio")</f>
        <v>Servicio</v>
      </c>
      <c r="I1644" s="42" t="str">
        <f ca="1">IFERROR(__xludf.DUMMYFUNCTION("""COMPUTED_VALUE"""),"Diciembre")</f>
        <v>Diciembre</v>
      </c>
      <c r="J1644" s="42" t="str">
        <f ca="1">IFERROR(__xludf.DUMMYFUNCTION("""COMPUTED_VALUE"""),"N/A")</f>
        <v>N/A</v>
      </c>
      <c r="K1644" s="98"/>
      <c r="L1644" s="42" t="str">
        <f ca="1">IFERROR(__xludf.DUMMYFUNCTION("""COMPUTED_VALUE"""),"TRIMESTRE 4")</f>
        <v>TRIMESTRE 4</v>
      </c>
      <c r="M1644" s="42" t="str">
        <f ca="1">IFERROR(__xludf.DUMMYFUNCTION("""COMPUTED_VALUE"""),"SERVICIOS")</f>
        <v>SERVICIOS</v>
      </c>
    </row>
    <row r="1645" spans="1:13">
      <c r="A1645" s="42" t="str">
        <f ca="1">IFERROR(__xludf.DUMMYFUNCTION("""COMPUTED_VALUE"""),"2.1.3.2")</f>
        <v>2.1.3.2</v>
      </c>
      <c r="B1645" s="42" t="str">
        <f ca="1">IFERROR(__xludf.DUMMYFUNCTION("""COMPUTED_VALUE"""),"Unidades de Atención a la Violencia Familiar/Jefatura del Departamento de Unidades de Atención a la Violencia Familiar (UAVIFAM)/Delegación Institucional de la Procuraduría de Protección de  Niñas, Niños y Adolescentes /Coord.4. Programas")</f>
        <v>Unidades de Atención a la Violencia Familiar/Jefatura del Departamento de Unidades de Atención a la Violencia Familiar (UAVIFAM)/Delegación Institucional de la Procuraduría de Protección de  Niñas, Niños y Adolescentes /Coord.4. Programas</v>
      </c>
      <c r="C1645" s="42" t="str">
        <f ca="1">IFERROR(__xludf.DUMMYFUNCTION("""COMPUTED_VALUE"""),"4. Programas")</f>
        <v>4. Programas</v>
      </c>
      <c r="D1645" s="42" t="str">
        <f ca="1">IFERROR(__xludf.DUMMYFUNCTION("""COMPUTED_VALUE"""),"Guadalajara en Paz")</f>
        <v>Guadalajara en Paz</v>
      </c>
      <c r="E1645" s="42" t="str">
        <f ca="1">IFERROR(__xludf.DUMMYFUNCTION("""COMPUTED_VALUE"""),"Unidades de Atención a la Violencia Familiar")</f>
        <v>Unidades de Atención a la Violencia Familiar</v>
      </c>
      <c r="F1645" s="42" t="str">
        <f ca="1">IFERROR(__xludf.DUMMYFUNCTION("""COMPUTED_VALUE"""),"A2C3. Intervención multidisciplinaria de seguimiento a expedientes activos")</f>
        <v>A2C3. Intervención multidisciplinaria de seguimiento a expedientes activos</v>
      </c>
      <c r="G1645" s="42" t="str">
        <f ca="1">IFERROR(__xludf.DUMMYFUNCTION("""COMPUTED_VALUE"""),"Porcentaje de atenciones de seguimiento por expediente en UAVIFAM Guadalajara en 2023")</f>
        <v>Porcentaje de atenciones de seguimiento por expediente en UAVIFAM Guadalajara en 2023</v>
      </c>
      <c r="H1645" s="42" t="str">
        <f ca="1">IFERROR(__xludf.DUMMYFUNCTION("""COMPUTED_VALUE"""),"Servicio")</f>
        <v>Servicio</v>
      </c>
      <c r="I1645" s="42" t="str">
        <f ca="1">IFERROR(__xludf.DUMMYFUNCTION("""COMPUTED_VALUE"""),"Diciembre")</f>
        <v>Diciembre</v>
      </c>
      <c r="J1645" s="42" t="str">
        <f ca="1">IFERROR(__xludf.DUMMYFUNCTION("""COMPUTED_VALUE"""),"N/A")</f>
        <v>N/A</v>
      </c>
      <c r="K1645" s="98"/>
      <c r="L1645" s="42" t="str">
        <f ca="1">IFERROR(__xludf.DUMMYFUNCTION("""COMPUTED_VALUE"""),"TRIMESTRE 4")</f>
        <v>TRIMESTRE 4</v>
      </c>
      <c r="M1645" s="42" t="str">
        <f ca="1">IFERROR(__xludf.DUMMYFUNCTION("""COMPUTED_VALUE"""),"SERVICIOS")</f>
        <v>SERVICIOS</v>
      </c>
    </row>
    <row r="1646" spans="1:13">
      <c r="A1646" s="42" t="str">
        <f ca="1">IFERROR(__xludf.DUMMYFUNCTION("""COMPUTED_VALUE"""),"2.1.2.1")</f>
        <v>2.1.2.1</v>
      </c>
      <c r="B1646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646" s="42" t="str">
        <f ca="1">IFERROR(__xludf.DUMMYFUNCTION("""COMPUTED_VALUE"""),"3. Operación")</f>
        <v>3. Operación</v>
      </c>
      <c r="D1646" s="42" t="str">
        <f ca="1">IFERROR(__xludf.DUMMYFUNCTION("""COMPUTED_VALUE"""),"Guadalajara en Paz")</f>
        <v>Guadalajara en Paz</v>
      </c>
      <c r="E1646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646" s="42" t="str">
        <f ca="1">IFERROR(__xludf.DUMMYFUNCTION("""COMPUTED_VALUE"""),"A1C2. Capacitaciones brindadas a la población abierta y población en condiciones de emergencias")</f>
        <v>A1C2. Capacitaciones brindadas a la población abierta y población en condiciones de emergencias</v>
      </c>
      <c r="G1646" s="42" t="str">
        <f ca="1">IFERROR(__xludf.DUMMYFUNCTION("""COMPUTED_VALUE"""),"Porcentaje de cumplimiento en las actividades de capacitación del Programa de Atención y Apoyo Asistencial a las Personas Afectadas por Contingencia o Siniestro, en 2023")</f>
        <v>Porcentaje de cumplimiento en las actividades de capacitación del Programa de Atención y Apoyo Asistencial a las Personas Afectadas por Contingencia o Siniestro, en 2023</v>
      </c>
      <c r="H1646" s="42" t="str">
        <f ca="1">IFERROR(__xludf.DUMMYFUNCTION("""COMPUTED_VALUE"""),"Servicio")</f>
        <v>Servicio</v>
      </c>
      <c r="I1646" s="42" t="str">
        <f ca="1">IFERROR(__xludf.DUMMYFUNCTION("""COMPUTED_VALUE"""),"Enero")</f>
        <v>Enero</v>
      </c>
      <c r="J1646" s="42" t="str">
        <f ca="1">IFERROR(__xludf.DUMMYFUNCTION("""COMPUTED_VALUE"""),"N/A")</f>
        <v>N/A</v>
      </c>
      <c r="K1646" s="98">
        <f ca="1">IFERROR(__xludf.DUMMYFUNCTION("""COMPUTED_VALUE"""),1)</f>
        <v>1</v>
      </c>
      <c r="L1646" s="42" t="str">
        <f ca="1">IFERROR(__xludf.DUMMYFUNCTION("""COMPUTED_VALUE"""),"TRIMESTRE 1")</f>
        <v>TRIMESTRE 1</v>
      </c>
      <c r="M1646" s="42" t="str">
        <f ca="1">IFERROR(__xludf.DUMMYFUNCTION("""COMPUTED_VALUE"""),"SERVICIOS")</f>
        <v>SERVICIOS</v>
      </c>
    </row>
    <row r="1647" spans="1:13">
      <c r="A1647" s="42" t="str">
        <f ca="1">IFERROR(__xludf.DUMMYFUNCTION("""COMPUTED_VALUE"""),"2.1.2.1")</f>
        <v>2.1.2.1</v>
      </c>
      <c r="B1647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647" s="42" t="str">
        <f ca="1">IFERROR(__xludf.DUMMYFUNCTION("""COMPUTED_VALUE"""),"3. Operación")</f>
        <v>3. Operación</v>
      </c>
      <c r="D1647" s="42" t="str">
        <f ca="1">IFERROR(__xludf.DUMMYFUNCTION("""COMPUTED_VALUE"""),"Guadalajara en Paz")</f>
        <v>Guadalajara en Paz</v>
      </c>
      <c r="E1647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647" s="42" t="str">
        <f ca="1">IFERROR(__xludf.DUMMYFUNCTION("""COMPUTED_VALUE"""),"A1C2. Capacitaciones brindadas a la población abierta y población en condiciones de emergencias")</f>
        <v>A1C2. Capacitaciones brindadas a la población abierta y población en condiciones de emergencias</v>
      </c>
      <c r="G1647" s="42" t="str">
        <f ca="1">IFERROR(__xludf.DUMMYFUNCTION("""COMPUTED_VALUE"""),"Porcentaje de cumplimiento en las actividades de capacitación del Programa de Atención y Apoyo Asistencial a las Personas Afectadas por Contingencia o Siniestro, en 2023")</f>
        <v>Porcentaje de cumplimiento en las actividades de capacitación del Programa de Atención y Apoyo Asistencial a las Personas Afectadas por Contingencia o Siniestro, en 2023</v>
      </c>
      <c r="H1647" s="42" t="str">
        <f ca="1">IFERROR(__xludf.DUMMYFUNCTION("""COMPUTED_VALUE"""),"Servicio")</f>
        <v>Servicio</v>
      </c>
      <c r="I1647" s="42" t="str">
        <f ca="1">IFERROR(__xludf.DUMMYFUNCTION("""COMPUTED_VALUE"""),"Febrero")</f>
        <v>Febrero</v>
      </c>
      <c r="J1647" s="42" t="str">
        <f ca="1">IFERROR(__xludf.DUMMYFUNCTION("""COMPUTED_VALUE"""),"N/A")</f>
        <v>N/A</v>
      </c>
      <c r="K1647" s="98">
        <f ca="1">IFERROR(__xludf.DUMMYFUNCTION("""COMPUTED_VALUE"""),1)</f>
        <v>1</v>
      </c>
      <c r="L1647" s="42" t="str">
        <f ca="1">IFERROR(__xludf.DUMMYFUNCTION("""COMPUTED_VALUE"""),"TRIMESTRE 1")</f>
        <v>TRIMESTRE 1</v>
      </c>
      <c r="M1647" s="42" t="str">
        <f ca="1">IFERROR(__xludf.DUMMYFUNCTION("""COMPUTED_VALUE"""),"SERVICIOS")</f>
        <v>SERVICIOS</v>
      </c>
    </row>
    <row r="1648" spans="1:13">
      <c r="A1648" s="42" t="str">
        <f ca="1">IFERROR(__xludf.DUMMYFUNCTION("""COMPUTED_VALUE"""),"2.1.2.1")</f>
        <v>2.1.2.1</v>
      </c>
      <c r="B1648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648" s="42" t="str">
        <f ca="1">IFERROR(__xludf.DUMMYFUNCTION("""COMPUTED_VALUE"""),"3. Operación")</f>
        <v>3. Operación</v>
      </c>
      <c r="D1648" s="42" t="str">
        <f ca="1">IFERROR(__xludf.DUMMYFUNCTION("""COMPUTED_VALUE"""),"Guadalajara en Paz")</f>
        <v>Guadalajara en Paz</v>
      </c>
      <c r="E1648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648" s="42" t="str">
        <f ca="1">IFERROR(__xludf.DUMMYFUNCTION("""COMPUTED_VALUE"""),"A1C2. Capacitaciones brindadas a la población abierta y población en condiciones de emergencias")</f>
        <v>A1C2. Capacitaciones brindadas a la población abierta y población en condiciones de emergencias</v>
      </c>
      <c r="G1648" s="42" t="str">
        <f ca="1">IFERROR(__xludf.DUMMYFUNCTION("""COMPUTED_VALUE"""),"Porcentaje de cumplimiento en las actividades de capacitación del Programa de Atención y Apoyo Asistencial a las Personas Afectadas por Contingencia o Siniestro, en 2023")</f>
        <v>Porcentaje de cumplimiento en las actividades de capacitación del Programa de Atención y Apoyo Asistencial a las Personas Afectadas por Contingencia o Siniestro, en 2023</v>
      </c>
      <c r="H1648" s="42" t="str">
        <f ca="1">IFERROR(__xludf.DUMMYFUNCTION("""COMPUTED_VALUE"""),"Servicio")</f>
        <v>Servicio</v>
      </c>
      <c r="I1648" s="42" t="str">
        <f ca="1">IFERROR(__xludf.DUMMYFUNCTION("""COMPUTED_VALUE"""),"Marzo")</f>
        <v>Marzo</v>
      </c>
      <c r="J1648" s="42" t="str">
        <f ca="1">IFERROR(__xludf.DUMMYFUNCTION("""COMPUTED_VALUE"""),"N/A")</f>
        <v>N/A</v>
      </c>
      <c r="K1648" s="98">
        <f ca="1">IFERROR(__xludf.DUMMYFUNCTION("""COMPUTED_VALUE"""),2)</f>
        <v>2</v>
      </c>
      <c r="L1648" s="42" t="str">
        <f ca="1">IFERROR(__xludf.DUMMYFUNCTION("""COMPUTED_VALUE"""),"TRIMESTRE 1")</f>
        <v>TRIMESTRE 1</v>
      </c>
      <c r="M1648" s="42" t="str">
        <f ca="1">IFERROR(__xludf.DUMMYFUNCTION("""COMPUTED_VALUE"""),"SERVICIOS")</f>
        <v>SERVICIOS</v>
      </c>
    </row>
    <row r="1649" spans="1:13">
      <c r="A1649" s="42" t="str">
        <f ca="1">IFERROR(__xludf.DUMMYFUNCTION("""COMPUTED_VALUE"""),"2.1.2.1")</f>
        <v>2.1.2.1</v>
      </c>
      <c r="B1649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649" s="42" t="str">
        <f ca="1">IFERROR(__xludf.DUMMYFUNCTION("""COMPUTED_VALUE"""),"3. Operación")</f>
        <v>3. Operación</v>
      </c>
      <c r="D1649" s="42" t="str">
        <f ca="1">IFERROR(__xludf.DUMMYFUNCTION("""COMPUTED_VALUE"""),"Guadalajara en Paz")</f>
        <v>Guadalajara en Paz</v>
      </c>
      <c r="E1649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649" s="42" t="str">
        <f ca="1">IFERROR(__xludf.DUMMYFUNCTION("""COMPUTED_VALUE"""),"A1C2. Capacitaciones brindadas a la población abierta y población en condiciones de emergencias")</f>
        <v>A1C2. Capacitaciones brindadas a la población abierta y población en condiciones de emergencias</v>
      </c>
      <c r="G1649" s="42" t="str">
        <f ca="1">IFERROR(__xludf.DUMMYFUNCTION("""COMPUTED_VALUE"""),"Porcentaje de cumplimiento en las actividades de capacitación del Programa de Atención y Apoyo Asistencial a las Personas Afectadas por Contingencia o Siniestro, en 2023")</f>
        <v>Porcentaje de cumplimiento en las actividades de capacitación del Programa de Atención y Apoyo Asistencial a las Personas Afectadas por Contingencia o Siniestro, en 2023</v>
      </c>
      <c r="H1649" s="42" t="str">
        <f ca="1">IFERROR(__xludf.DUMMYFUNCTION("""COMPUTED_VALUE"""),"Servicio")</f>
        <v>Servicio</v>
      </c>
      <c r="I1649" s="42" t="str">
        <f ca="1">IFERROR(__xludf.DUMMYFUNCTION("""COMPUTED_VALUE"""),"Abril")</f>
        <v>Abril</v>
      </c>
      <c r="J1649" s="42" t="str">
        <f ca="1">IFERROR(__xludf.DUMMYFUNCTION("""COMPUTED_VALUE"""),"N/A")</f>
        <v>N/A</v>
      </c>
      <c r="K1649" s="98">
        <f ca="1">IFERROR(__xludf.DUMMYFUNCTION("""COMPUTED_VALUE"""),7)</f>
        <v>7</v>
      </c>
      <c r="L1649" s="42" t="str">
        <f ca="1">IFERROR(__xludf.DUMMYFUNCTION("""COMPUTED_VALUE"""),"TRIMESTRE 2")</f>
        <v>TRIMESTRE 2</v>
      </c>
      <c r="M1649" s="42" t="str">
        <f ca="1">IFERROR(__xludf.DUMMYFUNCTION("""COMPUTED_VALUE"""),"SERVICIOS")</f>
        <v>SERVICIOS</v>
      </c>
    </row>
    <row r="1650" spans="1:13">
      <c r="A1650" s="42" t="str">
        <f ca="1">IFERROR(__xludf.DUMMYFUNCTION("""COMPUTED_VALUE"""),"2.1.2.1")</f>
        <v>2.1.2.1</v>
      </c>
      <c r="B1650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650" s="42" t="str">
        <f ca="1">IFERROR(__xludf.DUMMYFUNCTION("""COMPUTED_VALUE"""),"3. Operación")</f>
        <v>3. Operación</v>
      </c>
      <c r="D1650" s="42" t="str">
        <f ca="1">IFERROR(__xludf.DUMMYFUNCTION("""COMPUTED_VALUE"""),"Guadalajara en Paz")</f>
        <v>Guadalajara en Paz</v>
      </c>
      <c r="E1650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650" s="42" t="str">
        <f ca="1">IFERROR(__xludf.DUMMYFUNCTION("""COMPUTED_VALUE"""),"A1C2. Capacitaciones brindadas a la población abierta y población en condiciones de emergencias")</f>
        <v>A1C2. Capacitaciones brindadas a la población abierta y población en condiciones de emergencias</v>
      </c>
      <c r="G1650" s="42" t="str">
        <f ca="1">IFERROR(__xludf.DUMMYFUNCTION("""COMPUTED_VALUE"""),"Porcentaje de cumplimiento en las actividades de capacitación del Programa de Atención y Apoyo Asistencial a las Personas Afectadas por Contingencia o Siniestro, en 2023")</f>
        <v>Porcentaje de cumplimiento en las actividades de capacitación del Programa de Atención y Apoyo Asistencial a las Personas Afectadas por Contingencia o Siniestro, en 2023</v>
      </c>
      <c r="H1650" s="42" t="str">
        <f ca="1">IFERROR(__xludf.DUMMYFUNCTION("""COMPUTED_VALUE"""),"Servicio")</f>
        <v>Servicio</v>
      </c>
      <c r="I1650" s="42" t="str">
        <f ca="1">IFERROR(__xludf.DUMMYFUNCTION("""COMPUTED_VALUE"""),"Mayo")</f>
        <v>Mayo</v>
      </c>
      <c r="J1650" s="42" t="str">
        <f ca="1">IFERROR(__xludf.DUMMYFUNCTION("""COMPUTED_VALUE"""),"N/A")</f>
        <v>N/A</v>
      </c>
      <c r="K1650" s="98">
        <f ca="1">IFERROR(__xludf.DUMMYFUNCTION("""COMPUTED_VALUE"""),0)</f>
        <v>0</v>
      </c>
      <c r="L1650" s="42" t="str">
        <f ca="1">IFERROR(__xludf.DUMMYFUNCTION("""COMPUTED_VALUE"""),"TRIMESTRE 2")</f>
        <v>TRIMESTRE 2</v>
      </c>
      <c r="M1650" s="42" t="str">
        <f ca="1">IFERROR(__xludf.DUMMYFUNCTION("""COMPUTED_VALUE"""),"SERVICIOS")</f>
        <v>SERVICIOS</v>
      </c>
    </row>
    <row r="1651" spans="1:13">
      <c r="A1651" s="42" t="str">
        <f ca="1">IFERROR(__xludf.DUMMYFUNCTION("""COMPUTED_VALUE"""),"2.1.2.1")</f>
        <v>2.1.2.1</v>
      </c>
      <c r="B1651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651" s="42" t="str">
        <f ca="1">IFERROR(__xludf.DUMMYFUNCTION("""COMPUTED_VALUE"""),"3. Operación")</f>
        <v>3. Operación</v>
      </c>
      <c r="D1651" s="42" t="str">
        <f ca="1">IFERROR(__xludf.DUMMYFUNCTION("""COMPUTED_VALUE"""),"Guadalajara en Paz")</f>
        <v>Guadalajara en Paz</v>
      </c>
      <c r="E1651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651" s="42" t="str">
        <f ca="1">IFERROR(__xludf.DUMMYFUNCTION("""COMPUTED_VALUE"""),"A1C2. Capacitaciones brindadas a la población abierta y población en condiciones de emergencias")</f>
        <v>A1C2. Capacitaciones brindadas a la población abierta y población en condiciones de emergencias</v>
      </c>
      <c r="G1651" s="42" t="str">
        <f ca="1">IFERROR(__xludf.DUMMYFUNCTION("""COMPUTED_VALUE"""),"Porcentaje de cumplimiento en las actividades de capacitación del Programa de Atención y Apoyo Asistencial a las Personas Afectadas por Contingencia o Siniestro, en 2023")</f>
        <v>Porcentaje de cumplimiento en las actividades de capacitación del Programa de Atención y Apoyo Asistencial a las Personas Afectadas por Contingencia o Siniestro, en 2023</v>
      </c>
      <c r="H1651" s="42" t="str">
        <f ca="1">IFERROR(__xludf.DUMMYFUNCTION("""COMPUTED_VALUE"""),"Servicio")</f>
        <v>Servicio</v>
      </c>
      <c r="I1651" s="42" t="str">
        <f ca="1">IFERROR(__xludf.DUMMYFUNCTION("""COMPUTED_VALUE"""),"Junio")</f>
        <v>Junio</v>
      </c>
      <c r="J1651" s="42" t="str">
        <f ca="1">IFERROR(__xludf.DUMMYFUNCTION("""COMPUTED_VALUE"""),"N/A")</f>
        <v>N/A</v>
      </c>
      <c r="K1651" s="98">
        <f ca="1">IFERROR(__xludf.DUMMYFUNCTION("""COMPUTED_VALUE"""),1)</f>
        <v>1</v>
      </c>
      <c r="L1651" s="42" t="str">
        <f ca="1">IFERROR(__xludf.DUMMYFUNCTION("""COMPUTED_VALUE"""),"TRIMESTRE 2")</f>
        <v>TRIMESTRE 2</v>
      </c>
      <c r="M1651" s="42" t="str">
        <f ca="1">IFERROR(__xludf.DUMMYFUNCTION("""COMPUTED_VALUE"""),"SERVICIOS")</f>
        <v>SERVICIOS</v>
      </c>
    </row>
    <row r="1652" spans="1:13">
      <c r="A1652" s="42" t="str">
        <f ca="1">IFERROR(__xludf.DUMMYFUNCTION("""COMPUTED_VALUE"""),"2.1.2.1")</f>
        <v>2.1.2.1</v>
      </c>
      <c r="B1652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652" s="42" t="str">
        <f ca="1">IFERROR(__xludf.DUMMYFUNCTION("""COMPUTED_VALUE"""),"3. Operación")</f>
        <v>3. Operación</v>
      </c>
      <c r="D1652" s="42" t="str">
        <f ca="1">IFERROR(__xludf.DUMMYFUNCTION("""COMPUTED_VALUE"""),"Guadalajara en Paz")</f>
        <v>Guadalajara en Paz</v>
      </c>
      <c r="E1652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652" s="42" t="str">
        <f ca="1">IFERROR(__xludf.DUMMYFUNCTION("""COMPUTED_VALUE"""),"A1C2. Capacitaciones brindadas a la población abierta y población en condiciones de emergencias")</f>
        <v>A1C2. Capacitaciones brindadas a la población abierta y población en condiciones de emergencias</v>
      </c>
      <c r="G1652" s="42" t="str">
        <f ca="1">IFERROR(__xludf.DUMMYFUNCTION("""COMPUTED_VALUE"""),"Porcentaje de cumplimiento en las actividades de capacitación del Programa de Atención y Apoyo Asistencial a las Personas Afectadas por Contingencia o Siniestro, en 2023")</f>
        <v>Porcentaje de cumplimiento en las actividades de capacitación del Programa de Atención y Apoyo Asistencial a las Personas Afectadas por Contingencia o Siniestro, en 2023</v>
      </c>
      <c r="H1652" s="42" t="str">
        <f ca="1">IFERROR(__xludf.DUMMYFUNCTION("""COMPUTED_VALUE"""),"Servicio")</f>
        <v>Servicio</v>
      </c>
      <c r="I1652" s="42" t="str">
        <f ca="1">IFERROR(__xludf.DUMMYFUNCTION("""COMPUTED_VALUE"""),"Julio")</f>
        <v>Julio</v>
      </c>
      <c r="J1652" s="42" t="str">
        <f ca="1">IFERROR(__xludf.DUMMYFUNCTION("""COMPUTED_VALUE"""),"N/A")</f>
        <v>N/A</v>
      </c>
      <c r="K1652" s="98">
        <f ca="1">IFERROR(__xludf.DUMMYFUNCTION("""COMPUTED_VALUE"""),1)</f>
        <v>1</v>
      </c>
      <c r="L1652" s="42" t="str">
        <f ca="1">IFERROR(__xludf.DUMMYFUNCTION("""COMPUTED_VALUE"""),"TRIMESTRE 3")</f>
        <v>TRIMESTRE 3</v>
      </c>
      <c r="M1652" s="42" t="str">
        <f ca="1">IFERROR(__xludf.DUMMYFUNCTION("""COMPUTED_VALUE"""),"SERVICIOS")</f>
        <v>SERVICIOS</v>
      </c>
    </row>
    <row r="1653" spans="1:13">
      <c r="A1653" s="42" t="str">
        <f ca="1">IFERROR(__xludf.DUMMYFUNCTION("""COMPUTED_VALUE"""),"2.1.2.1")</f>
        <v>2.1.2.1</v>
      </c>
      <c r="B1653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653" s="42" t="str">
        <f ca="1">IFERROR(__xludf.DUMMYFUNCTION("""COMPUTED_VALUE"""),"3. Operación")</f>
        <v>3. Operación</v>
      </c>
      <c r="D1653" s="42" t="str">
        <f ca="1">IFERROR(__xludf.DUMMYFUNCTION("""COMPUTED_VALUE"""),"Guadalajara en Paz")</f>
        <v>Guadalajara en Paz</v>
      </c>
      <c r="E1653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653" s="42" t="str">
        <f ca="1">IFERROR(__xludf.DUMMYFUNCTION("""COMPUTED_VALUE"""),"A1C2. Capacitaciones brindadas a la población abierta y población en condiciones de emergencias")</f>
        <v>A1C2. Capacitaciones brindadas a la población abierta y población en condiciones de emergencias</v>
      </c>
      <c r="G1653" s="42" t="str">
        <f ca="1">IFERROR(__xludf.DUMMYFUNCTION("""COMPUTED_VALUE"""),"Porcentaje de cumplimiento en las actividades de capacitación del Programa de Atención y Apoyo Asistencial a las Personas Afectadas por Contingencia o Siniestro, en 2023")</f>
        <v>Porcentaje de cumplimiento en las actividades de capacitación del Programa de Atención y Apoyo Asistencial a las Personas Afectadas por Contingencia o Siniestro, en 2023</v>
      </c>
      <c r="H1653" s="42" t="str">
        <f ca="1">IFERROR(__xludf.DUMMYFUNCTION("""COMPUTED_VALUE"""),"Servicio")</f>
        <v>Servicio</v>
      </c>
      <c r="I1653" s="42" t="str">
        <f ca="1">IFERROR(__xludf.DUMMYFUNCTION("""COMPUTED_VALUE"""),"Agosto")</f>
        <v>Agosto</v>
      </c>
      <c r="J1653" s="42" t="str">
        <f ca="1">IFERROR(__xludf.DUMMYFUNCTION("""COMPUTED_VALUE"""),"N/A")</f>
        <v>N/A</v>
      </c>
      <c r="K1653" s="98">
        <f ca="1">IFERROR(__xludf.DUMMYFUNCTION("""COMPUTED_VALUE"""),2)</f>
        <v>2</v>
      </c>
      <c r="L1653" s="42" t="str">
        <f ca="1">IFERROR(__xludf.DUMMYFUNCTION("""COMPUTED_VALUE"""),"TRIMESTRE 3")</f>
        <v>TRIMESTRE 3</v>
      </c>
      <c r="M1653" s="42" t="str">
        <f ca="1">IFERROR(__xludf.DUMMYFUNCTION("""COMPUTED_VALUE"""),"SERVICIOS")</f>
        <v>SERVICIOS</v>
      </c>
    </row>
    <row r="1654" spans="1:13">
      <c r="A1654" s="42" t="str">
        <f ca="1">IFERROR(__xludf.DUMMYFUNCTION("""COMPUTED_VALUE"""),"2.1.2.1")</f>
        <v>2.1.2.1</v>
      </c>
      <c r="B1654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654" s="42" t="str">
        <f ca="1">IFERROR(__xludf.DUMMYFUNCTION("""COMPUTED_VALUE"""),"3. Operación")</f>
        <v>3. Operación</v>
      </c>
      <c r="D1654" s="42" t="str">
        <f ca="1">IFERROR(__xludf.DUMMYFUNCTION("""COMPUTED_VALUE"""),"Guadalajara en Paz")</f>
        <v>Guadalajara en Paz</v>
      </c>
      <c r="E1654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654" s="42" t="str">
        <f ca="1">IFERROR(__xludf.DUMMYFUNCTION("""COMPUTED_VALUE"""),"A1C2. Capacitaciones brindadas a la población abierta y población en condiciones de emergencias")</f>
        <v>A1C2. Capacitaciones brindadas a la población abierta y población en condiciones de emergencias</v>
      </c>
      <c r="G1654" s="42" t="str">
        <f ca="1">IFERROR(__xludf.DUMMYFUNCTION("""COMPUTED_VALUE"""),"Porcentaje de cumplimiento en las actividades de capacitación del Programa de Atención y Apoyo Asistencial a las Personas Afectadas por Contingencia o Siniestro, en 2023")</f>
        <v>Porcentaje de cumplimiento en las actividades de capacitación del Programa de Atención y Apoyo Asistencial a las Personas Afectadas por Contingencia o Siniestro, en 2023</v>
      </c>
      <c r="H1654" s="42" t="str">
        <f ca="1">IFERROR(__xludf.DUMMYFUNCTION("""COMPUTED_VALUE"""),"Servicio")</f>
        <v>Servicio</v>
      </c>
      <c r="I1654" s="42" t="str">
        <f ca="1">IFERROR(__xludf.DUMMYFUNCTION("""COMPUTED_VALUE"""),"Septiembre")</f>
        <v>Septiembre</v>
      </c>
      <c r="J1654" s="42" t="str">
        <f ca="1">IFERROR(__xludf.DUMMYFUNCTION("""COMPUTED_VALUE"""),"N/A")</f>
        <v>N/A</v>
      </c>
      <c r="K1654" s="98">
        <f ca="1">IFERROR(__xludf.DUMMYFUNCTION("""COMPUTED_VALUE"""),2)</f>
        <v>2</v>
      </c>
      <c r="L1654" s="42" t="str">
        <f ca="1">IFERROR(__xludf.DUMMYFUNCTION("""COMPUTED_VALUE"""),"TRIMESTRE 3")</f>
        <v>TRIMESTRE 3</v>
      </c>
      <c r="M1654" s="42" t="str">
        <f ca="1">IFERROR(__xludf.DUMMYFUNCTION("""COMPUTED_VALUE"""),"SERVICIOS")</f>
        <v>SERVICIOS</v>
      </c>
    </row>
    <row r="1655" spans="1:13">
      <c r="A1655" s="42" t="str">
        <f ca="1">IFERROR(__xludf.DUMMYFUNCTION("""COMPUTED_VALUE"""),"2.1.2.1")</f>
        <v>2.1.2.1</v>
      </c>
      <c r="B1655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655" s="42" t="str">
        <f ca="1">IFERROR(__xludf.DUMMYFUNCTION("""COMPUTED_VALUE"""),"3. Operación")</f>
        <v>3. Operación</v>
      </c>
      <c r="D1655" s="42" t="str">
        <f ca="1">IFERROR(__xludf.DUMMYFUNCTION("""COMPUTED_VALUE"""),"Guadalajara en Paz")</f>
        <v>Guadalajara en Paz</v>
      </c>
      <c r="E1655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655" s="42" t="str">
        <f ca="1">IFERROR(__xludf.DUMMYFUNCTION("""COMPUTED_VALUE"""),"A1C2. Capacitaciones brindadas a la población abierta y población en condiciones de emergencias")</f>
        <v>A1C2. Capacitaciones brindadas a la población abierta y población en condiciones de emergencias</v>
      </c>
      <c r="G1655" s="42" t="str">
        <f ca="1">IFERROR(__xludf.DUMMYFUNCTION("""COMPUTED_VALUE"""),"Porcentaje de cumplimiento en las actividades de capacitación del Programa de Atención y Apoyo Asistencial a las Personas Afectadas por Contingencia o Siniestro, en 2023")</f>
        <v>Porcentaje de cumplimiento en las actividades de capacitación del Programa de Atención y Apoyo Asistencial a las Personas Afectadas por Contingencia o Siniestro, en 2023</v>
      </c>
      <c r="H1655" s="42" t="str">
        <f ca="1">IFERROR(__xludf.DUMMYFUNCTION("""COMPUTED_VALUE"""),"Servicio")</f>
        <v>Servicio</v>
      </c>
      <c r="I1655" s="42" t="str">
        <f ca="1">IFERROR(__xludf.DUMMYFUNCTION("""COMPUTED_VALUE"""),"Octubre")</f>
        <v>Octubre</v>
      </c>
      <c r="J1655" s="42" t="str">
        <f ca="1">IFERROR(__xludf.DUMMYFUNCTION("""COMPUTED_VALUE"""),"N/A")</f>
        <v>N/A</v>
      </c>
      <c r="K1655" s="98"/>
      <c r="L1655" s="42" t="str">
        <f ca="1">IFERROR(__xludf.DUMMYFUNCTION("""COMPUTED_VALUE"""),"TRIMESTRE 4")</f>
        <v>TRIMESTRE 4</v>
      </c>
      <c r="M1655" s="42" t="str">
        <f ca="1">IFERROR(__xludf.DUMMYFUNCTION("""COMPUTED_VALUE"""),"SERVICIOS")</f>
        <v>SERVICIOS</v>
      </c>
    </row>
    <row r="1656" spans="1:13">
      <c r="A1656" s="42" t="str">
        <f ca="1">IFERROR(__xludf.DUMMYFUNCTION("""COMPUTED_VALUE"""),"2.1.2.1")</f>
        <v>2.1.2.1</v>
      </c>
      <c r="B1656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656" s="42" t="str">
        <f ca="1">IFERROR(__xludf.DUMMYFUNCTION("""COMPUTED_VALUE"""),"3. Operación")</f>
        <v>3. Operación</v>
      </c>
      <c r="D1656" s="42" t="str">
        <f ca="1">IFERROR(__xludf.DUMMYFUNCTION("""COMPUTED_VALUE"""),"Guadalajara en Paz")</f>
        <v>Guadalajara en Paz</v>
      </c>
      <c r="E1656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656" s="42" t="str">
        <f ca="1">IFERROR(__xludf.DUMMYFUNCTION("""COMPUTED_VALUE"""),"A1C2. Capacitaciones brindadas a la población abierta y población en condiciones de emergencias")</f>
        <v>A1C2. Capacitaciones brindadas a la población abierta y población en condiciones de emergencias</v>
      </c>
      <c r="G1656" s="42" t="str">
        <f ca="1">IFERROR(__xludf.DUMMYFUNCTION("""COMPUTED_VALUE"""),"Porcentaje de cumplimiento en las actividades de capacitación del Programa de Atención y Apoyo Asistencial a las Personas Afectadas por Contingencia o Siniestro, en 2023")</f>
        <v>Porcentaje de cumplimiento en las actividades de capacitación del Programa de Atención y Apoyo Asistencial a las Personas Afectadas por Contingencia o Siniestro, en 2023</v>
      </c>
      <c r="H1656" s="42" t="str">
        <f ca="1">IFERROR(__xludf.DUMMYFUNCTION("""COMPUTED_VALUE"""),"Servicio")</f>
        <v>Servicio</v>
      </c>
      <c r="I1656" s="42" t="str">
        <f ca="1">IFERROR(__xludf.DUMMYFUNCTION("""COMPUTED_VALUE"""),"Noviembre")</f>
        <v>Noviembre</v>
      </c>
      <c r="J1656" s="42" t="str">
        <f ca="1">IFERROR(__xludf.DUMMYFUNCTION("""COMPUTED_VALUE"""),"N/A")</f>
        <v>N/A</v>
      </c>
      <c r="K1656" s="98"/>
      <c r="L1656" s="42" t="str">
        <f ca="1">IFERROR(__xludf.DUMMYFUNCTION("""COMPUTED_VALUE"""),"TRIMESTRE 4")</f>
        <v>TRIMESTRE 4</v>
      </c>
      <c r="M1656" s="42" t="str">
        <f ca="1">IFERROR(__xludf.DUMMYFUNCTION("""COMPUTED_VALUE"""),"SERVICIOS")</f>
        <v>SERVICIOS</v>
      </c>
    </row>
    <row r="1657" spans="1:13">
      <c r="A1657" s="42" t="str">
        <f ca="1">IFERROR(__xludf.DUMMYFUNCTION("""COMPUTED_VALUE"""),"2.1.2.1")</f>
        <v>2.1.2.1</v>
      </c>
      <c r="B1657" s="42" t="str">
        <f ca="1">IFERROR(__xludf.DUMMYFUNCTION("""COMPUTED_VALUE"""),"Atención y Apoyo Asistencial a las Personas Afectadas por Contingencia o Siniestro/Dirección del Área de la Unidad de Protección Civil/Dirección del Área de la Unidad de Protección Civil/Coord.3. Operación")</f>
        <v>Atención y Apoyo Asistencial a las Personas Afectadas por Contingencia o Siniestro/Dirección del Área de la Unidad de Protección Civil/Dirección del Área de la Unidad de Protección Civil/Coord.3. Operación</v>
      </c>
      <c r="C1657" s="42" t="str">
        <f ca="1">IFERROR(__xludf.DUMMYFUNCTION("""COMPUTED_VALUE"""),"3. Operación")</f>
        <v>3. Operación</v>
      </c>
      <c r="D1657" s="42" t="str">
        <f ca="1">IFERROR(__xludf.DUMMYFUNCTION("""COMPUTED_VALUE"""),"Guadalajara en Paz")</f>
        <v>Guadalajara en Paz</v>
      </c>
      <c r="E1657" s="42" t="str">
        <f ca="1">IFERROR(__xludf.DUMMYFUNCTION("""COMPUTED_VALUE"""),"Atención y Apoyo Asistencial a las Personas Afectadas por Contingencia o Siniestro")</f>
        <v>Atención y Apoyo Asistencial a las Personas Afectadas por Contingencia o Siniestro</v>
      </c>
      <c r="F1657" s="42" t="str">
        <f ca="1">IFERROR(__xludf.DUMMYFUNCTION("""COMPUTED_VALUE"""),"A1C2. Capacitaciones brindadas a la población abierta y población en condiciones de emergencias")</f>
        <v>A1C2. Capacitaciones brindadas a la población abierta y población en condiciones de emergencias</v>
      </c>
      <c r="G1657" s="42" t="str">
        <f ca="1">IFERROR(__xludf.DUMMYFUNCTION("""COMPUTED_VALUE"""),"Porcentaje de cumplimiento en las actividades de capacitación del Programa de Atención y Apoyo Asistencial a las Personas Afectadas por Contingencia o Siniestro, en 2023")</f>
        <v>Porcentaje de cumplimiento en las actividades de capacitación del Programa de Atención y Apoyo Asistencial a las Personas Afectadas por Contingencia o Siniestro, en 2023</v>
      </c>
      <c r="H1657" s="42" t="str">
        <f ca="1">IFERROR(__xludf.DUMMYFUNCTION("""COMPUTED_VALUE"""),"Servicio")</f>
        <v>Servicio</v>
      </c>
      <c r="I1657" s="42" t="str">
        <f ca="1">IFERROR(__xludf.DUMMYFUNCTION("""COMPUTED_VALUE"""),"Diciembre")</f>
        <v>Diciembre</v>
      </c>
      <c r="J1657" s="42" t="str">
        <f ca="1">IFERROR(__xludf.DUMMYFUNCTION("""COMPUTED_VALUE"""),"N/A")</f>
        <v>N/A</v>
      </c>
      <c r="K1657" s="98"/>
      <c r="L1657" s="42" t="str">
        <f ca="1">IFERROR(__xludf.DUMMYFUNCTION("""COMPUTED_VALUE"""),"TRIMESTRE 4")</f>
        <v>TRIMESTRE 4</v>
      </c>
      <c r="M1657" s="42" t="str">
        <f ca="1">IFERROR(__xludf.DUMMYFUNCTION("""COMPUTED_VALUE"""),"SERVICIOS")</f>
        <v>SERVICIOS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MIR DIFGDL</vt:lpstr>
      <vt:lpstr>SID</vt:lpstr>
      <vt:lpstr>Estático</vt:lpstr>
      <vt:lpstr>Copia de MIR 1</vt:lpstr>
      <vt:lpstr>Copia de MIR</vt:lpstr>
      <vt:lpstr>Subida</vt:lpstr>
      <vt:lpstr>finproposito</vt:lpstr>
      <vt:lpstr>ESTADÍSTICAS (DINÁMICO)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 del Pilar Luna Padilla</cp:lastModifiedBy>
  <dcterms:modified xsi:type="dcterms:W3CDTF">2023-10-24T17:04:33Z</dcterms:modified>
</cp:coreProperties>
</file>